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商土" sheetId="83" state="hidden" r:id="rId20"/>
    <sheet name="比较法-商业" sheetId="33" r:id="rId21"/>
    <sheet name="成本法 (元)" sheetId="69" state="hidden" r:id="rId22"/>
    <sheet name="假设开发法" sheetId="12"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收益法" sheetId="15" r:id="rId41"/>
    <sheet name="土地比较法-住宅、综合" sheetId="39" state="hidden" r:id="rId42"/>
    <sheet name="地价-分区" sheetId="79" state="hidden" r:id="rId43"/>
    <sheet name="成本法" sheetId="68" r:id="rId44"/>
    <sheet name="基准地价修正" sheetId="43"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43">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2">假设开发法!$A$1:$K$32</definedName>
    <definedName name="_xlnm.Print_Area" localSheetId="18">结果表!$A$1:$I$127</definedName>
    <definedName name="_xlnm.Print_Area" localSheetId="4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1">'土地比较法-工业'!$A$1:$K$61,'土地比较法-工业'!$A$64:$M$121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9">'[2]不动产比较法-办公'!$B$119:$M$119</definedName>
    <definedName name="办公层高">'比较法-办公'!$B$119:$M$119</definedName>
    <definedName name="办公朝向" localSheetId="13">'[1]比较法-办公'!$B$91:$M$91</definedName>
    <definedName name="办公朝向" localSheetId="19">'[2]不动产比较法-办公'!$B$91:$M$91</definedName>
    <definedName name="办公朝向">'比较法-办公'!$B$91:$M$91</definedName>
    <definedName name="办公道路级别" localSheetId="13">'[1]比较法-办公'!$B$87:$M$87</definedName>
    <definedName name="办公道路级别" localSheetId="19">'[2]不动产比较法-办公'!$B$87:$M$87</definedName>
    <definedName name="办公道路级别">'比较法-办公'!$B$87:$M$87</definedName>
    <definedName name="办公公共部分装修" localSheetId="13">'[1]比较法-办公'!$B$108:$M$108</definedName>
    <definedName name="办公公共部分装修" localSheetId="19">'[2]不动产比较法-办公'!$B$108:$M$108</definedName>
    <definedName name="办公公共部分装修">'比较法-办公'!$B$108:$M$108</definedName>
    <definedName name="办公基础设施水平" localSheetId="13">'[1]比较法-办公'!$B$117:$M$117</definedName>
    <definedName name="办公基础设施水平" localSheetId="19">'[2]不动产比较法-办公'!$B$117:$M$117</definedName>
    <definedName name="办公基础设施水平">'比较法-办公'!$B$117:$M$117</definedName>
    <definedName name="办公集聚程度" localSheetId="13">[1]定义!$M$1:$M$6</definedName>
    <definedName name="办公集聚程度" localSheetId="19">[2]定义!$M$1:$M$6</definedName>
    <definedName name="办公集聚程度">定义!$M$1:$M$6</definedName>
    <definedName name="办公建筑结构" localSheetId="13">'[1]比较法-办公'!$B$106:$M$106</definedName>
    <definedName name="办公建筑结构" localSheetId="19">'[2]不动产比较法-办公'!$B$106:$M$106</definedName>
    <definedName name="办公建筑结构">'比较法-办公'!$B$106:$M$106</definedName>
    <definedName name="办公建筑类型" localSheetId="13">'[1]比较法-办公'!$B$101:$M$101</definedName>
    <definedName name="办公建筑类型" localSheetId="19">'[2]不动产比较法-办公'!$B$101:$M$101</definedName>
    <definedName name="办公建筑类型">'比较法-办公'!$B$101:$M$101</definedName>
    <definedName name="办公交易情况" localSheetId="13">'[1]比较法-办公'!$A$62:$M$62</definedName>
    <definedName name="办公交易情况" localSheetId="19">'[2]不动产比较法-办公'!$A$62:$M$62</definedName>
    <definedName name="办公交易情况">'比较法-办公'!$A$62:$M$62</definedName>
    <definedName name="办公楼层" localSheetId="13">'[1]比较法-办公'!$B$89:$M$89</definedName>
    <definedName name="办公楼层" localSheetId="19">'[2]不动产比较法-办公'!$B$89:$M$89</definedName>
    <definedName name="办公楼层">'比较法-办公'!$B$89:$M$89</definedName>
    <definedName name="办公内部装修" localSheetId="13">'[1]比较法-办公'!$B$123:$M$123</definedName>
    <definedName name="办公内部装修" localSheetId="19">'[2]不动产比较法-办公'!$B$123:$M$123</definedName>
    <definedName name="办公内部装修">'比较法-办公'!$B$123:$M$123</definedName>
    <definedName name="办公物业管理" localSheetId="13">'[1]比较法-办公'!$B$115:$M$115</definedName>
    <definedName name="办公物业管理" localSheetId="19">'[2]不动产比较法-办公'!$B$115:$M$115</definedName>
    <definedName name="办公物业管理">'比较法-办公'!$B$115:$M$115</definedName>
    <definedName name="办公用途" localSheetId="13">'[1]比较法-办公'!$B$64:$M$64</definedName>
    <definedName name="办公用途" localSheetId="19">'[2]不动产比较法-办公'!$B$64:$M$64</definedName>
    <definedName name="办公用途">'比较法-办公'!$B$64:$M$64</definedName>
    <definedName name="仓储公共部分装修" localSheetId="13">'[1]比较法-仓储'!$B$77:$M$77</definedName>
    <definedName name="仓储公共部分装修" localSheetId="19">'[2]不动产比较法-仓储'!$B$77:$M$77</definedName>
    <definedName name="仓储公共部分装修">'比较法-仓储'!$B$77:$M$77</definedName>
    <definedName name="仓储交易情况" localSheetId="13">'[1]比较法-仓储'!$A$49:$M$49</definedName>
    <definedName name="仓储交易情况" localSheetId="19">'[2]不动产比较法-仓储'!$A$49:$M$49</definedName>
    <definedName name="仓储交易情况">'比较法-仓储'!$A$49:$M$49</definedName>
    <definedName name="仓储楼层" localSheetId="13">'[1]比较法-仓储'!$B$69:$M$69</definedName>
    <definedName name="仓储楼层" localSheetId="19">'[2]不动产比较法-仓储'!$B$69:$M$69</definedName>
    <definedName name="仓储楼层">'比较法-仓储'!$B$69:$M$69</definedName>
    <definedName name="仓储物业等级" localSheetId="13">'[1]比较法-仓储'!$B$82:$M$82</definedName>
    <definedName name="仓储物业等级" localSheetId="19">'[2]不动产比较法-仓储'!$B$82:$M$82</definedName>
    <definedName name="仓储物业等级">'比较法-仓储'!$B$82:$M$82</definedName>
    <definedName name="仓储用途" localSheetId="13">'[1]比较法-仓储'!$B$51:$M$51</definedName>
    <definedName name="仓储用途" localSheetId="19">'[2]不动产比较法-仓储'!$B$51:$M$51</definedName>
    <definedName name="仓储用途">'比较法-仓储'!$B$51:$M$51</definedName>
    <definedName name="产业集聚程度" localSheetId="13">[1]定义!$N$1:$N$6</definedName>
    <definedName name="产业集聚程度" localSheetId="19">[2]定义!$N$1:$N$6</definedName>
    <definedName name="产业集聚程度">定义!$N$1:$N$6</definedName>
    <definedName name="车位公共部分装修" localSheetId="13">'[1]比较法-车位'!$B$83:$M$83</definedName>
    <definedName name="车位公共部分装修" localSheetId="19">'[2]不动产比较法-车位'!$B$83:$M$83</definedName>
    <definedName name="车位公共部分装修">'比较法-车位'!$B$83:$M$83</definedName>
    <definedName name="车位交易情况" localSheetId="13">'[1]比较法-车位'!$A$51:$M$51</definedName>
    <definedName name="车位交易情况" localSheetId="19">'[2]不动产比较法-车位'!$A$51:$M$51</definedName>
    <definedName name="车位交易情况">'比较法-车位'!$A$51:$M$51</definedName>
    <definedName name="车位类型" localSheetId="13">'[1]比较法-车位'!$B$93:$M$93</definedName>
    <definedName name="车位类型" localSheetId="19">'[2]不动产比较法-车位'!$B$93:$M$93</definedName>
    <definedName name="车位类型">'比较法-车位'!$B$93:$M$93</definedName>
    <definedName name="车位楼层" localSheetId="13">'[1]比较法-车位'!$B$71:$M$71</definedName>
    <definedName name="车位楼层" localSheetId="19">'[2]不动产比较法-车位'!$B$71:$M$71</definedName>
    <definedName name="车位楼层">'比较法-车位'!$B$71:$M$71</definedName>
    <definedName name="车位配套类型" localSheetId="13">'[1]比较法-车位'!$B$79:$M$79</definedName>
    <definedName name="车位配套类型" localSheetId="19">'[2]不动产比较法-车位'!$B$79:$M$79</definedName>
    <definedName name="车位配套类型">'比较法-车位'!$B$79:$M$79</definedName>
    <definedName name="车位物业等级" localSheetId="13">'[1]比较法-车位'!$B$88:$M$88</definedName>
    <definedName name="车位物业等级" localSheetId="19">'[2]不动产比较法-车位'!$B$88:$M$88</definedName>
    <definedName name="车位物业等级">'比较法-车位'!$B$88:$M$88</definedName>
    <definedName name="车位用途" localSheetId="13">'[1]比较法-车位'!$B$53:$M$53</definedName>
    <definedName name="车位用途" localSheetId="19">'[2]不动产比较法-车位'!$B$53:$M$53</definedName>
    <definedName name="车位用途">'比较法-车位'!$B$53:$M$53</definedName>
    <definedName name="城镇土地纳税等级分级范围" localSheetId="13">'[1]数据-取费表'!$A$53:$A$63</definedName>
    <definedName name="城镇土地纳税等级分级范围" localSheetId="19">'[2]数据-取费表'!$A$53:$A$63</definedName>
    <definedName name="城镇土地纳税等级分级范围">'数据-取费表'!$A$53:$A$63</definedName>
    <definedName name="单价内涵" localSheetId="13">[1]定义!$V$1:$V$3</definedName>
    <definedName name="单价内涵" localSheetId="19">[2]定义!$V$1:$V$3</definedName>
    <definedName name="单价内涵">定义!$V$1:$V$3</definedName>
    <definedName name="地类判定" localSheetId="13">[1]定义!$H$1:$H$9</definedName>
    <definedName name="地类判定" localSheetId="19">[2]定义!$H$1:$H$9</definedName>
    <definedName name="地类判定">定义!$H$1:$H$9</definedName>
    <definedName name="二级">区片价!$J$1:$J$21</definedName>
    <definedName name="二级分类" localSheetId="13">[1]修正!$C$19:$C$51</definedName>
    <definedName name="二级分类" localSheetId="19">[2]修正!$C$19:$C$51</definedName>
    <definedName name="二级分类">修正!$C$19:$C$51</definedName>
    <definedName name="法定最高年限" localSheetId="13">[1]定义!$G$1:$G$6</definedName>
    <definedName name="法定最高年限" localSheetId="19">[2]定义!$G$2:$G$5</definedName>
    <definedName name="法定最高年限">定义!$G$1:$G$6</definedName>
    <definedName name="工业公共部分装修" localSheetId="13">'[1]比较法-工业'!$B$95:$M$95</definedName>
    <definedName name="工业公共部分装修" localSheetId="19">'[2]不动产比较法-工业'!$B$95:$M$95</definedName>
    <definedName name="工业公共部分装修">'比较法-工业'!$B$95:$M$95</definedName>
    <definedName name="工业基础设施水平" localSheetId="13">'[1]比较法-工业'!$B$102:$M$102</definedName>
    <definedName name="工业基础设施水平" localSheetId="19">'[2]不动产比较法-工业'!$B$102:$M$102</definedName>
    <definedName name="工业基础设施水平">'比较法-工业'!$B$102:$M$102</definedName>
    <definedName name="工业建筑结构" localSheetId="13">'[1]比较法-工业'!$B$93:$M$93</definedName>
    <definedName name="工业建筑结构" localSheetId="19">'[2]不动产比较法-工业'!$B$93:$M$93</definedName>
    <definedName name="工业建筑结构">'比较法-工业'!$B$93:$M$93</definedName>
    <definedName name="工业建筑类型" localSheetId="13">'[1]比较法-工业'!$B$88:$M$88</definedName>
    <definedName name="工业建筑类型" localSheetId="19">'[2]不动产比较法-工业'!$B$88:$M$88</definedName>
    <definedName name="工业建筑类型">'比较法-工业'!$B$88:$M$88</definedName>
    <definedName name="工业交易情况" localSheetId="13">'[1]比较法-工业'!$A$55:$M$55</definedName>
    <definedName name="工业交易情况" localSheetId="19">'[2]不动产比较法-工业'!$A$55:$M$55</definedName>
    <definedName name="工业交易情况">'比较法-工业'!$A$55:$M$55</definedName>
    <definedName name="工业内部装修" localSheetId="13">'[1]比较法-工业'!$B$104:$M$104</definedName>
    <definedName name="工业内部装修" localSheetId="19">'[2]不动产比较法-工业'!$B$104:$M$104</definedName>
    <definedName name="工业内部装修">'比较法-工业'!$B$104:$M$104</definedName>
    <definedName name="工业物业管理" localSheetId="13">'[1]比较法-工业'!$B$100:$M$100</definedName>
    <definedName name="工业物业管理" localSheetId="19">'[2]不动产比较法-工业'!$B$100:$M$100</definedName>
    <definedName name="工业物业管理">'比较法-工业'!$B$100:$M$100</definedName>
    <definedName name="工业用途" localSheetId="13">'[1]比较法-工业'!$B$57:$M$57</definedName>
    <definedName name="工业用途" localSheetId="19">'[2]不动产比较法-工业'!$B$57:$M$57</definedName>
    <definedName name="工业用途">'比较法-工业'!$B$57:$M$57</definedName>
    <definedName name="公共配套设施" localSheetId="13">[1]定义!$Q$1:$Q$6</definedName>
    <definedName name="公共配套设施" localSheetId="19">[2]定义!$Q$1:$Q$6</definedName>
    <definedName name="公共配套设施">定义!$Q$1:$Q$6</definedName>
    <definedName name="估价范围判定" localSheetId="13">[1]定义!$D$1:$D$4</definedName>
    <definedName name="估价范围判定" localSheetId="19">[2]定义!$D$1:$D$4</definedName>
    <definedName name="估价范围判定">定义!$D$1:$D$4</definedName>
    <definedName name="估价方法" localSheetId="13">[1]定义!$B$1:$B$50</definedName>
    <definedName name="估价方法" localSheetId="19">[2]定义!$B$1:$B$50</definedName>
    <definedName name="估价方法">定义!$B$1:$B$50</definedName>
    <definedName name="环境" localSheetId="13">[1]定义!$S$1:$S$6</definedName>
    <definedName name="环境" localSheetId="19">[2]定义!$S$1:$S$6</definedName>
    <definedName name="环境">定义!$S$1:$S$6</definedName>
    <definedName name="基础设施水平" localSheetId="13">[1]定义!$R$1:$R$6</definedName>
    <definedName name="基础设施水平" localSheetId="19">[2]定义!$R$1:$R$6</definedName>
    <definedName name="基础设施水平">定义!$R$1:$R$6</definedName>
    <definedName name="季度">基准地价修正!$Q$19:$AD$19</definedName>
    <definedName name="价值类型2" localSheetId="13">[1]定义!$B$54:$B$56</definedName>
    <definedName name="价值类型2" localSheetId="19">[2]定义!$B$54:$B$56</definedName>
    <definedName name="价值类型2">定义!$B$54:$B$56</definedName>
    <definedName name="交通便捷度" localSheetId="13">[1]定义!$O$1:$O$6</definedName>
    <definedName name="交通便捷度" localSheetId="19">[2]定义!$O$1:$O$6</definedName>
    <definedName name="交通便捷度">定义!$O$1:$O$6</definedName>
    <definedName name="九级">区片价!$Q$1:$Q$51</definedName>
    <definedName name="居住社区成熟度" localSheetId="13">[1]定义!$K$1:$K$6</definedName>
    <definedName name="居住社区成熟度" localSheetId="19">[2]定义!$K$1:$K$6</definedName>
    <definedName name="居住社区成熟度">定义!$K$1:$K$6</definedName>
    <definedName name="可用科目">[3]隐藏数据!$B$1:$B$300</definedName>
    <definedName name="类别" localSheetId="13">[1]定义!$J$1:$J$3</definedName>
    <definedName name="类别" localSheetId="19">[2]定义!$J$1:$J$3</definedName>
    <definedName name="类别">定义!$J$1:$J$3</definedName>
    <definedName name="临街状况" localSheetId="13">[1]定义!$T$1:$T$5</definedName>
    <definedName name="临街状况" localSheetId="19">[2]定义!$T$1:$T$5</definedName>
    <definedName name="临街状况">定义!$T$1:$T$5</definedName>
    <definedName name="六级">区片价!$N$1:$N$64</definedName>
    <definedName name="内部装修维护情况" localSheetId="13">[1]定义!$U$1:$U$6</definedName>
    <definedName name="内部装修维护情况" localSheetId="19">[2]定义!$U$1:$U$6</definedName>
    <definedName name="内部装修维护情况">定义!$U$1:$U$6</definedName>
    <definedName name="判定">[4]定义!$D$1:$D$4</definedName>
    <definedName name="七级">区片价!$O$1:$O$45</definedName>
    <definedName name="七通一平" localSheetId="13">[1]修正!$A$8:$A$16</definedName>
    <definedName name="七通一平" localSheetId="19">[2]修正!$A$8:$A$16</definedName>
    <definedName name="七通一平">修正!$A$8:$A$16</definedName>
    <definedName name="区域土地利用方向" localSheetId="13">[1]定义!$P$1:$P$6</definedName>
    <definedName name="区域土地利用方向" localSheetId="19">[2]定义!$P$1:$P$6</definedName>
    <definedName name="区域土地利用方向">定义!$P$1:$P$6</definedName>
    <definedName name="三级">区片价!$K$1:$K$26</definedName>
    <definedName name="商业层高" localSheetId="13">'[1]比较法-商业'!$B$116:$M$116</definedName>
    <definedName name="商业层高" localSheetId="19">'[2]不动产比较法-商业'!$B$116:$M$116</definedName>
    <definedName name="商业层高">'比较法-商业'!$B$116:$M$116</definedName>
    <definedName name="商业成新度">'比较法-商业'!$B$109:$M$109</definedName>
    <definedName name="商业繁华度" localSheetId="13">[1]定义!$L$1:$L$6</definedName>
    <definedName name="商业繁华度" localSheetId="19">[2]定义!$L$1:$L$6</definedName>
    <definedName name="商业繁华度">定义!$L$1:$L$6</definedName>
    <definedName name="商业公共部分装修" localSheetId="13">'[1]比较法-商业'!$B$107:$M$107</definedName>
    <definedName name="商业公共部分装修" localSheetId="19">'[2]不动产比较法-商业'!$B$107:$M$107</definedName>
    <definedName name="商业公共部分装修">'比较法-商业'!$B$107:$M$107</definedName>
    <definedName name="商业基础设施水平" localSheetId="13">'[1]比较法-商业'!$B$112:$M$112</definedName>
    <definedName name="商业基础设施水平" localSheetId="19">'[2]不动产比较法-商业'!$B$112:$M$112</definedName>
    <definedName name="商业基础设施水平">'比较法-商业'!$B$112:$M$112</definedName>
    <definedName name="商业建筑结构" localSheetId="13">'[1]比较法-商业'!$B$105:$M$105</definedName>
    <definedName name="商业建筑结构" localSheetId="19">'[2]不动产比较法-商业'!$B$105:$M$105</definedName>
    <definedName name="商业建筑结构">'比较法-商业'!$B$105:$M$105</definedName>
    <definedName name="商业交易情况" localSheetId="13">'[1]比较法-商业'!$A$61:$M$61</definedName>
    <definedName name="商业交易情况" localSheetId="19">'[2]不动产比较法-商业'!$A$61:$M$61</definedName>
    <definedName name="商业交易情况">'比较法-商业'!$A$61:$M$61</definedName>
    <definedName name="商业街名称" localSheetId="13">[1]修正!$C$71:$C$138</definedName>
    <definedName name="商业街名称" localSheetId="19">[2]修正!$C$71:$C$139</definedName>
    <definedName name="商业街名称">修正!$C$71:$C$138</definedName>
    <definedName name="商业进深比" localSheetId="13">'[1]比较法-商业'!$B$120:$M$120</definedName>
    <definedName name="商业进深比" localSheetId="19">'[2]不动产比较法-商业'!$B$120:$M$120</definedName>
    <definedName name="商业进深比">'比较法-商业'!$B$120:$M$120</definedName>
    <definedName name="商业类型" localSheetId="13">'[1]比较法-商业'!$B$100:$M$100</definedName>
    <definedName name="商业类型" localSheetId="19">'[2]不动产比较法-商业'!$B$100:$M$100</definedName>
    <definedName name="商业类型">'比较法-商业'!$B$100:$M$100</definedName>
    <definedName name="商业临街状况" localSheetId="13">'[1]比较法-商业'!$B$86:$M$86</definedName>
    <definedName name="商业临街状况" localSheetId="19">'[2]不动产比较法-商业'!$B$86:$M$86</definedName>
    <definedName name="商业临街状况">'比较法-商业'!$B$86:$M$86</definedName>
    <definedName name="商业楼层" localSheetId="13">'[1]比较法-商业'!$B$92:$M$92</definedName>
    <definedName name="商业楼层" localSheetId="19">'[2]不动产比较法-商业'!$B$92:$M$92</definedName>
    <definedName name="商业楼层">'比较法-商业'!$B$92:$M$92</definedName>
    <definedName name="商业内部装修" localSheetId="13">'[1]比较法-商业'!$B$122:$M$122</definedName>
    <definedName name="商业内部装修" localSheetId="19">'[2]不动产比较法-商业'!$B$122:$M$122</definedName>
    <definedName name="商业内部装修">'比较法-商业'!$B$122:$M$122</definedName>
    <definedName name="商业人流量" localSheetId="13">'[1]比较法-商业'!$B$90:$M$90</definedName>
    <definedName name="商业人流量" localSheetId="19">'[2]不动产比较法-商业'!$B$90:$M$90</definedName>
    <definedName name="商业人流量">'比较法-商业'!$B$90:$M$90</definedName>
    <definedName name="商业业态" localSheetId="13">'[1]比较法-商业'!$B$114:$M$114</definedName>
    <definedName name="商业业态" localSheetId="19">'[2]不动产比较法-商业'!$B$114:$M$114</definedName>
    <definedName name="商业业态">'比较法-商业'!$B$114:$M$114</definedName>
    <definedName name="商业用途" localSheetId="13">'[1]比较法-商业'!$B$63:$M$63</definedName>
    <definedName name="商业用途" localSheetId="19">'[2]不动产比较法-商业'!$B$63:$M$63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9">'[2]不动产比较法-仓储'!$B$89:$M$89</definedName>
    <definedName name="是否封闭">'比较法-仓储'!$B$89:$M$89</definedName>
    <definedName name="是否直接入户" localSheetId="13">'[1]比较法-车位'!$B$95:$M$95</definedName>
    <definedName name="是否直接入户" localSheetId="19">'[2]不动产比较法-车位'!$B$95:$M$95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9">'[5]土地比较法-工业'!$B$97:$M$97</definedName>
    <definedName name="套工道路等级">'土地比较法-工业'!$B$97:$M$97</definedName>
    <definedName name="套工地质条件" localSheetId="13">'[1]土地比较法-工业'!$B$114:$M$114</definedName>
    <definedName name="套工地质条件" localSheetId="19">'[5]土地比较法-工业'!$B$114:$M$114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9">'[2]比较法-住宅、综合'!$A$74:$M$74</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9">'[2]比较法-工业'!$B$100:$M$100</definedName>
    <definedName name="套工土地级别">'土地比较法-工业'!$B$99:$M$99</definedName>
    <definedName name="套工用途" localSheetId="13">'[1]土地比较法-工业'!$B$70:$M$70</definedName>
    <definedName name="套工用途" localSheetId="19">'[2]比较法-工业'!$B$71:$M$71</definedName>
    <definedName name="套工用途">'土地比较法-工业'!$B$70:$M$70</definedName>
    <definedName name="套工宗地开发程度" localSheetId="13">'[1]土地比较法-工业'!$B$112:$M$112</definedName>
    <definedName name="套工宗地开发程度" localSheetId="19">'[5]土地比较法-工业'!$B$112:$M$112</definedName>
    <definedName name="套工宗地开发程度">'土地比较法-工业'!$B$112:$M$112</definedName>
    <definedName name="套工宗地形状" localSheetId="13">'[1]土地比较法-工业'!$B$110:$M$110</definedName>
    <definedName name="套工宗地形状" localSheetId="19">'[2]比较法-工业'!$B$111:$M$111</definedName>
    <definedName name="套工宗地形状">'土地比较法-工业'!$B$110:$M$110</definedName>
    <definedName name="套综道路等级" localSheetId="13">'[1]土地比较法-住宅、综合'!$B$105:$M$105</definedName>
    <definedName name="套综道路等级" localSheetId="19">'[2]比较法-住宅、综合'!$B$107:$M$107</definedName>
    <definedName name="套综道路等级">'土地比较法-住宅、综合'!$B$105:$M$105</definedName>
    <definedName name="套综工程地质条件" localSheetId="13">'[1]土地比较法-住宅、综合'!$B$124:$M$124</definedName>
    <definedName name="套综工程地质条件" localSheetId="19">'[2]比较法-住宅、综合'!$B$126:$M$126</definedName>
    <definedName name="套综工程地质条件">'土地比较法-住宅、综合'!$B$124:$M$124</definedName>
    <definedName name="套综交易情况" localSheetId="13">'[1]土地比较法-住宅、综合'!$A$72:$M$72</definedName>
    <definedName name="套综交易情况" localSheetId="19">'[2]比较法-住宅、综合'!$A$74:$M$74</definedName>
    <definedName name="套综交易情况">'土地比较法-住宅、综合'!$A$72:$M$72</definedName>
    <definedName name="套综临街宽度及深度" localSheetId="13">'[1]土地比较法-住宅、综合'!$B$120:$M$120</definedName>
    <definedName name="套综临街宽度及深度" localSheetId="19">'[2]比较法-住宅、综合'!$B$122:$M$122</definedName>
    <definedName name="套综临街宽度及深度">'土地比较法-住宅、综合'!$B$120:$M$120</definedName>
    <definedName name="套综土地级别" localSheetId="13">'[1]土地比较法-住宅、综合'!$B$107:$M$107</definedName>
    <definedName name="套综土地级别" localSheetId="19">'[2]比较法-住宅、综合'!$B$109:$M$109</definedName>
    <definedName name="套综土地级别">'土地比较法-住宅、综合'!$B$107:$M$107</definedName>
    <definedName name="套综用途" localSheetId="13">'[1]土地比较法-住宅、综合'!$B$74:$M$74</definedName>
    <definedName name="套综用途" localSheetId="19">'[2]比较法-住宅、综合'!$B$76:$M$76</definedName>
    <definedName name="套综用途">'土地比较法-住宅、综合'!$B$74:$M$74</definedName>
    <definedName name="套综宗地内开发程度" localSheetId="13">'[1]土地比较法-住宅、综合'!$B$122:$M$122</definedName>
    <definedName name="套综宗地内开发程度" localSheetId="19">'[2]比较法-住宅、综合'!$B$124:$M$124</definedName>
    <definedName name="套综宗地内开发程度">'土地比较法-住宅、综合'!$B$122:$M$122</definedName>
    <definedName name="套综宗地形状" localSheetId="13">'[1]土地比较法-住宅、综合'!$B$118:$M$118</definedName>
    <definedName name="套综宗地形状" localSheetId="19">'[2]比较法-住宅、综合'!$B$120:$M$120</definedName>
    <definedName name="套综宗地形状">'土地比较法-住宅、综合'!$B$118:$M$118</definedName>
    <definedName name="土地估价师" localSheetId="19">[2]估价师及机构信息!$D$3:$D$17</definedName>
    <definedName name="土地估价师">估价师及机构信息!$D$3:$D$24</definedName>
    <definedName name="土地级别" localSheetId="13">[1]定义!$C$1:$C$14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9">[2]定义!$E$2:$E$4</definedName>
    <definedName name="位置">定义!$E$2:$E$4</definedName>
    <definedName name="五等判定" localSheetId="13">[1]定义!$W$1:$W$6</definedName>
    <definedName name="五等判定" localSheetId="19">[2]定义!$W$1:$W$6</definedName>
    <definedName name="五等判定">定义!$W$1:$W$6</definedName>
    <definedName name="五级">区片价!$M$1:$M$41</definedName>
    <definedName name="项目类型" localSheetId="13">'[1]数据-汇总表'!$C$17:$C$26</definedName>
    <definedName name="项目类型" localSheetId="19">'[2]数据-汇总表'!$C$17:$C$26</definedName>
    <definedName name="项目类型" localSheetId="24">'[6]数据-汇总表'!$C$17:$C$26</definedName>
    <definedName name="项目类型">'数据-汇总表'!$C$17:$C$26</definedName>
    <definedName name="写字楼等级" localSheetId="13">'[1]比较法-办公'!$B$113:$M$113</definedName>
    <definedName name="写字楼等级" localSheetId="19">'[2]不动产比较法-办公'!$B$113:$M$113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9">[2]典型户型修正!$5:$5</definedName>
    <definedName name="一修多修正项2">典型户型修正!$5:$5</definedName>
    <definedName name="一修多修正项3" localSheetId="13">[1]典型户型修正!$7:$7</definedName>
    <definedName name="一修多修正项3" localSheetId="19">[2]典型户型修正!$7:$7</definedName>
    <definedName name="一修多修正项3">典型户型修正!$7:$7</definedName>
    <definedName name="一修多修正项4" localSheetId="13">[1]典型户型修正!$9:$9</definedName>
    <definedName name="一修多修正项4" localSheetId="19">[2]典型户型修正!$9:$9</definedName>
    <definedName name="一修多修正项4">典型户型修正!$9:$9</definedName>
    <definedName name="一修多修正项5" localSheetId="13">[1]典型户型修正!$11:$11</definedName>
    <definedName name="一修多修正项5" localSheetId="19">[2]典型户型修正!$11:$11</definedName>
    <definedName name="一修多修正项5">典型户型修正!$11:$11</definedName>
    <definedName name="一修多修正项6" localSheetId="13">[1]典型户型修正!$13:$13</definedName>
    <definedName name="一修多修正项6" localSheetId="19">[2]典型户型修正!$13:$13</definedName>
    <definedName name="一修多修正项6">典型户型修正!$13:$13</definedName>
    <definedName name="一修多修正项7" localSheetId="13">[1]典型户型修正!$15:$15</definedName>
    <definedName name="一修多修正项7" localSheetId="19">[2]典型户型修正!$15:$15</definedName>
    <definedName name="一修多修正项7">典型户型修正!$15:$15</definedName>
    <definedName name="一修多修正项8" localSheetId="13">[1]典型户型修正!$17:$17</definedName>
    <definedName name="一修多修正项8" localSheetId="19">[2]典型户型修正!$17:$17</definedName>
    <definedName name="一修多修正项8">典型户型修正!$17:$17</definedName>
    <definedName name="用途类型">[2]定义!$A$1:$A$50</definedName>
    <definedName name="用途明细" localSheetId="13">[1]定义!$A$1:$A$50</definedName>
    <definedName name="用途明细" localSheetId="19">[5]定义!$A$1:$A$50</definedName>
    <definedName name="用途明细">定义!$A$1:$A$50</definedName>
    <definedName name="有无电梯" localSheetId="13">'[1]比较法-仓储'!$B$84:$M$84</definedName>
    <definedName name="有无电梯" localSheetId="19">'[2]不动产比较法-仓储'!$B$84:$M$84</definedName>
    <definedName name="有无电梯">'比较法-仓储'!$B$84:$M$84</definedName>
    <definedName name="主用途" localSheetId="13">[1]定义!$F$1:$F$12</definedName>
    <definedName name="主用途" localSheetId="19">[2]定义!$F$1:$F$12</definedName>
    <definedName name="主用途">定义!$F$1:$F$12</definedName>
    <definedName name="住宅朝向" localSheetId="13">'[1]比较法-住宅'!$B$88:$M$88</definedName>
    <definedName name="住宅朝向" localSheetId="19">'[2]不动产比较法-住宅'!$B$88:$M$88</definedName>
    <definedName name="住宅朝向">'比较法-住宅'!$B$88:$M$88</definedName>
    <definedName name="住宅房型" localSheetId="13">'[1]比较法-住宅'!$B$118:$M$118</definedName>
    <definedName name="住宅房型" localSheetId="19">'[2]不动产比较法-住宅'!$B$118:$M$118</definedName>
    <definedName name="住宅房型">'比较法-住宅'!$B$118:$M$118</definedName>
    <definedName name="住宅公共部分装修" localSheetId="13">'[1]比较法-住宅'!$B$109:$M$109</definedName>
    <definedName name="住宅公共部分装修" localSheetId="19">'[2]不动产比较法-住宅'!$B$109:$M$109</definedName>
    <definedName name="住宅公共部分装修">'比较法-住宅'!$B$109:$M$109</definedName>
    <definedName name="住宅基础设施水平" localSheetId="13">'[1]比较法-住宅'!$B$116:$M$116</definedName>
    <definedName name="住宅基础设施水平" localSheetId="19">'[2]不动产比较法-住宅'!$B$116:$M$116</definedName>
    <definedName name="住宅基础设施水平">'比较法-住宅'!$B$116:$M$116</definedName>
    <definedName name="住宅建筑结构" localSheetId="13">'[1]比较法-住宅'!$B$105:$M$105</definedName>
    <definedName name="住宅建筑结构" localSheetId="19">'[2]不动产比较法-住宅'!$B$105:$M$105</definedName>
    <definedName name="住宅建筑结构">'比较法-住宅'!$B$105:$M$105</definedName>
    <definedName name="住宅建筑类型" localSheetId="13">'[1]比较法-住宅'!$B$100:$M$100</definedName>
    <definedName name="住宅建筑类型" localSheetId="19">'[2]不动产比较法-住宅'!$B$100:$M$100</definedName>
    <definedName name="住宅建筑类型">'比较法-住宅'!$B$100:$M$100</definedName>
    <definedName name="住宅建筑品质" localSheetId="13">'[1]比较法-住宅'!$B$107:$M$107</definedName>
    <definedName name="住宅建筑品质" localSheetId="19">'[2]不动产比较法-住宅'!$B$107:$M$107</definedName>
    <definedName name="住宅建筑品质">'比较法-住宅'!$B$107:$M$107</definedName>
    <definedName name="住宅交易情况" localSheetId="13">'[1]比较法-住宅'!$A$61:$M$61</definedName>
    <definedName name="住宅交易情况" localSheetId="19">'[2]不动产比较法-住宅'!$A$61:$M$61</definedName>
    <definedName name="住宅交易情况">'比较法-住宅'!$A$61:$M$61</definedName>
    <definedName name="住宅楼层" localSheetId="13">'[1]比较法-住宅'!$B$86:$M$86</definedName>
    <definedName name="住宅楼层" localSheetId="19">'[2]不动产比较法-住宅'!$B$86:$M$86</definedName>
    <definedName name="住宅楼层">'比较法-住宅'!$B$86:$M$86</definedName>
    <definedName name="住宅内部装修" localSheetId="13">'[1]比较法-住宅'!$B$122:$M$122</definedName>
    <definedName name="住宅内部装修" localSheetId="19">'[2]不动产比较法-住宅'!$B$122:$M$122</definedName>
    <definedName name="住宅内部装修">'比较法-住宅'!$B$122:$M$122</definedName>
    <definedName name="住宅物业管理" localSheetId="13">'[1]比较法-住宅'!$B$114:$M$114</definedName>
    <definedName name="住宅物业管理" localSheetId="19">'[2]不动产比较法-住宅'!$B$114:$M$114</definedName>
    <definedName name="住宅物业管理">'比较法-住宅'!$B$114:$M$114</definedName>
    <definedName name="住宅用途" localSheetId="13">'[1]比较法-住宅'!$B$63:$M$63</definedName>
    <definedName name="住宅用途" localSheetId="19">'[2]不动产比较法-住宅'!$B$63:$M$63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29" i="80" l="1"/>
  <c r="R27" i="77" l="1"/>
  <c r="R28" i="77"/>
  <c r="G6" i="77" l="1"/>
  <c r="D13" i="77" l="1"/>
  <c r="I91" i="9"/>
  <c r="G36" i="33"/>
  <c r="G13" i="33"/>
  <c r="I13" i="33" l="1"/>
  <c r="E13" i="33"/>
  <c r="J91" i="9"/>
  <c r="C88" i="9"/>
  <c r="E66" i="33" l="1"/>
  <c r="F66" i="33"/>
  <c r="G66" i="33"/>
  <c r="D66" i="33"/>
  <c r="D38" i="43"/>
  <c r="D37" i="43"/>
  <c r="D33" i="43"/>
  <c r="E58" i="39"/>
  <c r="E57" i="39"/>
  <c r="C11" i="39"/>
  <c r="C38" i="39"/>
  <c r="I70" i="39"/>
  <c r="J70" i="39"/>
  <c r="K70" i="39"/>
  <c r="L70" i="39" s="1"/>
  <c r="M70" i="39" s="1"/>
  <c r="N70" i="39" s="1"/>
  <c r="E70" i="39"/>
  <c r="F70" i="39" s="1"/>
  <c r="G70" i="39" s="1"/>
  <c r="H70" i="39" s="1"/>
  <c r="D70" i="39"/>
  <c r="D117" i="39"/>
  <c r="E117" i="39" s="1"/>
  <c r="F117" i="39" s="1"/>
  <c r="I7" i="39"/>
  <c r="G7" i="39"/>
  <c r="E7" i="39"/>
  <c r="I5" i="39"/>
  <c r="G5" i="39"/>
  <c r="E5" i="39"/>
  <c r="AA58" i="33" l="1"/>
  <c r="AB58" i="33" s="1"/>
  <c r="AC58" i="33" s="1"/>
  <c r="AD58" i="33" s="1"/>
  <c r="AE58" i="33" s="1"/>
  <c r="AF58" i="33" s="1"/>
  <c r="AG58" i="33" s="1"/>
  <c r="AH58" i="33" s="1"/>
  <c r="AI58" i="33" s="1"/>
  <c r="AJ58" i="33" s="1"/>
  <c r="AK58" i="33" s="1"/>
  <c r="AL58" i="33" s="1"/>
  <c r="P58" i="33"/>
  <c r="Q58" i="33" s="1"/>
  <c r="R58" i="33" s="1"/>
  <c r="S58" i="33" s="1"/>
  <c r="T58" i="33" s="1"/>
  <c r="U58" i="33" s="1"/>
  <c r="V58" i="33" s="1"/>
  <c r="W58" i="33" s="1"/>
  <c r="X58" i="33" s="1"/>
  <c r="Y58" i="33" s="1"/>
  <c r="Z58" i="33" s="1"/>
  <c r="C45" i="33" l="1"/>
  <c r="G112" i="33"/>
  <c r="F112" i="33"/>
  <c r="E112" i="33"/>
  <c r="D112" i="33"/>
  <c r="C112" i="33"/>
  <c r="D104" i="33"/>
  <c r="E104" i="33" s="1"/>
  <c r="F104" i="33" s="1"/>
  <c r="G104" i="33" s="1"/>
  <c r="B5" i="77" l="1"/>
  <c r="B4" i="77"/>
  <c r="J49" i="15"/>
  <c r="C36" i="77"/>
  <c r="C34" i="77"/>
  <c r="B35" i="1"/>
  <c r="B29" i="1"/>
  <c r="B21" i="1"/>
  <c r="N6" i="1"/>
  <c r="C17" i="80"/>
  <c r="C16" i="80"/>
  <c r="F39" i="80"/>
  <c r="E39" i="80"/>
  <c r="G39" i="80" s="1"/>
  <c r="D39" i="80"/>
  <c r="H38" i="80"/>
  <c r="F38" i="80"/>
  <c r="D38" i="80"/>
  <c r="F37" i="80"/>
  <c r="D37" i="80"/>
  <c r="F36" i="80"/>
  <c r="D36" i="80"/>
  <c r="F35" i="80"/>
  <c r="E35" i="80"/>
  <c r="D35" i="80"/>
  <c r="F34" i="80"/>
  <c r="D34" i="80"/>
  <c r="D41" i="80" s="1"/>
  <c r="H27" i="80"/>
  <c r="E20" i="80"/>
  <c r="D20" i="80"/>
  <c r="E17" i="80"/>
  <c r="E16" i="80"/>
  <c r="E15" i="80" l="1"/>
  <c r="C15" i="80"/>
  <c r="C18" i="80" s="1"/>
  <c r="E18" i="80" s="1"/>
  <c r="D15" i="80"/>
  <c r="E41" i="80"/>
  <c r="F41" i="80"/>
  <c r="G41" i="80" s="1"/>
  <c r="H41" i="80" s="1"/>
  <c r="C19" i="80"/>
  <c r="E19" i="80" s="1"/>
  <c r="E21" i="80" s="1"/>
  <c r="C21" i="80"/>
  <c r="D21" i="80" l="1"/>
  <c r="G21" i="80"/>
  <c r="I7" i="6" l="1"/>
  <c r="G19" i="6"/>
  <c r="F19" i="6"/>
  <c r="D3" i="4" l="1"/>
  <c r="G12" i="78" l="1"/>
  <c r="D12" i="78"/>
  <c r="Y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M24" i="77"/>
  <c r="R23" i="77"/>
  <c r="R22" i="77"/>
  <c r="R21" i="77"/>
  <c r="N19" i="77"/>
  <c r="R18" i="77"/>
  <c r="R17" i="77"/>
  <c r="R16" i="77"/>
  <c r="M14" i="77"/>
  <c r="N14" i="77" s="1"/>
  <c r="D14" i="77"/>
  <c r="R13" i="77"/>
  <c r="R12" i="77"/>
  <c r="R11" i="77"/>
  <c r="R10" i="77"/>
  <c r="R9" i="77"/>
  <c r="R8" i="77"/>
  <c r="R7" i="77"/>
  <c r="R4" i="77"/>
  <c r="R3" i="77"/>
  <c r="R14" i="77" l="1"/>
  <c r="R25" i="77"/>
  <c r="R35" i="77"/>
  <c r="U34" i="77" s="1"/>
  <c r="AH9" i="71"/>
  <c r="AG9" i="71"/>
  <c r="AE9" i="71"/>
  <c r="AF9" i="71" s="1"/>
  <c r="AD9" i="71"/>
  <c r="Q9" i="71"/>
  <c r="P9" i="71"/>
  <c r="O9" i="71"/>
  <c r="N9" i="71"/>
  <c r="R24" i="77" l="1"/>
  <c r="R19" i="77"/>
  <c r="R5" i="77" s="1"/>
  <c r="D6" i="77" s="1"/>
  <c r="AH10" i="71"/>
  <c r="AG10" i="71"/>
  <c r="AE10" i="71"/>
  <c r="AF10" i="71" s="1"/>
  <c r="AD10" i="71"/>
  <c r="Q10" i="71"/>
  <c r="AB9" i="71" s="1"/>
  <c r="P10" i="71"/>
  <c r="AA9" i="71" s="1"/>
  <c r="O10" i="71"/>
  <c r="Y9" i="71" s="1"/>
  <c r="Z9" i="71" s="1"/>
  <c r="N10" i="71"/>
  <c r="X9" i="71" s="1"/>
  <c r="C23" i="77" l="1"/>
  <c r="D9" i="77"/>
  <c r="D18" i="77"/>
  <c r="D16" i="77"/>
  <c r="D15" i="77"/>
  <c r="D17" i="77"/>
  <c r="D10" i="77"/>
  <c r="U5" i="77"/>
  <c r="V12" i="71"/>
  <c r="U12" i="71"/>
  <c r="T12" i="71"/>
  <c r="S12" i="71"/>
  <c r="D23" i="77" l="1"/>
  <c r="C29" i="77"/>
  <c r="E24" i="43"/>
  <c r="E23" i="77" l="1"/>
  <c r="D26" i="77"/>
  <c r="D29" i="77"/>
  <c r="D32" i="77" s="1"/>
  <c r="Q32" i="43"/>
  <c r="P32" i="43"/>
  <c r="O32" i="43"/>
  <c r="N32" i="43"/>
  <c r="M32" i="43"/>
  <c r="AH11" i="71"/>
  <c r="AG11" i="71"/>
  <c r="AE11" i="71"/>
  <c r="AF11" i="71" s="1"/>
  <c r="AD11" i="71"/>
  <c r="Q11" i="71"/>
  <c r="AB10" i="71" s="1"/>
  <c r="P11" i="71"/>
  <c r="AA10" i="71" s="1"/>
  <c r="O11" i="71"/>
  <c r="Y10" i="71" s="1"/>
  <c r="Z10" i="71" s="1"/>
  <c r="N11" i="71"/>
  <c r="X10" i="71" s="1"/>
  <c r="E26" i="77" l="1"/>
  <c r="E29" i="77"/>
  <c r="E32" i="77"/>
  <c r="AH12" i="7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W41" i="33" s="1"/>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s="1"/>
  <c r="Q27" i="33"/>
  <c r="Z27" i="33" s="1"/>
  <c r="Q26" i="33"/>
  <c r="Z26" i="33" s="1"/>
  <c r="Q25" i="33"/>
  <c r="Z25" i="33" s="1"/>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s="1"/>
  <c r="J44" i="39"/>
  <c r="AC44" i="39"/>
  <c r="F36" i="39"/>
  <c r="S36" i="39" s="1"/>
  <c r="H36" i="39"/>
  <c r="AB36" i="39"/>
  <c r="J35" i="39"/>
  <c r="AC35" i="39" s="1"/>
  <c r="F35" i="39"/>
  <c r="AA35" i="39" s="1"/>
  <c r="J36" i="39"/>
  <c r="AC36"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S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W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J36" i="37"/>
  <c r="AC36" i="37"/>
  <c r="G105" i="37"/>
  <c r="J10" i="36"/>
  <c r="AC10" i="36" s="1"/>
  <c r="AB30" i="21"/>
  <c r="AA14" i="37"/>
  <c r="W31" i="34"/>
  <c r="AC13" i="36"/>
  <c r="W13" i="36"/>
  <c r="S11" i="36"/>
  <c r="AB46" i="34"/>
  <c r="AC30" i="34"/>
  <c r="AA14" i="34"/>
  <c r="AB45" i="33"/>
  <c r="AB31" i="33"/>
  <c r="U31"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S28" i="31"/>
  <c r="S27" i="31"/>
  <c r="S26" i="31"/>
  <c r="U14" i="40"/>
  <c r="U35" i="35"/>
  <c r="AA12" i="35"/>
  <c r="W23" i="35"/>
  <c r="W14" i="37"/>
  <c r="AB28" i="37"/>
  <c r="U33" i="37"/>
  <c r="U39" i="37"/>
  <c r="W26" i="37"/>
  <c r="U26" i="37"/>
  <c r="W47" i="34"/>
  <c r="AB13" i="34"/>
  <c r="AC36" i="34"/>
  <c r="AC45"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AB34" i="39"/>
  <c r="U40" i="39"/>
  <c r="W9" i="39"/>
  <c r="W8" i="39"/>
  <c r="J19" i="40"/>
  <c r="AC19" i="40"/>
  <c r="J50" i="40"/>
  <c r="H103" i="9"/>
  <c r="D8" i="53" s="1"/>
  <c r="B16" i="53"/>
  <c r="B33" i="72" s="1"/>
  <c r="C7" i="37"/>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AC13" i="34"/>
  <c r="AA47" i="34"/>
  <c r="W28" i="37"/>
  <c r="F12" i="33"/>
  <c r="S12" i="33" s="1"/>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AB27" i="39"/>
  <c r="U31" i="39"/>
  <c r="J21" i="39"/>
  <c r="W21" i="39" s="1"/>
  <c r="F21" i="39"/>
  <c r="AA21" i="39" s="1"/>
  <c r="H21" i="39"/>
  <c r="U21" i="39" s="1"/>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W38" i="33"/>
  <c r="H41" i="33"/>
  <c r="U41" i="33" s="1"/>
  <c r="F121" i="33"/>
  <c r="G121" i="33"/>
  <c r="H121" i="33" s="1"/>
  <c r="I121" i="33" s="1"/>
  <c r="J121" i="33" s="1"/>
  <c r="K121" i="33" s="1"/>
  <c r="L121" i="33" s="1"/>
  <c r="M121" i="33" s="1"/>
  <c r="J35" i="33"/>
  <c r="AC35" i="33" s="1"/>
  <c r="S37" i="33"/>
  <c r="AA37" i="33"/>
  <c r="S39" i="33"/>
  <c r="F101" i="33"/>
  <c r="G101" i="33"/>
  <c r="H101" i="33"/>
  <c r="I101" i="33"/>
  <c r="J101" i="33"/>
  <c r="K101" i="33"/>
  <c r="L101" i="33"/>
  <c r="M101" i="33"/>
  <c r="J32" i="33"/>
  <c r="AC32" i="33" s="1"/>
  <c r="S46" i="33"/>
  <c r="W43" i="33"/>
  <c r="S43" i="33"/>
  <c r="H27" i="33"/>
  <c r="AB27" i="33" s="1"/>
  <c r="F87" i="33"/>
  <c r="G87" i="33" s="1"/>
  <c r="H87" i="33" s="1"/>
  <c r="I87" i="33" s="1"/>
  <c r="J87" i="33" s="1"/>
  <c r="K87" i="33" s="1"/>
  <c r="L87" i="33" s="1"/>
  <c r="M87" i="33" s="1"/>
  <c r="H25" i="33"/>
  <c r="F25" i="33"/>
  <c r="S25" i="33" s="1"/>
  <c r="J23" i="33"/>
  <c r="AC23" i="33" s="1"/>
  <c r="H23" i="33"/>
  <c r="AB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A13" i="39"/>
  <c r="S13" i="39"/>
  <c r="S14" i="39"/>
  <c r="AA14" i="39"/>
  <c r="U43" i="39"/>
  <c r="AB43" i="39"/>
  <c r="AB11" i="39"/>
  <c r="U11" i="39"/>
  <c r="AA27"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D68" i="9"/>
  <c r="F54" i="9"/>
  <c r="AC17" i="37"/>
  <c r="S17" i="37"/>
  <c r="J19" i="37"/>
  <c r="G75" i="37"/>
  <c r="S19" i="37"/>
  <c r="AA19" i="37"/>
  <c r="AA23" i="37"/>
  <c r="J23" i="37"/>
  <c r="G79" i="37"/>
  <c r="J10" i="37"/>
  <c r="W10" i="37" s="1"/>
  <c r="G63" i="37"/>
  <c r="H11" i="37"/>
  <c r="AB11" i="37" s="1"/>
  <c r="G70" i="34"/>
  <c r="H11" i="34"/>
  <c r="U11" i="34" s="1"/>
  <c r="J10" i="34"/>
  <c r="AC10" i="34" s="1"/>
  <c r="U27" i="33"/>
  <c r="J27" i="33"/>
  <c r="W27" i="33" s="1"/>
  <c r="U25" i="33"/>
  <c r="AB25" i="33"/>
  <c r="J25" i="33"/>
  <c r="W25" i="33" s="1"/>
  <c r="F23" i="33"/>
  <c r="AA23" i="33" s="1"/>
  <c r="H19" i="33"/>
  <c r="U19" i="33" s="1"/>
  <c r="H17" i="33"/>
  <c r="AB17" i="33" s="1"/>
  <c r="F17" i="33"/>
  <c r="AA17" i="33" s="1"/>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L48" i="67"/>
  <c r="F8" i="67"/>
  <c r="AO13" i="1"/>
  <c r="F6" i="67"/>
  <c r="M26" i="15"/>
  <c r="F37" i="67"/>
  <c r="M24" i="67"/>
  <c r="B8" i="76"/>
  <c r="M29" i="15"/>
  <c r="L47" i="15"/>
  <c r="F7" i="73"/>
  <c r="F36" i="67"/>
  <c r="F7" i="67"/>
  <c r="F4" i="73"/>
  <c r="F40" i="15"/>
  <c r="J15" i="15"/>
  <c r="F16" i="15"/>
  <c r="M8" i="15"/>
  <c r="M28" i="67"/>
  <c r="B12" i="76"/>
  <c r="E8" i="76"/>
  <c r="F40" i="67"/>
  <c r="F9" i="15"/>
  <c r="F26" i="67"/>
  <c r="D4" i="73"/>
  <c r="B10" i="76"/>
  <c r="M9" i="67"/>
  <c r="F9" i="67"/>
  <c r="E2" i="68"/>
  <c r="F8" i="15"/>
  <c r="F38" i="67"/>
  <c r="F3" i="73"/>
  <c r="B11" i="76"/>
  <c r="F7" i="15"/>
  <c r="M6" i="15"/>
  <c r="E13" i="76"/>
  <c r="M29" i="67"/>
  <c r="B7" i="76"/>
  <c r="M22" i="67"/>
  <c r="F42" i="67"/>
  <c r="M23" i="67"/>
  <c r="M8" i="67"/>
  <c r="E12" i="76"/>
  <c r="D3" i="73"/>
  <c r="F5" i="73"/>
  <c r="D5" i="73"/>
  <c r="M24" i="15"/>
  <c r="F38" i="15"/>
  <c r="D7" i="73"/>
  <c r="M28" i="15"/>
  <c r="F20" i="31"/>
  <c r="E10" i="76"/>
  <c r="L48" i="15"/>
  <c r="E7" i="76"/>
  <c r="L47" i="67"/>
  <c r="F37" i="15"/>
  <c r="E2" i="69"/>
  <c r="F13" i="67"/>
  <c r="F43" i="67"/>
  <c r="C76" i="15"/>
  <c r="M22" i="15"/>
  <c r="F16" i="67"/>
  <c r="E11" i="76"/>
  <c r="F6" i="15"/>
  <c r="J15" i="67"/>
  <c r="B9" i="76"/>
  <c r="F43" i="15"/>
  <c r="C76" i="67"/>
  <c r="D6" i="73"/>
  <c r="M6" i="67"/>
  <c r="F26" i="15"/>
  <c r="B13" i="76"/>
  <c r="M23" i="15"/>
  <c r="F13" i="15"/>
  <c r="E9" i="76"/>
  <c r="M9" i="15"/>
  <c r="M26" i="67"/>
  <c r="F42" i="15"/>
  <c r="F36" i="15"/>
  <c r="H42" i="33" l="1"/>
  <c r="AB42" i="33" s="1"/>
  <c r="W42" i="33"/>
  <c r="F111" i="33"/>
  <c r="G111" i="33" s="1"/>
  <c r="F36" i="33"/>
  <c r="AA36" i="33" s="1"/>
  <c r="U35" i="33"/>
  <c r="S38" i="33"/>
  <c r="AA25" i="33"/>
  <c r="AA13" i="33"/>
  <c r="U30" i="33"/>
  <c r="F77" i="33"/>
  <c r="G77" i="33" s="1"/>
  <c r="J15" i="33"/>
  <c r="AC15" i="33" s="1"/>
  <c r="H15" i="33"/>
  <c r="AB15" i="33" s="1"/>
  <c r="AB29" i="33"/>
  <c r="AA29" i="33"/>
  <c r="W29" i="33"/>
  <c r="W25" i="39"/>
  <c r="S21" i="39"/>
  <c r="F32" i="39"/>
  <c r="AA32" i="39" s="1"/>
  <c r="F106" i="39"/>
  <c r="W27" i="39"/>
  <c r="F90" i="39"/>
  <c r="F17" i="39"/>
  <c r="H17" i="39"/>
  <c r="U25" i="39"/>
  <c r="H123" i="39"/>
  <c r="I123" i="39" s="1"/>
  <c r="J123" i="39" s="1"/>
  <c r="K123" i="39" s="1"/>
  <c r="L123" i="39" s="1"/>
  <c r="M123" i="39" s="1"/>
  <c r="F41" i="39"/>
  <c r="S41" i="39" s="1"/>
  <c r="H41" i="39"/>
  <c r="AB41" i="39" s="1"/>
  <c r="J41" i="39"/>
  <c r="W29" i="39"/>
  <c r="AB21" i="39"/>
  <c r="U29" i="39"/>
  <c r="S23" i="39"/>
  <c r="S19" i="39"/>
  <c r="S31" i="39"/>
  <c r="S15" i="39"/>
  <c r="U42" i="39"/>
  <c r="S42" i="39"/>
  <c r="AA41" i="39"/>
  <c r="W40" i="39"/>
  <c r="AB39" i="39"/>
  <c r="AA39" i="39"/>
  <c r="S11" i="39"/>
  <c r="U9" i="39"/>
  <c r="U43" i="33"/>
  <c r="AB41" i="33"/>
  <c r="AC37" i="33"/>
  <c r="AA34" i="33"/>
  <c r="S41" i="33"/>
  <c r="AC41" i="33"/>
  <c r="S35" i="33"/>
  <c r="W35" i="33"/>
  <c r="U9" i="33"/>
  <c r="AC34" i="33"/>
  <c r="W32" i="33"/>
  <c r="AB34" i="33"/>
  <c r="U32" i="33"/>
  <c r="AC26" i="33"/>
  <c r="W26" i="33"/>
  <c r="S26" i="33"/>
  <c r="AC25" i="33"/>
  <c r="AC27" i="33"/>
  <c r="AC31" i="33"/>
  <c r="AC44" i="33"/>
  <c r="W33" i="33"/>
  <c r="AB12" i="33"/>
  <c r="AB19" i="33"/>
  <c r="U11" i="33"/>
  <c r="U40" i="33"/>
  <c r="AB21" i="33"/>
  <c r="AB26" i="33"/>
  <c r="AA12" i="33"/>
  <c r="S11" i="33"/>
  <c r="S42" i="33"/>
  <c r="AA21" i="33"/>
  <c r="AA14" i="33"/>
  <c r="S45" i="33"/>
  <c r="S23" i="33"/>
  <c r="W23" i="33"/>
  <c r="U23" i="33"/>
  <c r="W19" i="33"/>
  <c r="AA19" i="33"/>
  <c r="U17" i="33"/>
  <c r="AC17" i="33"/>
  <c r="S17" i="33"/>
  <c r="W15" i="33"/>
  <c r="U15" i="33"/>
  <c r="S15" i="33"/>
  <c r="B57" i="43"/>
  <c r="B79" i="43"/>
  <c r="B75" i="43"/>
  <c r="C29" i="39"/>
  <c r="B77" i="43"/>
  <c r="B73" i="43"/>
  <c r="B76" i="43"/>
  <c r="B68" i="43"/>
  <c r="G29" i="6"/>
  <c r="C40" i="11"/>
  <c r="AZ14" i="3"/>
  <c r="AZ18" i="3"/>
  <c r="BL15" i="3"/>
  <c r="AZ15" i="3" s="1"/>
  <c r="G6" i="1"/>
  <c r="I24" i="43"/>
  <c r="C24" i="43" s="1"/>
  <c r="J51" i="15"/>
  <c r="D23" i="15"/>
  <c r="C40" i="68"/>
  <c r="C21" i="68"/>
  <c r="C40" i="69"/>
  <c r="D87" i="43"/>
  <c r="H50" i="43"/>
  <c r="H67" i="43"/>
  <c r="H69" i="43"/>
  <c r="BA5" i="3"/>
  <c r="BL5" i="3"/>
  <c r="G28" i="6"/>
  <c r="G5" i="3"/>
  <c r="B3" i="3" s="1"/>
  <c r="E214"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19" i="3"/>
  <c r="E279" i="3"/>
  <c r="E227" i="3"/>
  <c r="E107" i="3"/>
  <c r="E478" i="3"/>
  <c r="E443" i="3"/>
  <c r="E557" i="3"/>
  <c r="E531" i="3"/>
  <c r="E447" i="3"/>
  <c r="E88" i="3"/>
  <c r="E162" i="3"/>
  <c r="E166" i="3"/>
  <c r="E210" i="3"/>
  <c r="E316" i="3"/>
  <c r="E384" i="3"/>
  <c r="E3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G1" i="73"/>
  <c r="C16" i="15"/>
  <c r="C16" i="67"/>
  <c r="D9" i="68"/>
  <c r="U42" i="33" l="1"/>
  <c r="S36" i="33"/>
  <c r="H36" i="33"/>
  <c r="H111" i="33"/>
  <c r="I111" i="33" s="1"/>
  <c r="J111" i="33" s="1"/>
  <c r="K111" i="33" s="1"/>
  <c r="L111" i="33" s="1"/>
  <c r="M111" i="33" s="1"/>
  <c r="J36" i="33"/>
  <c r="S32" i="39"/>
  <c r="G106" i="39"/>
  <c r="H106" i="39" s="1"/>
  <c r="I106" i="39" s="1"/>
  <c r="J106" i="39" s="1"/>
  <c r="K106" i="39" s="1"/>
  <c r="L106" i="39" s="1"/>
  <c r="M106" i="39" s="1"/>
  <c r="H32" i="39"/>
  <c r="J32" i="39"/>
  <c r="AB17" i="39"/>
  <c r="U17" i="39"/>
  <c r="AA17" i="39"/>
  <c r="S17" i="39"/>
  <c r="J17" i="39"/>
  <c r="G90" i="39"/>
  <c r="W41" i="39"/>
  <c r="AC41" i="39"/>
  <c r="U41" i="39"/>
  <c r="E480" i="3"/>
  <c r="E334" i="3"/>
  <c r="E295" i="3"/>
  <c r="E121" i="3"/>
  <c r="E404" i="3"/>
  <c r="E505" i="3"/>
  <c r="E448" i="3"/>
  <c r="E567" i="3"/>
  <c r="E193" i="3"/>
  <c r="E44" i="3"/>
  <c r="E331" i="3"/>
  <c r="E186" i="3"/>
  <c r="E27" i="3"/>
  <c r="E444" i="3"/>
  <c r="E477" i="3"/>
  <c r="E327" i="3"/>
  <c r="E13" i="3"/>
  <c r="L84" i="9"/>
  <c r="E29" i="3"/>
  <c r="AM6" i="3"/>
  <c r="E317" i="3"/>
  <c r="E291" i="3"/>
  <c r="E272" i="3"/>
  <c r="E126" i="3"/>
  <c r="E92" i="3"/>
  <c r="E71" i="3"/>
  <c r="E489" i="3"/>
  <c r="AS6" i="3"/>
  <c r="E558" i="3"/>
  <c r="E414" i="3"/>
  <c r="E515" i="3"/>
  <c r="E89" i="3"/>
  <c r="E362" i="3"/>
  <c r="E433" i="3"/>
  <c r="E253" i="3"/>
  <c r="E109" i="3"/>
  <c r="E572" i="3"/>
  <c r="E377" i="3"/>
  <c r="E273" i="3"/>
  <c r="E211" i="3"/>
  <c r="E182" i="3"/>
  <c r="E70" i="3"/>
  <c r="E28" i="3"/>
  <c r="E476" i="3"/>
  <c r="E581" i="3"/>
  <c r="E345" i="3"/>
  <c r="P6" i="3"/>
  <c r="AG6" i="3"/>
  <c r="E269" i="3"/>
  <c r="E318" i="3"/>
  <c r="E450"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W36" i="33" l="1"/>
  <c r="AC36" i="33"/>
  <c r="U36" i="33"/>
  <c r="AB36" i="33"/>
  <c r="AC32" i="39"/>
  <c r="W32" i="39"/>
  <c r="AB32" i="39"/>
  <c r="U32" i="39"/>
  <c r="W17" i="39"/>
  <c r="AC17" i="39"/>
  <c r="W7" i="37"/>
  <c r="H6" i="3"/>
  <c r="E6" i="3" s="1"/>
  <c r="D26" i="43"/>
  <c r="C25" i="43"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T48" i="33" l="1"/>
  <c r="G48" i="33" s="1"/>
  <c r="K83" i="9"/>
  <c r="C89" i="9" s="1"/>
  <c r="C87" i="9" s="1"/>
  <c r="D1" i="43"/>
  <c r="B14" i="74"/>
  <c r="B1" i="74" s="1"/>
  <c r="G54" i="34"/>
  <c r="H54" i="34"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D10" i="68"/>
  <c r="C17" i="67"/>
  <c r="C14" i="67"/>
  <c r="H22" i="6" l="1"/>
  <c r="E33" i="43"/>
  <c r="C25" i="11"/>
  <c r="C22" i="11" s="1"/>
  <c r="C31" i="11" s="1"/>
  <c r="M19" i="9"/>
  <c r="C118" i="9"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C30" i="43" l="1"/>
  <c r="L118" i="9"/>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E6" i="76"/>
  <c r="E2" i="76" l="1"/>
  <c r="B2" i="43"/>
  <c r="C6" i="68" s="1"/>
  <c r="D8" i="74"/>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39" i="68"/>
  <c r="C46" i="68" s="1"/>
  <c r="C45" i="68" s="1"/>
  <c r="C91" i="9"/>
  <c r="C94" i="9" s="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F35" i="67"/>
  <c r="F35" i="15"/>
  <c r="M21" i="67"/>
  <c r="M21" i="15"/>
  <c r="C43" i="68" l="1"/>
  <c r="C41" i="68" s="1"/>
  <c r="C49" i="68" s="1"/>
  <c r="C92"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2" i="77"/>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41" i="7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9" i="1"/>
  <c r="AO10" i="1"/>
  <c r="AO8" i="1"/>
  <c r="AO12" i="1"/>
  <c r="AO7" i="1"/>
  <c r="R48" i="39" l="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F65" i="39" l="1"/>
  <c r="D102" i="9"/>
  <c r="D21" i="9"/>
  <c r="B6" i="70"/>
  <c r="B2" i="70" s="1"/>
  <c r="B3" i="70" s="1"/>
  <c r="B3" i="15"/>
  <c r="C42" i="40"/>
  <c r="C43" i="40"/>
  <c r="E47" i="40"/>
  <c r="F47" i="40" s="1"/>
  <c r="E46" i="40"/>
  <c r="F46" i="40" s="1"/>
  <c r="I47" i="40"/>
  <c r="J47" i="40" s="1"/>
  <c r="D20" i="9"/>
  <c r="B2" i="39" l="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C20" i="9"/>
  <c r="B3" i="68"/>
  <c r="C57" i="68" l="1"/>
  <c r="C103" i="9"/>
  <c r="G20" i="9"/>
  <c r="C102" i="9"/>
  <c r="C21" i="9"/>
  <c r="D22" i="9"/>
  <c r="G19" i="9"/>
  <c r="K21" i="9" s="1"/>
  <c r="D59" i="9"/>
  <c r="M55" i="9" s="1"/>
  <c r="D35" i="9"/>
  <c r="C56" i="68" l="1"/>
  <c r="G21" i="9"/>
  <c r="C32" i="9"/>
  <c r="D34" i="9"/>
  <c r="C35" i="9" l="1"/>
  <c r="H118" i="9"/>
  <c r="I118" i="9" l="1"/>
  <c r="C104" i="9"/>
  <c r="H119" i="9"/>
  <c r="H5" i="52" s="1"/>
  <c r="D14" i="74"/>
  <c r="H4" i="52"/>
  <c r="H101" i="9"/>
  <c r="C34" i="9"/>
  <c r="D118" i="9" s="1"/>
  <c r="F118" i="9"/>
  <c r="K118" i="9" l="1"/>
  <c r="D119" i="9"/>
  <c r="D5" i="52" s="1"/>
  <c r="B49" i="72" s="1"/>
  <c r="D4" i="52"/>
  <c r="B47" i="72" s="1"/>
  <c r="D45" i="9"/>
  <c r="H107" i="9"/>
  <c r="M48" i="9"/>
  <c r="D5" i="53"/>
  <c r="G118" i="9"/>
  <c r="G4" i="52" s="1"/>
  <c r="B52" i="72" s="1"/>
  <c r="F119" i="9"/>
  <c r="F5" i="52" s="1"/>
  <c r="B53" i="72" s="1"/>
  <c r="F4" i="52"/>
  <c r="B51" i="72" s="1"/>
  <c r="G14" i="74"/>
  <c r="B6" i="74" s="1"/>
  <c r="E14" i="74"/>
  <c r="F14" i="74"/>
  <c r="B5" i="74"/>
  <c r="I4" i="52"/>
  <c r="H102" i="9"/>
  <c r="D7" i="53" s="1"/>
  <c r="B21" i="72" s="1"/>
  <c r="C105" i="9"/>
  <c r="E118" i="9" l="1"/>
  <c r="E4" i="52" s="1"/>
  <c r="B48" i="72" s="1"/>
  <c r="C72" i="9"/>
  <c r="C93" i="9"/>
  <c r="C86" i="9" s="1"/>
  <c r="D52" i="9"/>
  <c r="D53" i="9"/>
  <c r="D48" i="9" s="1"/>
  <c r="M52" i="9" s="1"/>
  <c r="C64" i="9"/>
  <c r="C63" i="9" s="1"/>
  <c r="C67" i="9" s="1"/>
  <c r="C68" i="9" s="1"/>
  <c r="D54" i="9" s="1"/>
  <c r="D55" i="9"/>
  <c r="M53" i="9" s="1"/>
  <c r="C78" i="9"/>
  <c r="C73" i="9" s="1"/>
  <c r="C85" i="9"/>
  <c r="D5" i="74"/>
  <c r="C5" i="74"/>
  <c r="D6" i="74"/>
  <c r="D6" i="53"/>
  <c r="B22" i="72" s="1"/>
  <c r="B20" i="72"/>
  <c r="H108" i="9"/>
  <c r="D15" i="53" s="1"/>
  <c r="B31" i="72" s="1"/>
  <c r="D122" i="9"/>
  <c r="M49" i="9"/>
  <c r="D13" i="53"/>
  <c r="C6" i="74" l="1"/>
  <c r="C95" i="9"/>
  <c r="C96" i="9" s="1"/>
  <c r="E96" i="9" s="1"/>
  <c r="E97" i="9" s="1"/>
  <c r="L68" i="9"/>
  <c r="M68" i="9" s="1"/>
  <c r="L65" i="9"/>
  <c r="M65" i="9" s="1"/>
  <c r="L66" i="9"/>
  <c r="M66" i="9" s="1"/>
  <c r="L67" i="9"/>
  <c r="M67" i="9" s="1"/>
  <c r="L63" i="9"/>
  <c r="M63" i="9" s="1"/>
  <c r="L64" i="9"/>
  <c r="M64" i="9" s="1"/>
  <c r="D123" i="9"/>
  <c r="D9" i="52" s="1"/>
  <c r="D8" i="52"/>
  <c r="B30" i="72"/>
  <c r="D14" i="53"/>
  <c r="B32" i="72" s="1"/>
  <c r="C79" i="9"/>
  <c r="C80" i="9" l="1"/>
  <c r="E80" i="9" s="1"/>
  <c r="E81" i="9" s="1"/>
  <c r="C81" i="9"/>
  <c r="C97" i="9"/>
  <c r="D58" i="9" s="1"/>
  <c r="D56" i="9" s="1"/>
  <c r="M54" i="9" s="1"/>
  <c r="N57" i="9" s="1"/>
  <c r="M69" i="9"/>
  <c r="N69" i="9" s="1"/>
  <c r="N58" i="9" l="1"/>
  <c r="P57" i="9"/>
  <c r="N59" i="9"/>
  <c r="N60" i="9" l="1"/>
  <c r="H111"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<sst xmlns="http://schemas.openxmlformats.org/spreadsheetml/2006/main" count="9228" uniqueCount="3836">
  <si>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</si>
  <si>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</si>
  <si>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</si>
  <si>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</si>
  <si>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</si>
  <si>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</si>
  <si>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</si>
  <si>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</si>
  <si>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</si>
  <si>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</si>
  <si>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</si>
  <si>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</si>
  <si>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</si>
  <si>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</si>
  <si>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</si>
  <si>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</si>
  <si>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</si>
  <si>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</si>
  <si>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</si>
  <si>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</si>
  <si>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</si>
  <si>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</si>
  <si>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</si>
  <si>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</si>
  <si>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</si>
  <si>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</si>
  <si>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</si>
  <si>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</si>
  <si>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</si>
  <si>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</si>
  <si>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</si>
  <si>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</si>
  <si>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</si>
  <si>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</si>
  <si>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</si>
  <si>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</si>
  <si>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</si>
  <si>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</si>
  <si>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</si>
  <si>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</si>
  <si>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</si>
  <si>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</si>
  <si>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</si>
  <si>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</si>
  <si>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</si>
  <si>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</si>
  <si>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</si>
  <si>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</si>
  <si>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</si>
  <si>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</si>
  <si>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</si>
  <si>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</si>
  <si>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</si>
  <si>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</si>
  <si>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</si>
  <si>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</si>
  <si>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</si>
  <si>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</si>
  <si>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</si>
  <si>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</si>
  <si>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</si>
  <si>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</si>
  <si>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</si>
  <si>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</si>
  <si>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</si>
  <si>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</si>
  <si>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</si>
  <si>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</si>
  <si>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</si>
  <si>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</si>
  <si>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</si>
  <si>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</si>
  <si>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</si>
  <si>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</si>
  <si>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</si>
  <si>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</si>
  <si>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</si>
  <si>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</si>
  <si>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</si>
  <si>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</si>
  <si>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</si>
  <si>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</si>
  <si>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</si>
  <si>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</si>
  <si>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</si>
  <si>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</si>
  <si>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</si>
  <si>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</si>
  <si>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</si>
  <si>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</si>
  <si>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</si>
  <si>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</si>
  <si>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</si>
  <si>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</si>
  <si>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</si>
  <si>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</si>
  <si>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</si>
  <si>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</si>
  <si>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</si>
  <si>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</si>
  <si>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</si>
  <si>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</si>
  <si>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</si>
  <si>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</si>
  <si>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</si>
  <si>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</si>
  <si>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</si>
  <si>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</si>
  <si>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</si>
  <si>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</si>
  <si>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</si>
  <si>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</si>
  <si>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</si>
  <si>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</si>
  <si>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</si>
  <si>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</si>
  <si>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</si>
  <si>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</si>
  <si>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</si>
  <si>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</si>
  <si>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</si>
  <si>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</si>
  <si>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</si>
  <si>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</si>
  <si>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</si>
  <si>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</si>
  <si>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</si>
  <si>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</si>
  <si>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</si>
  <si>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</si>
  <si>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</si>
  <si>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</si>
  <si>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</si>
  <si>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</si>
  <si>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</si>
  <si>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</si>
  <si>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</si>
  <si>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</si>
  <si>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</si>
  <si>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</si>
  <si>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</si>
  <si>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</si>
  <si>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</si>
  <si>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</si>
  <si>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</si>
  <si>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</si>
  <si>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</si>
  <si>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</si>
  <si>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</si>
  <si>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</si>
  <si>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</si>
  <si>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</si>
  <si>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</si>
  <si>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</si>
  <si>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</si>
  <si>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</si>
  <si>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</si>
  <si>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</si>
  <si>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</si>
  <si>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</si>
  <si>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</si>
  <si>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</si>
  <si>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</si>
  <si>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</si>
  <si>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</si>
  <si>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</si>
  <si>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</si>
  <si>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</si>
  <si>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</si>
  <si>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</si>
  <si>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</si>
  <si>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</si>
  <si>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</si>
  <si>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</si>
  <si>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</si>
  <si>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</si>
  <si>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</si>
  <si>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</si>
  <si>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</si>
  <si>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</si>
  <si>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</si>
  <si>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</si>
  <si>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</si>
  <si>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</si>
  <si>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</si>
  <si>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</si>
  <si>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</si>
  <si>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</si>
  <si>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</si>
  <si>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</si>
  <si>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</si>
  <si>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</si>
  <si>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</si>
  <si>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</si>
  <si>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</si>
  <si>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</si>
  <si>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</si>
  <si>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</si>
  <si>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</si>
  <si>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</si>
  <si>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</si>
  <si>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</si>
  <si>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</si>
  <si>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</si>
  <si>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</si>
  <si>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</si>
  <si>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</si>
  <si>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</si>
  <si>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</si>
  <si>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</si>
  <si>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</si>
  <si>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</si>
  <si>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</si>
  <si>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</si>
  <si>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</si>
  <si>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</si>
  <si>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</si>
  <si>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</si>
  <si>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</si>
  <si>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</si>
  <si>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</si>
  <si>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</si>
  <si>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</si>
  <si>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</si>
  <si>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</si>
  <si>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</si>
  <si>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</si>
  <si>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</si>
  <si>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</si>
  <si>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</si>
  <si>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</si>
  <si>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</si>
  <si>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</si>
  <si>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</si>
  <si>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</si>
  <si>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</si>
  <si>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</si>
  <si>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</si>
  <si>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</si>
  <si>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</si>
  <si>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</si>
  <si>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</si>
  <si>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</si>
  <si>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</si>
  <si>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</si>
  <si>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</si>
  <si>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</si>
  <si>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</si>
  <si>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</si>
  <si>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</si>
  <si>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</si>
  <si>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</si>
  <si>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</si>
  <si>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</si>
  <si>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</si>
  <si>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</si>
  <si>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</si>
  <si>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</si>
  <si>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</si>
  <si>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</si>
  <si>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</si>
  <si>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</si>
  <si>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</si>
  <si>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</si>
  <si>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</si>
  <si>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</si>
  <si>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</si>
  <si>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</si>
  <si>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</si>
  <si>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</si>
  <si>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</si>
  <si>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</si>
  <si>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</si>
  <si>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</si>
  <si>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</si>
  <si>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</si>
  <si>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</si>
  <si>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</si>
  <si>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</si>
  <si>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</si>
  <si>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</si>
  <si>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</si>
  <si>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</si>
  <si>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</si>
  <si>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</si>
  <si>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</si>
  <si>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</si>
  <si>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</si>
  <si>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</si>
  <si>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</si>
  <si>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</si>
  <si>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</si>
  <si>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</si>
  <si>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</si>
  <si>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</si>
  <si>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</si>
  <si>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</si>
  <si>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</si>
  <si>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</si>
  <si>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</si>
  <si>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</si>
  <si>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</si>
  <si>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</si>
  <si>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</si>
  <si>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</si>
  <si>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</si>
  <si>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</si>
  <si>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</si>
  <si>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</si>
  <si>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</si>
  <si>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</si>
  <si>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</si>
  <si>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</si>
  <si>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</si>
  <si>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</si>
  <si>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</si>
  <si>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</si>
  <si>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</si>
  <si>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</si>
  <si>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</si>
  <si>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</si>
  <si>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</si>
  <si>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</si>
  <si>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</si>
  <si>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</si>
  <si>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</si>
  <si>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</si>
  <si>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</si>
  <si>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</si>
  <si>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</si>
  <si>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</si>
  <si>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</si>
  <si>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</si>
  <si>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</si>
  <si>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</si>
  <si>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</si>
  <si>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</si>
  <si>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</si>
  <si>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</si>
  <si>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</si>
  <si>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</si>
  <si>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</si>
  <si>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</si>
  <si>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</si>
  <si>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</si>
  <si>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</si>
  <si>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</si>
  <si>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</si>
  <si>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</si>
  <si>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</si>
  <si>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</si>
  <si>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</si>
  <si>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</si>
  <si>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</si>
  <si>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</si>
  <si>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</si>
  <si>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</si>
  <si>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</si>
  <si>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</si>
  <si>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</si>
  <si>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</si>
  <si>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</si>
  <si>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</si>
  <si>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</si>
  <si>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</si>
  <si>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</si>
  <si>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</si>
  <si>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</si>
  <si>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</si>
  <si>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</si>
  <si>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</si>
  <si>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</si>
  <si>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</si>
  <si>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</si>
  <si>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</si>
  <si>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</si>
  <si>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</si>
  <si>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</si>
  <si>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</si>
  <si>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</si>
  <si>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</si>
  <si>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</si>
  <si>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</si>
  <si>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</si>
  <si>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</si>
  <si>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</si>
  <si>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</si>
  <si>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</si>
  <si>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</si>
  <si>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</si>
  <si>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</si>
  <si>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</si>
  <si>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</si>
  <si>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</si>
  <si>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</si>
  <si>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</si>
  <si>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</si>
  <si>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</si>
  <si>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</si>
  <si>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</si>
  <si>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</si>
  <si>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</si>
  <si>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</si>
  <si>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</si>
  <si>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</si>
  <si>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</si>
  <si>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</si>
  <si>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</si>
  <si>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</si>
  <si>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</si>
  <si>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</si>
  <si>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</si>
  <si>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</si>
  <si>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</si>
  <si>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</si>
  <si>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</si>
  <si>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</si>
  <si>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</si>
  <si>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</si>
  <si>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</si>
  <si>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</si>
  <si>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</si>
  <si>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</si>
  <si>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</si>
  <si>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</si>
  <si>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</si>
  <si>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</si>
  <si>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</si>
  <si>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</si>
  <si>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</si>
  <si>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</si>
  <si>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</si>
  <si>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</si>
  <si>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</si>
  <si>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</si>
  <si>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</si>
  <si>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</si>
  <si>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</si>
  <si>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</si>
  <si>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</si>
  <si>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</si>
  <si>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</si>
  <si>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</si>
  <si>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</si>
  <si>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</si>
  <si>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</si>
  <si>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</si>
  <si>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</si>
  <si>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</si>
  <si>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</si>
  <si>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</si>
  <si>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</si>
  <si>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</si>
  <si>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</si>
  <si>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</si>
  <si>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</si>
  <si>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</si>
  <si>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</si>
  <si>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</si>
  <si>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</si>
  <si>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</si>
  <si>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</si>
  <si>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</si>
  <si>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</si>
  <si>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</si>
  <si>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</si>
  <si>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</si>
  <si>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</si>
  <si>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</si>
  <si>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</si>
  <si>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</si>
  <si>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</si>
  <si>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</si>
  <si>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</si>
  <si>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</si>
  <si>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</si>
  <si>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</si>
  <si>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</si>
  <si>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</si>
  <si>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</si>
  <si>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</si>
  <si>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</si>
  <si>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</si>
  <si>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</si>
  <si>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</si>
  <si>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</si>
  <si>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</si>
  <si>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</si>
  <si>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</si>
  <si>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</si>
  <si>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</si>
  <si>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</si>
  <si>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</si>
  <si>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</si>
  <si>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</si>
  <si>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</si>
  <si>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</si>
  <si>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</si>
  <si>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</si>
  <si>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</si>
  <si>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</si>
  <si>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</si>
  <si>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</si>
  <si>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</si>
  <si>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</si>
  <si>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</si>
  <si>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</si>
  <si>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</si>
  <si>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</si>
  <si>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</si>
  <si>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</si>
  <si>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</si>
  <si>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</si>
  <si>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</si>
  <si>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</si>
  <si>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</si>
  <si>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</si>
  <si>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</si>
  <si>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</si>
  <si>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</si>
  <si>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</si>
  <si>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</si>
  <si>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</si>
  <si>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</si>
  <si>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</si>
  <si>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</si>
  <si>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</si>
  <si>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</si>
  <si>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</si>
  <si>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</si>
  <si>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</si>
  <si>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</si>
  <si>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</si>
  <si>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</si>
  <si>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</si>
  <si>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</si>
  <si>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</si>
  <si>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</si>
  <si>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</si>
  <si>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</si>
  <si>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</si>
  <si>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</si>
  <si>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</si>
  <si>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</si>
  <si>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</si>
  <si>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</si>
  <si>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</si>
  <si>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</si>
  <si>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</si>
  <si>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</si>
  <si>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</si>
  <si>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</si>
  <si>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</si>
  <si>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</si>
  <si>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</si>
  <si>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</si>
  <si>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</si>
  <si>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</si>
  <si>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</si>
  <si>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</si>
  <si>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</si>
  <si>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</si>
  <si>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</si>
  <si>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</si>
  <si>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</si>
  <si>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</si>
  <si>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</si>
  <si>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</si>
  <si>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</si>
  <si>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</si>
  <si>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</si>
  <si>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</si>
  <si>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</si>
  <si>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</si>
  <si>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</si>
  <si>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</si>
  <si>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</si>
  <si>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</si>
  <si>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</si>
  <si>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</si>
  <si>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</si>
  <si>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</si>
  <si>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</si>
  <si>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</si>
  <si>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</si>
  <si>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</si>
  <si>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</si>
  <si>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</si>
  <si>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</si>
  <si>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</si>
  <si>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</si>
  <si>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</si>
  <si>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</si>
  <si>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</si>
  <si>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</si>
  <si>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</si>
  <si>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</si>
  <si>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</si>
  <si>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</si>
  <si>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</si>
  <si>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</si>
  <si>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</si>
  <si>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</si>
  <si>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</si>
  <si>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</si>
  <si>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</si>
  <si>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</si>
  <si>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</si>
  <si>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</si>
  <si>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</si>
  <si>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</si>
  <si>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</si>
  <si>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</si>
  <si>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</si>
  <si>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</si>
  <si>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</si>
  <si>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</si>
  <si>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</si>
  <si>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</si>
  <si>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</si>
  <si>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</si>
  <si>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</si>
  <si>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</si>
  <si>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</si>
  <si>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</si>
  <si>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</si>
  <si>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</si>
  <si>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</si>
  <si>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</si>
  <si>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</si>
  <si>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</si>
  <si>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</si>
  <si>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</si>
  <si>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</si>
  <si>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</si>
  <si>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</si>
  <si>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</si>
  <si>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</si>
  <si>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</si>
  <si>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</si>
  <si>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</si>
  <si>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</si>
  <si>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</si>
  <si>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</si>
  <si>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</si>
  <si>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</si>
  <si>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</si>
  <si>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</si>
  <si>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</si>
  <si>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</si>
  <si>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</si>
  <si>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</si>
  <si>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</si>
  <si>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</si>
  <si>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</si>
  <si>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</si>
  <si>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</si>
  <si>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</si>
  <si>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</si>
  <si>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</si>
  <si>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</si>
  <si>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</si>
  <si>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</si>
  <si>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</si>
  <si>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</si>
  <si>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</si>
  <si>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</si>
  <si>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</si>
  <si>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</si>
  <si>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</si>
  <si>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</si>
  <si>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</si>
  <si>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</si>
  <si>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</si>
  <si>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</si>
  <si>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</si>
  <si>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</si>
  <si>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</si>
  <si>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</si>
  <si>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</si>
  <si>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</si>
  <si>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</si>
  <si>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</si>
  <si>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</si>
  <si>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</si>
  <si>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</si>
  <si>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</si>
  <si>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</si>
  <si>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</si>
  <si>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</si>
  <si>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</si>
  <si>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</si>
  <si>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</si>
  <si>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</si>
  <si>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</si>
  <si>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</si>
  <si>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</si>
  <si>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</si>
  <si>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</si>
  <si>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</si>
  <si>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</si>
  <si>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</si>
  <si>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</si>
  <si>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</si>
  <si>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</si>
  <si>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</si>
  <si>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</si>
  <si>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</si>
  <si>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</si>
  <si>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</si>
  <si>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</si>
  <si>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</si>
  <si>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</si>
  <si>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</si>
  <si>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</si>
  <si>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</si>
  <si>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</si>
  <si>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</si>
  <si>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</si>
  <si>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</si>
  <si>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</si>
  <si>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</si>
  <si>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</si>
  <si>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</si>
  <si>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</si>
  <si>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</si>
  <si>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</si>
  <si>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</si>
  <si>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</si>
  <si>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</si>
  <si>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</si>
  <si>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</si>
  <si>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</si>
  <si>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</si>
  <si>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</si>
  <si>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</si>
  <si>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</si>
  <si>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</si>
  <si>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</si>
  <si>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</si>
  <si>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</si>
  <si>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</si>
  <si>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</si>
  <si>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</si>
  <si>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</si>
  <si>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</si>
  <si>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</si>
  <si>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</si>
  <si>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</si>
  <si>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</si>
  <si>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</si>
  <si>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</si>
  <si>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</si>
  <si>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</si>
  <si>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</si>
  <si>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</si>
  <si>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</si>
  <si>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</si>
  <si>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</si>
  <si>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</si>
  <si>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</si>
  <si>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</si>
  <si>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</si>
  <si>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</si>
  <si>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</si>
  <si>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</si>
  <si>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</si>
  <si>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</si>
  <si>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</si>
  <si>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</si>
  <si>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</si>
  <si>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</si>
  <si>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</si>
  <si>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</si>
  <si>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</si>
  <si>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</si>
  <si>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</si>
  <si>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</si>
  <si>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</si>
  <si>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</si>
  <si>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</si>
  <si>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</si>
  <si>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</si>
  <si>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</si>
  <si>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</si>
  <si>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</si>
  <si>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</si>
  <si>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</si>
  <si>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</si>
  <si>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</si>
  <si>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</si>
  <si>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</si>
  <si>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</si>
  <si>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</si>
  <si>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</si>
  <si>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</si>
  <si>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</si>
  <si>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</si>
  <si>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</si>
  <si>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</si>
  <si>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</si>
  <si>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</si>
  <si>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</si>
  <si>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</si>
  <si>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</si>
  <si>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</si>
  <si>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</si>
  <si>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</si>
  <si>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</si>
  <si>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</si>
  <si>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</si>
  <si>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</si>
  <si>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</si>
  <si>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</si>
  <si>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</si>
  <si>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</si>
  <si>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</si>
  <si>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</si>
  <si>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</si>
  <si>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</si>
  <si>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</si>
  <si>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</si>
  <si>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</si>
  <si>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</si>
  <si>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</si>
  <si>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</si>
  <si>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</si>
  <si>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</si>
  <si>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</si>
  <si>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</si>
  <si>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</si>
  <si>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</si>
  <si>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</si>
  <si>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</si>
  <si>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</si>
  <si>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</si>
  <si>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</si>
  <si>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</si>
  <si>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</si>
  <si>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</si>
  <si>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</si>
  <si>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</si>
  <si>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</si>
  <si>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</si>
  <si>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</si>
  <si>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</si>
  <si>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</si>
  <si>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</si>
  <si>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</si>
  <si>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</si>
  <si>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</si>
  <si>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</si>
  <si>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</si>
  <si>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</si>
  <si>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</si>
  <si>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</si>
  <si>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</si>
  <si>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</si>
  <si>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</si>
  <si>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</si>
  <si>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</si>
  <si>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</si>
  <si>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</si>
  <si>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</si>
  <si>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</si>
  <si>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</si>
  <si>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</si>
  <si>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</si>
  <si>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</si>
  <si>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</si>
  <si>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</si>
  <si>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</si>
  <si>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</si>
  <si>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</si>
  <si>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</si>
  <si>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</si>
  <si>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</si>
  <si>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</si>
  <si>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</si>
  <si>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</si>
  <si>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</si>
  <si>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</si>
  <si>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</si>
  <si>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</si>
  <si>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</si>
  <si>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</si>
  <si>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</si>
  <si>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</si>
  <si>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</si>
  <si>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</si>
  <si>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</si>
  <si>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</si>
  <si>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</si>
  <si>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</si>
  <si>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</si>
  <si>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</si>
  <si>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</si>
  <si>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</si>
  <si>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</si>
  <si>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</si>
  <si>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</si>
  <si>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</si>
  <si>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</si>
  <si>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</si>
  <si>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</si>
  <si>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</si>
  <si>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</si>
  <si>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</si>
  <si>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</si>
  <si>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</si>
  <si>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</si>
  <si>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</si>
  <si>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</si>
  <si>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</si>
  <si>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</si>
  <si>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</si>
  <si>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</si>
  <si>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</si>
  <si>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</si>
  <si>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</si>
  <si>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</si>
  <si>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</si>
  <si>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</si>
  <si>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</si>
  <si>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</si>
  <si>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</si>
  <si>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</si>
  <si>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</si>
  <si>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</si>
  <si>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</si>
  <si>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</si>
  <si>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</si>
  <si>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</si>
  <si>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</si>
  <si>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</si>
  <si>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</si>
  <si>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</si>
  <si>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</si>
  <si>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</si>
  <si>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</si>
  <si>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</si>
  <si>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</si>
  <si>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</si>
  <si>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</si>
  <si>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</si>
  <si>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</si>
  <si>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</si>
  <si>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</si>
  <si>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</si>
  <si>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</si>
  <si>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</si>
  <si>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</si>
  <si>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</si>
  <si>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</si>
  <si>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</si>
  <si>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</si>
  <si>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</si>
  <si>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</si>
  <si>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</si>
  <si>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</si>
  <si>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</si>
  <si>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</si>
  <si>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</si>
  <si>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</si>
  <si>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</si>
  <si>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</si>
  <si>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</si>
  <si>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</si>
  <si>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</si>
  <si>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</si>
  <si>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</si>
  <si>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</si>
  <si>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</si>
  <si>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</si>
  <si>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</si>
  <si>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</si>
  <si>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</si>
  <si>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</si>
  <si>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</si>
  <si>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</si>
  <si>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</si>
  <si>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</si>
  <si>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</si>
  <si>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</si>
  <si>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</si>
  <si>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</si>
  <si>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</si>
  <si>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</si>
  <si>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</si>
  <si>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</si>
  <si>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</si>
  <si>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</si>
  <si>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</si>
  <si>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</si>
  <si>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</si>
  <si>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</si>
  <si>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</si>
  <si>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</si>
  <si>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</si>
  <si>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</si>
  <si>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</si>
  <si>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</si>
  <si>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</si>
  <si>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</si>
  <si>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</si>
  <si>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</si>
  <si>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</si>
  <si>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</si>
  <si>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</si>
  <si>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</si>
  <si>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</si>
  <si>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</si>
  <si>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</si>
  <si>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</si>
  <si>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</si>
  <si>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</si>
  <si>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</si>
  <si>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</si>
  <si>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</si>
  <si>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</si>
  <si>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</si>
  <si>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</si>
  <si>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</si>
  <si>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</si>
  <si>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</si>
  <si>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</si>
  <si>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</si>
  <si>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</si>
  <si>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</si>
  <si>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</si>
  <si>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</si>
  <si>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</si>
  <si>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</si>
  <si>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</si>
  <si>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</si>
  <si>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</si>
  <si>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</si>
  <si>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</si>
  <si>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</si>
  <si>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</si>
  <si>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</si>
  <si>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</si>
  <si>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</si>
  <si>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</si>
  <si>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</si>
  <si>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</si>
  <si>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</si>
  <si>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</si>
  <si>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</si>
  <si>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</si>
  <si>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</si>
  <si>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</si>
  <si>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</si>
  <si>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</si>
  <si>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</si>
  <si>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</si>
  <si>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</si>
  <si>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</si>
  <si>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</si>
  <si>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</si>
  <si>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</si>
  <si>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</si>
  <si>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</si>
  <si>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</si>
  <si>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</si>
  <si>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</si>
  <si>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</si>
  <si>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</si>
  <si>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</si>
  <si>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</si>
  <si>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</si>
  <si>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</si>
  <si>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</si>
  <si>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</si>
  <si>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</si>
  <si>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</si>
  <si>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</si>
  <si>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</si>
  <si>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</si>
  <si>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</si>
  <si>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</si>
  <si>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</si>
  <si>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</si>
  <si>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</si>
  <si>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</si>
  <si>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</si>
  <si>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</si>
  <si>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</si>
  <si>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</si>
  <si>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</si>
  <si>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</si>
  <si>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</si>
  <si>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</si>
  <si>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</si>
  <si>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</si>
  <si>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</si>
  <si>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</si>
  <si>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</si>
  <si>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</si>
  <si>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</si>
  <si>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</si>
  <si>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</si>
  <si>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</si>
  <si>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</si>
  <si>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</si>
  <si>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</si>
  <si>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</si>
  <si>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</si>
  <si>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</si>
  <si>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</si>
  <si>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</si>
  <si>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</si>
  <si>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</si>
  <si>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</si>
  <si>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</si>
  <si>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</si>
  <si>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</si>
  <si>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</si>
  <si>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</si>
  <si>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</si>
  <si>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</si>
  <si>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</si>
  <si>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</si>
  <si>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</si>
  <si>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</si>
  <si>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</si>
  <si>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</si>
  <si>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</si>
  <si>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</si>
  <si>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</si>
  <si>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</si>
  <si>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</si>
  <si>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</si>
  <si>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</si>
  <si>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</si>
  <si>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</si>
  <si>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</si>
  <si>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</si>
  <si>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</si>
  <si>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</si>
  <si>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</si>
  <si>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</si>
  <si>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</si>
  <si>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</si>
  <si>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</si>
  <si>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</si>
  <si>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</si>
  <si>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</si>
  <si>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</si>
  <si>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</si>
  <si>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</si>
  <si>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</si>
  <si>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</si>
  <si>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</si>
  <si>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</si>
  <si>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</si>
  <si>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</si>
  <si>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</si>
  <si>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</si>
  <si>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</si>
  <si>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</si>
  <si>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</si>
  <si>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</si>
  <si>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</si>
  <si>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</si>
  <si>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</si>
  <si>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</si>
  <si>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</si>
  <si>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</si>
  <si>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</si>
  <si>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</si>
  <si>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</si>
  <si>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</si>
  <si>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</si>
  <si>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</si>
  <si>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</si>
  <si>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</si>
  <si>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</si>
  <si>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</si>
  <si>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</si>
  <si>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</si>
  <si>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</si>
  <si>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</si>
  <si>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</si>
  <si>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</si>
  <si>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</si>
  <si>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</si>
  <si>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</si>
  <si>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</si>
  <si>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</si>
  <si>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</si>
  <si>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</si>
  <si>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</si>
  <si>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</si>
  <si>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</si>
  <si>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</si>
  <si>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</si>
  <si>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</si>
  <si>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</si>
  <si>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</si>
  <si>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</si>
  <si>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</si>
  <si>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</si>
  <si>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</si>
  <si>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</si>
  <si>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</si>
  <si>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</si>
  <si>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</si>
  <si>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</si>
  <si>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</si>
  <si>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</si>
  <si>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</si>
  <si>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</si>
  <si>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</si>
  <si>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</si>
  <si>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</si>
  <si>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</si>
  <si>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</si>
  <si>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</si>
  <si>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</si>
  <si>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</si>
  <si>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</si>
  <si>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</si>
  <si>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</si>
  <si>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</si>
  <si>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</si>
  <si>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</si>
  <si>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</si>
  <si>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</si>
  <si>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</si>
  <si>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</si>
  <si>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</si>
  <si>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</si>
  <si>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</si>
  <si>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</si>
  <si>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</si>
  <si>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</si>
  <si>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</si>
  <si>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</si>
  <si>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</si>
  <si>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</si>
  <si>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</si>
  <si>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</si>
  <si>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</si>
  <si>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</si>
  <si>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</si>
  <si>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</si>
  <si>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</si>
  <si>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</si>
  <si>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</si>
  <si>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</si>
  <si>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</si>
  <si>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</si>
  <si>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</si>
  <si>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</si>
  <si>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</si>
  <si>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</si>
  <si>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</si>
  <si>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</si>
  <si>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</si>
  <si>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</si>
  <si>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</si>
  <si>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</si>
  <si>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</si>
  <si>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</si>
  <si>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</si>
  <si>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</si>
  <si>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</si>
  <si>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</si>
  <si>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</si>
  <si>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</si>
  <si>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</si>
  <si>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</si>
  <si>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</si>
  <si>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</si>
  <si>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</si>
  <si>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</si>
  <si>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</si>
  <si>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</si>
  <si>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</si>
  <si>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</si>
  <si>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</si>
  <si>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</si>
  <si>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</si>
  <si>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</si>
  <si>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</si>
  <si>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</si>
  <si>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</si>
  <si>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</si>
  <si>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</si>
  <si>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</si>
  <si>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</si>
  <si>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</si>
  <si>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</si>
  <si>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</si>
  <si>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</si>
  <si>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</si>
  <si>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</si>
  <si>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</si>
  <si>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</si>
  <si>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</si>
  <si>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</si>
  <si>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</si>
  <si>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</si>
  <si>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</si>
  <si>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</si>
  <si>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</si>
  <si>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</si>
  <si>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</si>
  <si>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</si>
  <si>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</si>
  <si>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</si>
  <si>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</si>
  <si>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</si>
  <si>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</si>
  <si>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</si>
  <si>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</si>
  <si>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</si>
  <si>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</si>
  <si>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</si>
  <si>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</si>
  <si>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</si>
  <si>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</si>
  <si>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</si>
  <si>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</si>
  <si>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</si>
  <si>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</si>
  <si>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</si>
  <si>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</si>
  <si>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</si>
  <si>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</si>
  <si>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</si>
  <si>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</si>
  <si>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</si>
  <si>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</si>
  <si>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</si>
  <si>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</si>
  <si>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</si>
  <si>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</si>
  <si>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</si>
  <si>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</si>
  <si>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</si>
  <si>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</si>
  <si>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</si>
  <si>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</si>
  <si>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</si>
  <si>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</si>
  <si>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</si>
  <si>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</si>
  <si>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</si>
  <si>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</si>
  <si>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</si>
  <si>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</si>
  <si>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</si>
  <si>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</si>
  <si>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</si>
  <si>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</si>
  <si>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</si>
  <si>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</si>
  <si>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</si>
  <si>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</si>
  <si>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</si>
  <si>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</si>
  <si>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</si>
  <si>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</si>
  <si>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</si>
  <si>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</si>
  <si>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</si>
  <si>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</si>
  <si>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</si>
  <si>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</si>
  <si>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</si>
  <si>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</si>
  <si>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</si>
  <si>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</si>
  <si>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</si>
  <si>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</si>
  <si>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</si>
  <si>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</si>
  <si>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</si>
  <si>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</si>
  <si>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</si>
  <si>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</si>
  <si>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</si>
  <si>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</si>
  <si>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</si>
  <si>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</si>
  <si>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</si>
  <si>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</si>
  <si>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</si>
  <si>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</si>
  <si>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</si>
  <si>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</si>
  <si>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</si>
  <si>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</si>
  <si>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</si>
  <si>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</si>
  <si>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</si>
  <si>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</si>
  <si>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</si>
  <si>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</si>
  <si>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</si>
  <si>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</si>
  <si>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</si>
  <si>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</si>
  <si>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</si>
  <si>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</si>
  <si>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</si>
  <si>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</si>
  <si>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</si>
  <si>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</si>
  <si>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</si>
  <si>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</si>
  <si>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</si>
  <si>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</si>
  <si>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</si>
  <si>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</si>
  <si>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</si>
  <si>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</si>
  <si>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</si>
  <si>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</si>
  <si>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</si>
  <si>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</si>
  <si>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</si>
  <si>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</si>
  <si>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</si>
  <si>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</si>
  <si>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</si>
  <si>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</si>
  <si>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</si>
  <si>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</si>
  <si>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</si>
  <si>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</si>
  <si>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</si>
  <si>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</si>
  <si>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</si>
  <si>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</si>
  <si>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</si>
  <si>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</si>
  <si>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</si>
  <si>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</si>
  <si>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</si>
  <si>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</si>
  <si>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</si>
  <si>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</si>
  <si>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</si>
  <si>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</si>
  <si>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</si>
  <si>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</si>
  <si>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</si>
  <si>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</si>
  <si>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</si>
  <si>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</si>
  <si>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</si>
  <si>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</si>
  <si>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</si>
  <si>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</si>
  <si>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</si>
  <si>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</si>
  <si>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</si>
  <si>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</si>
  <si>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</si>
  <si>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</si>
  <si>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</si>
  <si>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</si>
  <si>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</si>
  <si>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</si>
  <si>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</si>
  <si>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</si>
  <si>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</si>
  <si>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</si>
  <si>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</si>
  <si>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</si>
  <si>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</si>
  <si>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</si>
  <si>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</si>
  <si>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</si>
  <si>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</si>
  <si>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</si>
  <si>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</si>
  <si>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</si>
  <si>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</si>
  <si>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</si>
  <si>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</si>
  <si>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</si>
  <si>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</si>
  <si>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</si>
  <si>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</si>
  <si>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</si>
  <si>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</si>
  <si>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</si>
  <si>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</si>
  <si>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</si>
  <si>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</si>
  <si>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</si>
  <si>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</si>
  <si>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</si>
  <si>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</si>
  <si>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</si>
  <si>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</si>
  <si>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</si>
  <si>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</si>
  <si>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</si>
  <si>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</si>
  <si>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</si>
  <si>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</si>
  <si>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</si>
  <si>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</si>
  <si>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</si>
  <si>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</si>
  <si>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</si>
  <si>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</si>
  <si>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</si>
  <si>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</si>
  <si>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</si>
  <si>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</si>
  <si>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</si>
  <si>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</si>
  <si>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</si>
  <si>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</si>
  <si>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</si>
  <si>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</si>
  <si>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</si>
  <si>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</si>
  <si>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</si>
  <si>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</si>
  <si>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</si>
  <si>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</si>
  <si>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</si>
  <si>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</si>
  <si>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</si>
  <si>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</si>
  <si>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</si>
  <si>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</si>
  <si>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</si>
  <si>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</si>
  <si>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</si>
  <si>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</si>
  <si>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</si>
  <si>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</si>
  <si>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</si>
  <si>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</si>
  <si>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</si>
  <si>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</si>
  <si>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</si>
  <si>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</si>
  <si>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</si>
  <si>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</si>
  <si>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</si>
  <si>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</si>
  <si>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</si>
  <si>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</si>
  <si>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</si>
  <si>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</si>
  <si>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</si>
  <si>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</si>
  <si>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</si>
  <si>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</si>
  <si>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</si>
  <si>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</si>
  <si>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</si>
  <si>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</si>
  <si>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</si>
  <si>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</si>
  <si>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</si>
  <si>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</si>
  <si>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</si>
  <si>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</si>
  <si>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</si>
  <si>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</si>
  <si>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</si>
  <si>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</si>
  <si>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</si>
  <si>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</si>
  <si>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</si>
  <si>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</si>
  <si>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</si>
  <si>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</si>
  <si>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</si>
  <si>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</si>
  <si>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</si>
  <si>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</si>
  <si>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</si>
  <si>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</si>
  <si>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</si>
  <si>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</si>
  <si>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</si>
  <si>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</si>
  <si>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</si>
  <si>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</si>
  <si>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</si>
  <si>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</si>
  <si>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</si>
  <si>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</si>
  <si>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</si>
  <si>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</si>
  <si>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</si>
  <si>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</si>
  <si>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</si>
  <si>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</si>
  <si>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</si>
  <si>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</si>
  <si>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</si>
  <si>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</si>
  <si>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</si>
  <si>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</si>
  <si>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</si>
  <si>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</si>
  <si>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</si>
  <si>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</si>
  <si>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</si>
  <si>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</si>
  <si>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</si>
  <si>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</si>
  <si>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</si>
  <si>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</si>
  <si>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</si>
  <si>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</si>
  <si>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</si>
  <si>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</si>
  <si>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</si>
  <si>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</si>
  <si>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</si>
  <si>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</si>
  <si>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</si>
  <si>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</si>
  <si>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</si>
  <si>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</si>
  <si>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</si>
  <si>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</si>
  <si>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</si>
  <si>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</si>
  <si>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</si>
  <si>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</si>
  <si>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</si>
  <si>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</si>
  <si>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</si>
  <si>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</si>
  <si>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</si>
  <si>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</si>
  <si>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</si>
  <si>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</si>
  <si>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</si>
  <si>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</si>
  <si>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</si>
  <si>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</si>
  <si>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</si>
  <si>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</si>
  <si>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</si>
  <si>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</si>
  <si>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</si>
  <si>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</si>
  <si>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</si>
  <si>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</si>
  <si>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</si>
  <si>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</si>
  <si>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</si>
  <si>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</si>
  <si>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</si>
  <si>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</si>
  <si>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</si>
  <si>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</si>
  <si>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</si>
  <si>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</si>
  <si>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</si>
  <si>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</si>
  <si>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</si>
  <si>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</si>
  <si>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</si>
  <si>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</si>
  <si>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</si>
  <si>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</si>
  <si>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</si>
  <si>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</si>
  <si>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</si>
  <si>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</si>
  <si>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</si>
  <si>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</si>
  <si>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</si>
  <si>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</si>
  <si>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</si>
  <si>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</si>
  <si>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</si>
  <si>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</si>
  <si>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</si>
  <si>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</si>
  <si>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</si>
  <si>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</si>
  <si>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</si>
  <si>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</si>
  <si>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</si>
  <si>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</si>
  <si>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</si>
  <si>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</si>
  <si>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</si>
  <si>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</si>
  <si>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</si>
  <si>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</si>
  <si>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</si>
  <si>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</si>
  <si>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</si>
  <si>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</si>
  <si>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</si>
  <si>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</si>
  <si>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</si>
  <si>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</si>
  <si>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</si>
  <si>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</si>
  <si>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</si>
  <si>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</si>
  <si>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</si>
  <si>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</si>
  <si>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</si>
  <si>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</si>
  <si>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</si>
  <si>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</si>
  <si>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</si>
  <si>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</si>
  <si>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</si>
  <si>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</si>
  <si>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</si>
  <si>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</si>
  <si>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</si>
  <si>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</si>
  <si>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</si>
  <si>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</si>
  <si>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</si>
  <si>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</si>
  <si>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</si>
  <si>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</si>
  <si>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</si>
  <si>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</si>
  <si>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</si>
  <si>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</si>
  <si>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</si>
  <si>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</si>
  <si>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</si>
  <si>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</si>
  <si>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</si>
  <si>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</si>
  <si>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</si>
  <si>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</si>
  <si>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</si>
  <si>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</si>
  <si>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</si>
  <si>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</si>
  <si>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</si>
  <si>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</si>
  <si>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</si>
  <si>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</si>
  <si>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</si>
  <si>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</si>
  <si>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</si>
  <si>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</si>
  <si>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</si>
  <si>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</si>
  <si>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</si>
  <si>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</si>
  <si>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</si>
  <si>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</si>
  <si>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</si>
  <si>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</si>
  <si>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</si>
  <si>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</si>
  <si>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</si>
  <si>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</si>
  <si>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</si>
  <si>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</si>
  <si>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</si>
  <si>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</si>
  <si>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</si>
  <si>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</si>
  <si>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</si>
  <si>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</si>
  <si>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</si>
  <si>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</si>
  <si>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</si>
  <si>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</si>
  <si>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</si>
  <si>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</si>
  <si>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</si>
  <si>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</si>
  <si>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</si>
  <si>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</si>
  <si>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</si>
  <si>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</si>
  <si>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</si>
  <si>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</si>
  <si>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</si>
  <si>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</si>
  <si>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</si>
  <si>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</si>
  <si>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</si>
  <si>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</si>
  <si>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</si>
  <si>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</si>
  <si>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</si>
  <si>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</si>
  <si>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</si>
  <si>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</si>
  <si>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</si>
  <si>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</si>
  <si>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</si>
  <si>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</si>
  <si>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</si>
  <si>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</si>
  <si>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</si>
  <si>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</si>
  <si>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</si>
  <si>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</si>
  <si>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</si>
  <si>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</si>
  <si>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</si>
  <si>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</si>
  <si>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</si>
  <si>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</si>
  <si>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</si>
  <si>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</si>
  <si>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</si>
  <si>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</si>
  <si>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</si>
  <si>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</si>
  <si>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</si>
  <si>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</si>
  <si>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</si>
  <si>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</si>
  <si>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</si>
  <si>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</si>
  <si>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</si>
  <si>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</si>
  <si>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</si>
  <si>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</si>
  <si>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</si>
  <si>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</si>
  <si>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</si>
  <si>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</si>
  <si>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</si>
  <si>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</si>
  <si>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</si>
  <si>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</si>
  <si>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</si>
  <si>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</si>
  <si>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</si>
  <si>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</si>
  <si>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</si>
  <si>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</si>
  <si>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</si>
  <si>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</si>
  <si>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</si>
  <si>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</si>
  <si>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</si>
  <si>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</si>
  <si>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</si>
  <si>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</si>
  <si>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</si>
  <si>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</si>
  <si>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</si>
  <si>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</si>
  <si>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</si>
  <si>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</si>
  <si>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</si>
  <si>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</si>
  <si>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</si>
  <si>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</si>
  <si>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</si>
  <si>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</si>
  <si>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</si>
  <si>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</si>
  <si>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</si>
  <si>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</si>
  <si>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</si>
  <si>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</si>
  <si>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</si>
  <si>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</si>
  <si>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</si>
  <si>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</si>
  <si>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</si>
  <si>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</si>
  <si>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</si>
  <si>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</si>
  <si>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</si>
  <si>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</si>
  <si>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</si>
  <si>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</si>
  <si>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</si>
  <si>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</si>
  <si>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</si>
  <si>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</si>
  <si>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</si>
  <si>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</si>
  <si>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</si>
  <si>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</si>
  <si>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</si>
  <si>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</si>
  <si>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</si>
  <si>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</si>
  <si>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</si>
  <si>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</si>
  <si>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</si>
  <si>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</si>
  <si>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</si>
  <si>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</si>
  <si>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</si>
  <si>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</si>
  <si>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</si>
  <si>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</si>
  <si>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</si>
  <si>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</si>
  <si>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</si>
  <si>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</si>
  <si>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</si>
  <si>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</si>
  <si>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</si>
  <si>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</si>
  <si>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</si>
  <si>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</si>
  <si>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</si>
  <si>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</si>
  <si>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</si>
  <si>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</si>
  <si>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</si>
  <si>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</si>
  <si>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</si>
  <si>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</si>
  <si>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</si>
  <si>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</si>
  <si>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</si>
  <si>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</si>
  <si>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</si>
  <si>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</si>
  <si>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</si>
  <si>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</si>
  <si>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</si>
  <si>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</si>
  <si>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</si>
  <si>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</si>
  <si>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</si>
  <si>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</si>
  <si>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</si>
  <si>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</si>
  <si>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</si>
  <si>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</si>
  <si>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</si>
  <si>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</si>
  <si>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</si>
  <si>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</si>
  <si>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</si>
  <si>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</si>
  <si>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</si>
  <si>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</si>
  <si>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</si>
  <si>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</si>
  <si>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</si>
  <si>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</si>
  <si>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</si>
  <si>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</si>
  <si>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</si>
  <si>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</si>
  <si>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</si>
  <si>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</si>
  <si>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</si>
  <si>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</si>
  <si>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</si>
  <si>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</si>
  <si>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</si>
  <si>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</si>
  <si>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</si>
  <si>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</si>
  <si>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</si>
  <si>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</si>
  <si>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</si>
  <si>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</si>
  <si>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</si>
  <si>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</si>
  <si>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</si>
  <si>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</si>
  <si>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</si>
  <si>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</si>
  <si>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</si>
  <si>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</si>
  <si>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</si>
  <si>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</si>
  <si>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</si>
  <si>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</si>
  <si>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</si>
  <si>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</si>
  <si>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</si>
  <si>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</si>
  <si>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</si>
  <si>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</si>
  <si>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</si>
  <si>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</si>
  <si>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</si>
  <si>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</si>
  <si>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</si>
  <si>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</si>
  <si>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</si>
  <si>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</si>
  <si>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</si>
  <si>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</si>
  <si>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</si>
  <si>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</si>
  <si>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</si>
  <si>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</si>
  <si>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</si>
  <si>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</si>
  <si>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</si>
  <si>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</si>
  <si>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</si>
  <si>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</si>
  <si>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</si>
  <si>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</si>
  <si>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</si>
  <si>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</si>
  <si>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</si>
  <si>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</si>
  <si>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</si>
  <si>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</si>
  <si>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</si>
  <si>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</si>
  <si>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</si>
  <si>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</si>
  <si>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</si>
  <si>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</si>
  <si>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</si>
  <si>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</si>
  <si>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</si>
  <si>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</si>
  <si>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</si>
  <si>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</si>
  <si>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</si>
  <si>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</si>
  <si>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</si>
  <si>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</si>
  <si>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</si>
  <si>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</si>
  <si>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</si>
  <si>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</si>
  <si>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</si>
  <si>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</si>
  <si>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</si>
  <si>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</si>
  <si>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</si>
  <si>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</si>
  <si>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</si>
  <si>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</si>
  <si>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</si>
  <si>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</si>
  <si>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</si>
  <si>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</si>
  <si>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</si>
  <si>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</si>
  <si>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</si>
  <si>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</si>
  <si>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</si>
  <si>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</si>
  <si>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</si>
  <si>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</si>
  <si>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</si>
  <si>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</si>
  <si>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</si>
  <si>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</si>
  <si>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</si>
  <si>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</si>
  <si>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</si>
  <si>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</si>
  <si>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</si>
  <si>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</si>
  <si>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</si>
  <si>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</si>
  <si>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</si>
  <si>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</si>
  <si>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</si>
  <si>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</si>
  <si>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</si>
  <si>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</si>
  <si>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</si>
  <si>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</si>
  <si>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</si>
  <si>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</si>
  <si>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</si>
  <si>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</si>
  <si>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</si>
  <si>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</si>
  <si>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</si>
  <si>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</si>
  <si>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</si>
  <si>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</si>
  <si>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</si>
  <si>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</si>
  <si>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</si>
  <si>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</si>
  <si>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</si>
  <si>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</si>
  <si>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</si>
  <si>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</si>
  <si>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</si>
  <si>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</si>
  <si>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</si>
  <si>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</si>
  <si>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</si>
  <si>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</si>
  <si>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</si>
  <si>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</si>
  <si>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</si>
  <si>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</si>
  <si>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</si>
  <si>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</si>
  <si>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</si>
  <si>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</si>
  <si>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</si>
  <si>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</si>
  <si>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</si>
  <si>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</si>
  <si>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</si>
  <si>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</si>
  <si>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</si>
  <si>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</si>
  <si>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</si>
  <si>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</si>
  <si>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</si>
  <si>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</si>
  <si>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</si>
  <si>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</si>
  <si>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</si>
  <si>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</si>
  <si>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</si>
  <si>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</si>
  <si>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</si>
  <si>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</si>
  <si>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</si>
  <si>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</si>
  <si>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</si>
  <si>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</si>
  <si>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</si>
  <si>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</si>
  <si>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</si>
  <si>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</si>
  <si>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</si>
  <si>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</si>
  <si>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</si>
  <si>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</si>
  <si>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</si>
  <si>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</si>
  <si>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</si>
  <si>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</si>
  <si>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</si>
  <si>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</si>
  <si>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</si>
  <si>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</si>
  <si>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</si>
  <si>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</si>
  <si>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</si>
  <si>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</si>
  <si>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</si>
  <si>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</si>
  <si>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</si>
  <si>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</si>
  <si>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</si>
  <si>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</si>
  <si>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</si>
  <si>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</si>
  <si>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</si>
  <si>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</si>
  <si>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</si>
  <si>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</si>
  <si>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</si>
  <si>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</si>
  <si>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</si>
  <si>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</si>
  <si>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</si>
  <si>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</si>
  <si>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</si>
  <si>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</si>
  <si>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</si>
  <si>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</si>
  <si>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</si>
  <si>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</si>
  <si>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</si>
  <si>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</si>
  <si>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</si>
  <si>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</si>
  <si>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</si>
  <si>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</si>
  <si>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</si>
  <si>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</si>
  <si>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</si>
  <si>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</si>
  <si>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</si>
  <si>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</si>
  <si>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</si>
  <si>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</si>
  <si>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</si>
  <si>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</si>
  <si>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</si>
  <si>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</si>
  <si>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</si>
  <si>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</si>
  <si>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</si>
  <si>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</si>
  <si>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</si>
  <si>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</si>
  <si>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</si>
  <si>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</si>
  <si>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</si>
  <si>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</si>
  <si>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</si>
  <si>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</si>
  <si>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</si>
  <si>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</si>
  <si>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</si>
  <si>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</si>
  <si>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</si>
  <si>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</si>
  <si>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</si>
  <si>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</si>
  <si>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</si>
  <si>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</si>
  <si>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</si>
  <si>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</si>
  <si>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</si>
  <si>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</si>
  <si>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</si>
  <si>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</si>
  <si>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</si>
  <si>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</si>
  <si>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</si>
  <si>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</si>
  <si>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</si>
  <si>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</si>
  <si>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</si>
  <si>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</si>
  <si>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</si>
  <si>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</si>
  <si>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</si>
  <si>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</si>
  <si>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</si>
  <si>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</si>
  <si>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</si>
  <si>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</si>
  <si>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</si>
  <si>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</si>
  <si>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</si>
  <si>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</si>
  <si>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</si>
  <si>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</si>
  <si>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</si>
  <si>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</si>
  <si>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</si>
  <si>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</si>
  <si>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</si>
  <si>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</si>
  <si>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</si>
  <si>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</si>
  <si>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</si>
  <si>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</si>
  <si>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</si>
  <si>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</si>
  <si>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</si>
  <si>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</si>
  <si>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</si>
  <si>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</si>
  <si>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</si>
  <si>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</si>
  <si>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</si>
  <si>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</si>
  <si>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</si>
  <si>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</si>
  <si>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</si>
  <si>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</si>
  <si>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</si>
  <si>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</si>
  <si>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</si>
  <si>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</si>
  <si>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</si>
  <si>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</si>
  <si>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</si>
  <si>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</si>
  <si>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</si>
  <si>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</si>
  <si>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</si>
  <si>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</si>
  <si>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</si>
  <si>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</si>
  <si>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</si>
  <si>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</si>
  <si>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</si>
  <si>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</si>
  <si>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</si>
  <si>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</si>
  <si>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</si>
  <si>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</si>
  <si>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</si>
  <si>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</si>
  <si>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</si>
  <si>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</si>
  <si>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</si>
  <si>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</si>
  <si>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</si>
  <si>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</si>
  <si>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</si>
  <si>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</si>
  <si>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</si>
  <si>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</si>
  <si>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</si>
  <si>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</si>
  <si>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</si>
  <si>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</si>
  <si>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</si>
  <si>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</si>
  <si>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</si>
  <si>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</si>
  <si>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</si>
  <si>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</si>
  <si>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</si>
  <si>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</si>
  <si>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</si>
  <si>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</si>
  <si>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</si>
  <si>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</si>
  <si>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</si>
  <si>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</si>
  <si>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</si>
  <si>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</si>
  <si>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</si>
  <si>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</si>
  <si>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</si>
  <si>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</si>
  <si>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</si>
  <si>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</si>
  <si>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</si>
  <si>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</si>
  <si>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</si>
  <si>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</si>
  <si>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</si>
  <si>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</si>
  <si>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</si>
  <si>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</si>
  <si>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</si>
  <si>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</si>
  <si>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</si>
  <si>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</si>
  <si>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</si>
  <si>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</si>
  <si>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</si>
  <si>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</si>
  <si>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</si>
  <si>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</si>
  <si>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</si>
  <si>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</si>
  <si>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</si>
  <si>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</si>
  <si>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</si>
  <si>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</si>
  <si>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</si>
  <si>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</si>
  <si>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</si>
  <si>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</si>
  <si>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</si>
  <si>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</si>
  <si>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</si>
  <si>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</si>
  <si>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</si>
  <si>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</si>
  <si>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</si>
  <si>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</si>
  <si>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</si>
  <si>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</si>
  <si>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</si>
  <si>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</si>
  <si>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</si>
  <si>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</si>
  <si>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</si>
  <si>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</si>
  <si>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</si>
  <si>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</si>
  <si>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</si>
  <si>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</si>
  <si>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</si>
  <si>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</si>
  <si>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</si>
  <si>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</si>
  <si>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</si>
  <si>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</si>
  <si>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</si>
  <si>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</si>
  <si>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</si>
  <si>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</si>
  <si>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</si>
  <si>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</si>
  <si>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</si>
  <si>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</si>
  <si>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</si>
  <si>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</si>
  <si>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</si>
  <si>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</si>
  <si>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</si>
  <si>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</si>
  <si>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</si>
  <si>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</si>
  <si>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</si>
  <si>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</si>
  <si>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</si>
  <si>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</si>
  <si>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</si>
  <si>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</si>
  <si>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</si>
  <si>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</si>
  <si>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</si>
  <si>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</si>
  <si>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</si>
  <si>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</si>
  <si>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</si>
  <si>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</si>
  <si>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</si>
  <si>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</si>
  <si>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</si>
  <si>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</si>
  <si>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</si>
  <si>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</si>
  <si>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</si>
  <si>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</si>
  <si>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</si>
  <si>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</si>
  <si>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</si>
  <si>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</si>
  <si>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</si>
  <si>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</si>
  <si>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</si>
  <si>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</si>
  <si>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</si>
  <si>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</si>
  <si>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</si>
  <si>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</si>
  <si>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</si>
  <si>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</si>
  <si>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</si>
  <si>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</si>
  <si>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</si>
  <si>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</si>
  <si>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</si>
  <si>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</si>
  <si>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</si>
  <si>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</si>
  <si>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</si>
  <si>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</si>
  <si>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</si>
  <si>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</si>
  <si>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</si>
  <si>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</si>
  <si>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</si>
  <si>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</si>
  <si>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</si>
  <si>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</si>
  <si>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</si>
  <si>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</si>
  <si>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</si>
  <si>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</si>
  <si>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</si>
  <si>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</si>
  <si>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</si>
  <si>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</si>
  <si>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</si>
  <si>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</si>
  <si>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</si>
  <si>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</si>
  <si>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</si>
  <si>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</si>
  <si>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</si>
  <si>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</si>
  <si>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</si>
  <si>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</si>
  <si>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</si>
  <si>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</si>
  <si>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</si>
  <si>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</si>
  <si>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</si>
  <si>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</si>
  <si>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</si>
  <si>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</si>
  <si>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</si>
  <si>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</si>
  <si>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</si>
  <si>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</si>
  <si>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</si>
  <si>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</si>
  <si>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</si>
  <si>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</si>
  <si>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</si>
  <si>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</si>
  <si>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</si>
  <si>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</si>
  <si>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</si>
  <si>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</si>
  <si>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</si>
  <si>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</si>
  <si>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</si>
  <si>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</si>
  <si>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</si>
  <si>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</si>
  <si>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</si>
  <si>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</si>
  <si>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</si>
  <si>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</si>
  <si>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</si>
  <si>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</si>
  <si>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</si>
  <si>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</si>
  <si>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</si>
  <si>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</si>
  <si>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</si>
  <si>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</si>
  <si>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</si>
  <si>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</si>
  <si>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</si>
  <si>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</si>
  <si>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</si>
  <si>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</si>
  <si>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</si>
  <si>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</si>
  <si>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</si>
  <si>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</si>
  <si>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</si>
  <si>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</si>
  <si>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</si>
  <si>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</si>
  <si>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</si>
  <si>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</si>
  <si>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</si>
  <si>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</si>
  <si>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</si>
  <si>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</si>
  <si>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</si>
  <si>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</si>
  <si>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</si>
  <si>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</si>
  <si>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</si>
  <si>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</si>
  <si>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</si>
  <si>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</si>
  <si>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</si>
  <si>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</si>
  <si>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</si>
  <si>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</si>
  <si>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</si>
  <si>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</si>
  <si>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</si>
  <si>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</si>
  <si>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</si>
  <si>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</si>
  <si>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</si>
  <si>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</si>
  <si>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</si>
  <si>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</si>
  <si>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</si>
  <si>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</si>
  <si>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</si>
  <si>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</si>
  <si>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</si>
  <si>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</si>
  <si>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</si>
  <si>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</si>
  <si>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</si>
  <si>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</si>
  <si>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</si>
  <si>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</si>
  <si>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</si>
  <si>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</si>
  <si>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</si>
  <si>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</si>
  <si>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</si>
  <si>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</si>
  <si>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</si>
  <si>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</si>
  <si>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</si>
  <si>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</si>
  <si>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</si>
  <si>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</si>
  <si>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</si>
  <si>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</si>
  <si>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</si>
  <si>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</si>
  <si>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</si>
  <si>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</si>
  <si>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</si>
  <si>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</si>
  <si>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</si>
  <si>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</si>
  <si>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</si>
  <si>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</si>
  <si>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</si>
  <si>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</si>
  <si>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</si>
  <si>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</si>
  <si>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</si>
  <si>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</si>
  <si>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</si>
  <si>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</si>
  <si>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</si>
  <si>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</si>
  <si>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</si>
  <si>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</si>
  <si>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</si>
  <si>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</si>
  <si>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</si>
  <si>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</si>
  <si>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</si>
  <si>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</si>
  <si>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</si>
  <si>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</si>
  <si>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</si>
  <si>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</si>
  <si>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</si>
  <si>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</si>
  <si>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</si>
  <si>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</si>
  <si>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</si>
  <si>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</si>
  <si>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</si>
  <si>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</si>
  <si>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</si>
  <si>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</si>
  <si>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</si>
  <si>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</si>
  <si>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</si>
  <si>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</si>
  <si>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</si>
  <si>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</si>
  <si>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</si>
  <si>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</si>
  <si>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</si>
  <si>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</si>
  <si>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</si>
  <si>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</si>
  <si>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</si>
  <si>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</si>
  <si>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</si>
  <si>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</si>
  <si>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</si>
  <si>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</si>
  <si>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</si>
  <si>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</si>
  <si>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</si>
  <si>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</si>
  <si>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</si>
  <si>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</si>
  <si>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</si>
  <si>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</si>
  <si>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</si>
  <si>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</si>
  <si>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</si>
  <si>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</si>
  <si>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</si>
  <si>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</si>
  <si>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</si>
  <si>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</si>
  <si>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</si>
  <si>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</si>
  <si>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</si>
  <si>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</si>
  <si>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</si>
  <si>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</si>
  <si>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</si>
  <si>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</si>
  <si>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</si>
  <si>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</si>
  <si>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</si>
  <si>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</si>
  <si>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</si>
  <si>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</si>
  <si>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</si>
  <si>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</si>
  <si>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</si>
  <si>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</si>
  <si>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</si>
  <si>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</si>
  <si>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</si>
  <si>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</si>
  <si>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</si>
  <si>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</si>
  <si>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</si>
  <si>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</si>
  <si>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</si>
  <si>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</si>
  <si>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</si>
  <si>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</si>
  <si>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</si>
  <si>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</si>
  <si>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</si>
  <si>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</si>
  <si>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</si>
  <si>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</si>
  <si>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</si>
  <si>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</si>
  <si>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</si>
  <si>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</si>
  <si>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</si>
  <si>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</si>
  <si>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</si>
  <si>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</si>
  <si>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</si>
  <si>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</si>
  <si>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</si>
  <si>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</si>
  <si>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</si>
  <si>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</si>
  <si>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</si>
  <si>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</si>
  <si>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</si>
  <si>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</si>
  <si>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</si>
  <si>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</si>
  <si>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</si>
  <si>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</si>
  <si>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</si>
  <si>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</si>
  <si>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</si>
  <si>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</si>
  <si>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</si>
  <si>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</si>
  <si>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</si>
  <si>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</si>
  <si>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</si>
  <si>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</si>
  <si>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</si>
  <si>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</si>
  <si>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</si>
  <si>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</si>
  <si>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</si>
  <si>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</si>
  <si>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</si>
  <si>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</si>
  <si>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</si>
  <si>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</si>
  <si>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</si>
  <si>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</si>
  <si>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</si>
  <si>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</si>
  <si>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</si>
  <si>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</si>
  <si>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</si>
  <si>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</si>
  <si>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</si>
  <si>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</si>
  <si>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</si>
  <si>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</si>
  <si>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</si>
  <si>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</si>
  <si>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</si>
  <si>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</si>
  <si>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</si>
  <si>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</si>
  <si>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</si>
  <si>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</si>
  <si>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</si>
  <si>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</si>
  <si>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</si>
  <si>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</si>
  <si>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</si>
  <si>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</si>
  <si>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</si>
  <si>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</si>
  <si>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</si>
  <si>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</si>
  <si>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</si>
  <si>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</si>
  <si>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</si>
  <si>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</si>
  <si>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</si>
  <si>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</si>
  <si>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</si>
  <si>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</si>
  <si>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</si>
  <si>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</si>
  <si>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</si>
  <si>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</si>
  <si>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</si>
  <si>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</si>
  <si>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</si>
  <si>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</si>
  <si>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</si>
  <si>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</si>
  <si>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</si>
  <si>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</si>
  <si>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</si>
  <si>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</si>
  <si>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</si>
  <si>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</si>
  <si>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</si>
  <si>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</si>
  <si>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</si>
  <si>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</si>
  <si>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</si>
  <si>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</si>
  <si>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</si>
  <si>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</si>
  <si>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</si>
  <si>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</si>
  <si>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</si>
  <si>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</si>
  <si>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</si>
  <si>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</si>
  <si>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</si>
  <si>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</si>
  <si>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</si>
  <si>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</si>
  <si>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</si>
  <si>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</si>
  <si>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</si>
  <si>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</si>
  <si>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</si>
  <si>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</si>
  <si>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</si>
  <si>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</si>
  <si>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</si>
  <si>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</si>
  <si>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</si>
  <si>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</si>
  <si>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</si>
  <si>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</si>
  <si>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</si>
  <si>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</si>
  <si>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</si>
  <si>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</si>
  <si>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</si>
  <si>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</si>
  <si>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</si>
  <si>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</si>
  <si>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</si>
  <si>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</si>
  <si>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</si>
  <si>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</si>
  <si>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</si>
  <si>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</si>
  <si>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</si>
  <si>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</si>
  <si>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</si>
  <si>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</si>
  <si>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</si>
  <si>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</si>
  <si>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</si>
  <si>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</si>
  <si>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</si>
  <si>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</si>
  <si>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</si>
  <si>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</si>
  <si>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</si>
  <si>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</si>
  <si>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</si>
  <si>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</si>
  <si>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</si>
  <si>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</si>
  <si>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</si>
  <si>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</si>
  <si>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</si>
  <si>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</si>
  <si>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</si>
  <si>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</si>
  <si>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</si>
  <si>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</si>
  <si>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</si>
  <si>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</si>
  <si>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</si>
  <si>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</si>
  <si>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</si>
  <si>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</si>
  <si>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</si>
  <si>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</si>
  <si>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</si>
  <si>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</si>
  <si>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</si>
  <si>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</si>
  <si>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</si>
  <si>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</si>
  <si>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</si>
  <si>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</si>
  <si>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</si>
  <si>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</si>
  <si>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</si>
  <si>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</si>
  <si>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</si>
  <si>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</si>
  <si>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</si>
  <si>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</si>
  <si>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</si>
  <si>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</si>
  <si>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</si>
  <si>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</si>
  <si>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</si>
  <si>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</si>
  <si>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</si>
  <si>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</si>
  <si>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</si>
  <si>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</si>
  <si>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</si>
  <si>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</si>
  <si>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</si>
  <si>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</si>
  <si>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</si>
  <si>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</si>
  <si>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</si>
  <si>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</si>
  <si>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</si>
  <si>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</si>
  <si>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</si>
  <si>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</si>
  <si>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</si>
  <si>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</si>
  <si>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</si>
  <si>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</si>
  <si>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</si>
  <si>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</si>
  <si>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</si>
  <si>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</si>
  <si>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</si>
  <si>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</si>
  <si>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</si>
  <si>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</si>
  <si>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</si>
  <si>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</si>
  <si>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</si>
  <si>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</si>
  <si>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</si>
  <si>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</si>
  <si>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</si>
  <si>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</si>
  <si>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</si>
  <si>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</si>
  <si>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</si>
  <si>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</si>
  <si>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</si>
  <si>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</si>
  <si>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</si>
  <si>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</si>
  <si>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</si>
  <si>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</si>
  <si>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</si>
  <si>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</si>
  <si>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</si>
  <si>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</si>
  <si>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</si>
  <si>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</si>
  <si>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</si>
  <si>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</si>
  <si>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</si>
  <si>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</si>
  <si>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</si>
  <si>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</si>
  <si>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</si>
  <si>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</si>
  <si>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</si>
  <si>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</si>
  <si>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</si>
  <si>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</si>
  <si>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</si>
  <si>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</si>
  <si>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</si>
  <si>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</si>
  <si>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</si>
  <si>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</si>
  <si>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</si>
  <si>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</si>
  <si>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</si>
  <si>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</si>
  <si>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</si>
  <si>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</si>
  <si>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</si>
  <si>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</si>
  <si>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</si>
  <si>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</si>
  <si>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</si>
  <si>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</si>
  <si>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</si>
  <si>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</si>
  <si>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</si>
  <si>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</si>
  <si>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</si>
  <si>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</si>
  <si>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</si>
  <si>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</si>
  <si>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</si>
  <si>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</si>
  <si>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</si>
  <si>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</si>
  <si>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</si>
  <si>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</si>
  <si>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</si>
  <si>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</si>
  <si>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</si>
  <si>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</si>
  <si>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</si>
  <si>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</si>
  <si>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</si>
  <si>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</si>
  <si>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</si>
  <si>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</si>
  <si>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</si>
  <si>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</si>
  <si>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</si>
  <si>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</si>
  <si>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</si>
  <si>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</si>
  <si>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</si>
  <si>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</si>
  <si>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</si>
  <si>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</si>
  <si>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</si>
  <si>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</si>
  <si>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</si>
  <si>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</si>
  <si>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</si>
  <si>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</si>
  <si>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</si>
  <si>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</si>
  <si>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</si>
  <si>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</si>
  <si>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</si>
  <si>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</si>
  <si>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</si>
  <si>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</si>
  <si>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</si>
  <si>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</si>
  <si>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</si>
  <si>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</si>
  <si>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</si>
  <si>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</si>
  <si>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</si>
  <si>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</si>
  <si>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</si>
  <si>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</si>
  <si>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</si>
  <si>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</si>
  <si>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</si>
  <si>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</si>
  <si>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</si>
  <si>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</si>
  <si>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</si>
  <si>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</si>
  <si>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</si>
  <si>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</si>
  <si>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</si>
  <si>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</si>
  <si>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</si>
  <si>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</si>
  <si>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</si>
  <si>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</si>
  <si>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</si>
  <si>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</si>
  <si>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</si>
  <si>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</si>
  <si>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</si>
  <si>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</si>
  <si>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</si>
  <si>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</si>
  <si>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</si>
  <si>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</si>
  <si>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</si>
  <si>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</si>
  <si>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</si>
  <si>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</si>
  <si>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</si>
  <si>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</si>
  <si>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</si>
  <si>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</si>
  <si>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</si>
  <si>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</si>
  <si>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</si>
  <si>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</si>
  <si>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</si>
  <si>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</si>
  <si>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</si>
  <si>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</si>
  <si>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</si>
  <si>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</si>
  <si>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</si>
  <si>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</si>
  <si>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</si>
  <si>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</si>
  <si>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</si>
  <si>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</si>
  <si>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</si>
  <si>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</si>
  <si>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</si>
  <si>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</si>
  <si>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</si>
  <si>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</si>
  <si>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</si>
  <si>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</si>
  <si>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</si>
  <si>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</si>
  <si>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</si>
  <si>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</si>
  <si>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</si>
  <si>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</si>
  <si>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</si>
  <si>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</si>
  <si>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</si>
  <si>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</si>
  <si>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</si>
  <si>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</si>
  <si>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</si>
  <si>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</si>
  <si>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</si>
  <si>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</si>
  <si>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</si>
  <si>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</si>
  <si>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</si>
  <si>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</si>
  <si>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</si>
  <si>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</si>
  <si>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</si>
  <si>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</si>
  <si>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</si>
  <si>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</si>
  <si>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</si>
  <si>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</si>
  <si>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</si>
  <si>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</si>
  <si>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</si>
  <si>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</si>
  <si>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</si>
  <si>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</si>
  <si>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</si>
  <si>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</si>
  <si>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</si>
  <si>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</si>
  <si>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</si>
  <si>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</si>
  <si>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</si>
  <si>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</si>
  <si>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</si>
  <si>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</si>
  <si>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</si>
  <si>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</si>
  <si>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</si>
  <si>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</si>
  <si>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</si>
  <si>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</si>
  <si>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</si>
  <si>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</si>
  <si>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</si>
  <si>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</si>
  <si>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</si>
  <si>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</si>
  <si>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</si>
  <si>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</si>
  <si>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</si>
  <si>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</si>
  <si>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</si>
  <si>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</si>
  <si>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</si>
  <si>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</si>
  <si>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</si>
  <si>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</si>
  <si>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</si>
  <si>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</si>
  <si>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</si>
  <si>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</si>
  <si>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</si>
  <si>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</si>
  <si>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</si>
  <si>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</si>
  <si>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</si>
  <si>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</si>
  <si>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</si>
  <si>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</si>
  <si>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</si>
  <si>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</si>
  <si>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</si>
  <si>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</si>
  <si>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</si>
  <si>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</si>
  <si>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</si>
  <si>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</si>
  <si>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</si>
  <si>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</si>
  <si>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</si>
  <si>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</si>
  <si>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</si>
  <si>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</si>
  <si>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</si>
  <si>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</si>
  <si>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</si>
  <si>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</si>
  <si>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</si>
  <si>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</si>
  <si>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</si>
  <si>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</si>
  <si>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</si>
  <si>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</si>
  <si>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</si>
  <si>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</si>
  <si>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</si>
  <si>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</si>
  <si>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</si>
  <si>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</si>
  <si>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</si>
  <si>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</si>
  <si>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</si>
  <si>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</si>
  <si>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</si>
  <si>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</si>
  <si>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</si>
  <si>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</si>
  <si>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</si>
  <si>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</si>
  <si>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</si>
  <si>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</si>
  <si>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</si>
  <si>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</si>
  <si>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</si>
  <si>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</si>
  <si>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</si>
  <si>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</si>
  <si>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</si>
  <si>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</si>
  <si>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</si>
  <si>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</si>
  <si>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</si>
  <si>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</si>
  <si>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</si>
  <si>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</si>
  <si>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</si>
  <si>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</si>
  <si>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</si>
  <si>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</si>
  <si>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</si>
  <si>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</si>
  <si>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</si>
  <si>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</si>
  <si>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</si>
  <si>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</si>
  <si>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</si>
  <si>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</si>
  <si>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</si>
  <si>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</si>
  <si>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</si>
  <si>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</si>
  <si>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</si>
  <si>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</si>
  <si>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</si>
  <si>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</si>
  <si>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</si>
  <si>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</si>
  <si>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</si>
  <si>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</si>
  <si>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</si>
  <si>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</si>
  <si>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</si>
  <si>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</si>
  <si>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</si>
  <si>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</si>
  <si>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</si>
  <si>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</si>
  <si>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</si>
  <si>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</si>
  <si>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</si>
  <si>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</si>
  <si>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</si>
  <si>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</si>
  <si>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</si>
  <si>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</si>
  <si>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</si>
  <si>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</si>
  <si>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</si>
  <si>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</si>
  <si>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</si>
  <si>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</si>
  <si>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</si>
  <si>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</si>
  <si>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</si>
  <si>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</si>
  <si>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</si>
  <si>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</si>
  <si>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</si>
  <si>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</si>
  <si>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</si>
  <si>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</si>
  <si>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</si>
  <si>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</si>
  <si>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</si>
  <si>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</si>
  <si>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</si>
  <si>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</si>
  <si>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</si>
  <si>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</si>
  <si>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</si>
  <si>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</si>
  <si>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</si>
  <si>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</si>
  <si>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</si>
  <si>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</si>
  <si>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</si>
  <si>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</si>
  <si>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</si>
  <si>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</si>
  <si>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</si>
  <si>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</si>
  <si>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</si>
  <si>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</si>
  <si>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</si>
  <si>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</si>
  <si>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</si>
  <si>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</si>
  <si>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</si>
  <si>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</si>
  <si>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</si>
  <si>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</si>
  <si>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</si>
  <si>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</si>
  <si>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</si>
  <si>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</si>
  <si>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</si>
  <si>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</si>
  <si>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</si>
  <si>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</si>
  <si>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</si>
  <si>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</si>
  <si>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</si>
  <si>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</si>
  <si>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</si>
  <si>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</si>
  <si>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</si>
  <si>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</si>
  <si>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</si>
  <si>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</si>
  <si>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</si>
  <si>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</si>
  <si>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</si>
  <si>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</si>
  <si>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</si>
  <si>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</si>
  <si>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</si>
  <si>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</si>
  <si>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</si>
  <si>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</si>
  <si>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</si>
  <si>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</si>
  <si>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</si>
  <si>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</si>
  <si>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</si>
  <si>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</si>
  <si>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</si>
  <si>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</si>
  <si>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</si>
  <si>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</si>
  <si>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</si>
  <si>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</si>
  <si>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</si>
  <si>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</si>
  <si>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</si>
  <si>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</si>
  <si>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</si>
  <si>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</si>
  <si>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</si>
  <si>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</si>
  <si>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</si>
  <si>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</si>
  <si>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</si>
  <si>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</si>
  <si>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</si>
  <si>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</si>
  <si>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</si>
  <si>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</si>
  <si>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</si>
  <si>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</si>
  <si>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</si>
  <si>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</si>
  <si>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</si>
  <si>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</si>
  <si>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</si>
  <si>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</si>
  <si>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</si>
  <si>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</si>
  <si>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</si>
  <si>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</si>
  <si>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</si>
  <si>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</si>
  <si>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</si>
  <si>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</si>
  <si>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</si>
  <si>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</si>
  <si>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</si>
  <si>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</si>
  <si>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</si>
  <si>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</si>
  <si>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</si>
  <si>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</si>
  <si>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</si>
  <si>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</si>
  <si>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</si>
  <si>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</si>
  <si>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</si>
  <si>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</si>
  <si>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</si>
  <si>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</si>
  <si>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</si>
  <si>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总价</t>
  </si>
  <si>
    <t>未包含在土地购买价格中</t>
  </si>
  <si>
    <t>全部缴纳</t>
  </si>
  <si>
    <t>已包含在土地取得成本中</t>
  </si>
  <si>
    <t>平整</t>
  </si>
  <si>
    <t>自定义容积率</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</si>
  <si>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</si>
  <si>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</si>
  <si>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</si>
  <si>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</si>
  <si>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</si>
  <si>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</si>
  <si>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</si>
  <si>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</si>
  <si>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</si>
  <si>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</si>
  <si>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</si>
  <si>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</si>
  <si>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</si>
  <si>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非生产用房</t>
  </si>
  <si>
    <t>出让金+开发费</t>
  </si>
  <si>
    <t>通热</t>
  </si>
  <si>
    <t>吴薇</t>
  </si>
  <si>
    <t>海淀区板井路69号世纪金源大饭店</t>
    <phoneticPr fontId="4" type="noConversion"/>
  </si>
  <si>
    <t>按比例</t>
  </si>
  <si>
    <t>酒店</t>
  </si>
  <si>
    <t>酒店</t>
    <phoneticPr fontId="4" type="noConversion"/>
  </si>
  <si>
    <t>酒店</t>
    <phoneticPr fontId="8" type="noConversion"/>
  </si>
  <si>
    <t>问题</t>
    <phoneticPr fontId="135" type="noConversion"/>
  </si>
  <si>
    <t>1、租赁合同或台账</t>
    <phoneticPr fontId="135" type="noConversion"/>
  </si>
  <si>
    <t>2、酒店年期</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</si>
  <si>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</si>
  <si>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</si>
  <si>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</si>
  <si>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</si>
  <si>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</si>
  <si>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</si>
  <si>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</si>
  <si>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</si>
  <si>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</si>
  <si>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</si>
  <si>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</si>
  <si>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</si>
  <si>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</si>
  <si>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</si>
  <si>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</si>
  <si>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</si>
  <si>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</si>
  <si>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</si>
  <si>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</si>
  <si>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</si>
  <si>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</si>
  <si>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</si>
  <si>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</si>
  <si>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</si>
  <si>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</si>
  <si>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</si>
  <si>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建筑面积</t>
    <phoneticPr fontId="4" type="noConversion"/>
  </si>
  <si>
    <t>实际办公</t>
    <phoneticPr fontId="4" type="noConversion"/>
  </si>
  <si>
    <t>地下1层</t>
    <phoneticPr fontId="4" type="noConversion"/>
  </si>
  <si>
    <t>地下2层</t>
  </si>
  <si>
    <t>稳定期</t>
    <phoneticPr fontId="4" type="noConversion"/>
  </si>
  <si>
    <t>城市</t>
  </si>
  <si>
    <t>项目位置</t>
  </si>
  <si>
    <t>估价对象位于板井路，周边商业氛围较成熟，人流量较大，世纪金源购物中心等，商业繁华度较好</t>
  </si>
  <si>
    <t>估价对象周边道路状况、公共交通通达情况、停车便捷程度，综合评价交通便捷度较好</t>
  </si>
  <si>
    <t>估价对象所在区域公共配套设施齐备情况较好</t>
  </si>
  <si>
    <t>七通</t>
  </si>
  <si>
    <t>区域自然环境：蓝靛厂公园、四季曙光公园、南长河公园；人文环境；综合评价环境状况较好</t>
  </si>
  <si>
    <t>城市主干道-板井路</t>
  </si>
  <si>
    <t>20-30</t>
  </si>
  <si>
    <t>普通装修</t>
  </si>
  <si>
    <t>六通</t>
  </si>
  <si>
    <t>较适宜</t>
  </si>
  <si>
    <t>精装修</t>
  </si>
  <si>
    <t>20-30%</t>
  </si>
  <si>
    <t>中高端消费人群</t>
  </si>
  <si>
    <t>10-20%</t>
  </si>
  <si>
    <t>10-20</t>
  </si>
  <si>
    <t>商业</t>
    <phoneticPr fontId="31" type="noConversion"/>
  </si>
  <si>
    <t>40-50</t>
  </si>
  <si>
    <t>30-40</t>
  </si>
  <si>
    <t>0-10</t>
  </si>
  <si>
    <t>消费人群</t>
    <phoneticPr fontId="135" type="noConversion"/>
  </si>
  <si>
    <t>高端消费人群</t>
    <phoneticPr fontId="135" type="noConversion"/>
  </si>
  <si>
    <t>中高端消费人群</t>
    <phoneticPr fontId="135" type="noConversion"/>
  </si>
  <si>
    <t>中端消费人群</t>
    <phoneticPr fontId="135" type="noConversion"/>
  </si>
  <si>
    <t>中低端消费人群</t>
    <phoneticPr fontId="135" type="noConversion"/>
  </si>
  <si>
    <t>简单装修</t>
  </si>
  <si>
    <t>毛坯</t>
  </si>
  <si>
    <t>适宜</t>
  </si>
  <si>
    <t>较不适宜</t>
  </si>
  <si>
    <t>不适宜</t>
  </si>
  <si>
    <t>地下占比</t>
    <phoneticPr fontId="31" type="noConversion"/>
  </si>
  <si>
    <t>0-10%</t>
    <phoneticPr fontId="4" type="noConversion"/>
  </si>
  <si>
    <t>10-20%</t>
    <phoneticPr fontId="4" type="noConversion"/>
  </si>
  <si>
    <t>20-30%</t>
    <phoneticPr fontId="4" type="noConversion"/>
  </si>
  <si>
    <t>30-40%</t>
    <phoneticPr fontId="4" type="noConversion"/>
  </si>
  <si>
    <r>
      <rPr>
        <sz val="11"/>
        <color indexed="8"/>
        <rFont val="宋体"/>
        <family val="3"/>
        <charset val="134"/>
      </rPr>
      <t>大于4</t>
    </r>
    <r>
      <rPr>
        <sz val="11"/>
        <color indexed="8"/>
        <rFont val="Arial"/>
        <family val="2"/>
      </rPr>
      <t>0%</t>
    </r>
    <phoneticPr fontId="4" type="noConversion"/>
  </si>
  <si>
    <t>项目模式</t>
  </si>
  <si>
    <t>售价</t>
  </si>
  <si>
    <t>地块名称</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</si>
  <si>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</si>
  <si>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</si>
  <si>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</si>
  <si>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</si>
  <si>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</si>
  <si>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</si>
  <si>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</si>
  <si>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</si>
  <si>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</si>
  <si>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</si>
  <si>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</si>
  <si>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</si>
  <si>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</si>
  <si>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</si>
  <si>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</si>
  <si>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</si>
  <si>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</si>
  <si>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</si>
  <si>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</si>
  <si>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</si>
  <si>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</si>
  <si>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</si>
  <si>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</si>
  <si>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</si>
  <si>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</si>
  <si>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</si>
  <si>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</si>
  <si>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</si>
  <si>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</si>
  <si>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</si>
  <si>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</si>
  <si>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</si>
  <si>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</si>
  <si>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</si>
  <si>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</si>
  <si>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</si>
  <si>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</si>
  <si>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</si>
  <si>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</si>
  <si>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</si>
  <si>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</si>
  <si>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</si>
  <si>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</si>
  <si>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</si>
  <si>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</si>
  <si>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</si>
  <si>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</si>
  <si>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</si>
  <si>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</si>
  <si>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</si>
  <si>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</si>
  <si>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</si>
  <si>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</si>
  <si>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</si>
  <si>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</si>
  <si>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</si>
  <si>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北京丽泽金融商务区北区A地块建设及综合治理项目FT00-0609-0037(2)地块B4综合性商业金融服务业用地</t>
  </si>
  <si>
    <t>京土储挂(丰)[2023]067号</t>
  </si>
  <si>
    <t xml:space="preserve"> 北京</t>
  </si>
  <si>
    <t xml:space="preserve"> 丰台区</t>
  </si>
  <si>
    <t xml:space="preserve"> 六里桥</t>
  </si>
  <si>
    <t xml:space="preserve"> 丰台区太平桥街道</t>
  </si>
  <si>
    <t xml:space="preserve"> 商业/办公用地</t>
  </si>
  <si>
    <t xml:space="preserve"> 小于等于7</t>
  </si>
  <si>
    <t xml:space="preserve"> 挂牌</t>
  </si>
  <si>
    <t xml:space="preserve"> B21金融保险用地、B1商业设施用地</t>
  </si>
  <si>
    <t xml:space="preserve"> B4综合性商业金融服务业用地</t>
  </si>
  <si>
    <t xml:space="preserve">-- </t>
  </si>
  <si>
    <t xml:space="preserve"> -- </t>
  </si>
  <si>
    <t xml:space="preserve"> --</t>
  </si>
  <si>
    <t xml:space="preserve"> 京土储挂(丰)[2023]067号</t>
  </si>
  <si>
    <t xml:space="preserve"> 已成交</t>
  </si>
  <si>
    <t xml:space="preserve"> 中国南水北调集团综合服务有限公司  </t>
  </si>
  <si>
    <t xml:space="preserve"> 中国南水北调集团有限公司</t>
  </si>
  <si>
    <t>2023-12-28 15:00</t>
  </si>
  <si>
    <t xml:space="preserve"> 商业40年 办公50年</t>
  </si>
  <si>
    <t xml:space="preserve"> 未开工</t>
  </si>
  <si>
    <t>北京市海淀区西北旺镇永丰产业基地(新)HD00-0403-004地块F3其他类多功能用地</t>
  </si>
  <si>
    <t>京土储挂(海)[2023]039号</t>
  </si>
  <si>
    <t xml:space="preserve"> 海淀区</t>
  </si>
  <si>
    <t xml:space="preserve"> 温泉</t>
  </si>
  <si>
    <t xml:space="preserve"> 海淀区西北旺镇永丰产业基地</t>
  </si>
  <si>
    <t xml:space="preserve"> B商业服务业设施用地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</si>
  <si>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</si>
  <si>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</si>
  <si>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</si>
  <si>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</si>
  <si>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</si>
  <si>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</si>
  <si>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</si>
  <si>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</si>
  <si>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</si>
  <si>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</si>
  <si>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</si>
  <si>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</si>
  <si>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</si>
  <si>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</si>
  <si>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</si>
  <si>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</si>
  <si>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</si>
  <si>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</si>
  <si>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</si>
  <si>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菜户营、西罗园</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</si>
  <si>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</si>
  <si>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</si>
  <si>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</si>
  <si>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</si>
  <si>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</si>
  <si>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</si>
  <si>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</si>
  <si>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</si>
  <si>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</si>
  <si>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</si>
  <si>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</si>
  <si>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</si>
  <si>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</si>
  <si>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</si>
  <si>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</si>
  <si>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</si>
  <si>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</si>
  <si>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</si>
  <si>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</si>
  <si>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</si>
  <si>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</si>
  <si>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</si>
  <si>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</si>
  <si>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</si>
  <si>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</si>
  <si>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</si>
  <si>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</si>
  <si>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</si>
  <si>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</si>
  <si>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</si>
  <si>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</si>
  <si>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</si>
  <si>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</si>
  <si>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</si>
  <si>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</si>
  <si>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</si>
  <si>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</si>
  <si>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</si>
  <si>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</si>
  <si>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</si>
  <si>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</si>
  <si>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</si>
  <si>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</si>
  <si>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</si>
  <si>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</si>
  <si>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</si>
  <si>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</si>
  <si>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</si>
  <si>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</si>
  <si>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</si>
  <si>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</si>
  <si>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</si>
  <si>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</si>
  <si>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</si>
  <si>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</si>
  <si>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</si>
  <si>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</si>
  <si>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</si>
  <si>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</si>
  <si>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</si>
  <si>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</si>
  <si>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</si>
  <si>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</si>
  <si>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</si>
  <si>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</si>
  <si>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</si>
  <si>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</si>
  <si>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</si>
  <si>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</si>
  <si>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</si>
  <si>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</si>
  <si>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</si>
  <si>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</si>
  <si>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</si>
  <si>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</si>
  <si>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</si>
  <si>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</si>
  <si>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</si>
  <si>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</si>
  <si>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</si>
  <si>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</si>
  <si>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</si>
  <si>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</si>
  <si>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</si>
  <si>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</si>
  <si>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</si>
  <si>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</si>
  <si>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</si>
  <si>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</si>
  <si>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</si>
  <si>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</si>
  <si>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</si>
  <si>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</si>
  <si>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</si>
  <si>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</si>
  <si>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</si>
  <si>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</si>
  <si>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B1商业设施用地、B21金融保险用地</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</si>
  <si>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</si>
  <si>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</si>
  <si>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</si>
  <si>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</si>
  <si>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</si>
  <si>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</si>
  <si>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B1商业设施用地</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</si>
  <si>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</si>
  <si>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</si>
  <si>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</si>
  <si>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</si>
  <si>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</si>
  <si>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</si>
  <si>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</si>
  <si>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</si>
  <si>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</si>
  <si>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</si>
  <si>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</si>
  <si>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</si>
  <si>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</si>
  <si>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</si>
  <si>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</si>
  <si>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</si>
  <si>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</si>
  <si>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</si>
  <si>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</si>
  <si>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</si>
  <si>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</si>
  <si>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</si>
  <si>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</si>
  <si>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京土整储挂(海)[2017]087号</t>
  </si>
  <si>
    <t xml:space="preserve"> 中国电子科技集团公司  </t>
  </si>
  <si>
    <t>北京市丰台区丽泽金融商务区南区D-02地块B4综合性商业金融服务业用地</t>
  </si>
  <si>
    <t>京土整储挂(丰)[2017]085号</t>
  </si>
  <si>
    <t xml:space="preserve"> ≤180</t>
  </si>
  <si>
    <t xml:space="preserve"> 京土整储挂(丰)[2017]085号</t>
  </si>
  <si>
    <t xml:space="preserve"> 华夏人寿保险股份有限公司北京分公司  </t>
  </si>
  <si>
    <t xml:space="preserve"> 华夏人寿</t>
  </si>
  <si>
    <t>丰台区丽泽金融商务区南区D-07、D-08地块</t>
  </si>
  <si>
    <t>京土整储挂(丰)[2017]035号</t>
  </si>
  <si>
    <t xml:space="preserve"> 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</si>
  <si>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</si>
  <si>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</si>
  <si>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地方国有企业,中央国有企业,中央国有企业</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</si>
  <si>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</si>
  <si>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</si>
  <si>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</si>
  <si>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</si>
  <si>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</si>
  <si>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</si>
  <si>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</si>
  <si>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</si>
  <si>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</si>
  <si>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</si>
  <si>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</si>
  <si>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</si>
  <si>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京土整储挂(平)[2017]016号</t>
  </si>
  <si>
    <t xml:space="preserve"> 天津金地华府置业有限公司  </t>
  </si>
  <si>
    <t xml:space="preserve"> 金地集团</t>
  </si>
  <si>
    <t xml:space="preserve"> 混合所有制</t>
  </si>
  <si>
    <t>朝阳区金盏乡楼梓庄村1113-603地块</t>
  </si>
  <si>
    <t>京土整储挂(朝)[2017]006号</t>
  </si>
  <si>
    <t xml:space="preserve"> 朝阳区金盏乡楼梓庄村</t>
  </si>
  <si>
    <t xml:space="preserve"> 京土整储挂(朝)[2017]006号</t>
  </si>
  <si>
    <t xml:space="preserve"> 北京润置商业运营管理有限公司 、招商局地产(北京)有限公司 、北京环渤海正奇企业管理中心(有限合伙)联合体  </t>
  </si>
  <si>
    <t xml:space="preserve"> 招商蛇口,华润置地</t>
  </si>
  <si>
    <t xml:space="preserve"> 中央国有企业,中央国有企业</t>
  </si>
  <si>
    <t>朝阳区金盏乡楼梓庄村1113-604地块</t>
  </si>
  <si>
    <t>京土整储挂(朝)[2017]007号</t>
  </si>
  <si>
    <t xml:space="preserve"> 京土整储挂(朝)[2017]007号</t>
  </si>
  <si>
    <t xml:space="preserve"> 北京广茂置业有限公司  </t>
  </si>
  <si>
    <t xml:space="preserve"> 中国金茂</t>
  </si>
  <si>
    <t>海淀区“海淀北部地区整体开发”中关村环保科技园HD-0303-0071地块</t>
  </si>
  <si>
    <t>京土整储挂(海)[2016]009号</t>
  </si>
  <si>
    <t xml:space="preserve"> “海淀北部地区整体开发”范围内</t>
  </si>
  <si>
    <t xml:space="preserve"> B2商务设施用地</t>
  </si>
  <si>
    <t xml:space="preserve"> B2商务用地</t>
  </si>
  <si>
    <t xml:space="preserve"> 京土整储挂(海)[2016]009号</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</si>
  <si>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</si>
  <si>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</si>
  <si>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</si>
  <si>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</si>
  <si>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</si>
  <si>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</si>
  <si>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京土整储招(朝)[2015]081号</t>
  </si>
  <si>
    <t xml:space="preserve"> 北京城建投资发展股份有限公司 、北京新奥集团有限公司联合体  </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</si>
  <si>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</si>
  <si>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</si>
  <si>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</si>
  <si>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</si>
  <si>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</si>
  <si>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</si>
  <si>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</si>
  <si>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</si>
  <si>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</si>
  <si>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京土整储挂(海)[2015]042号</t>
  </si>
  <si>
    <t xml:space="preserve"> 北京万科企业有限公司  </t>
  </si>
  <si>
    <t>商业</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</si>
  <si>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</si>
  <si>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</si>
  <si>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</si>
  <si>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</si>
  <si>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</si>
  <si>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</si>
  <si>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</si>
  <si>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</si>
  <si>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</si>
  <si>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</si>
  <si>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</si>
  <si>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</si>
  <si>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</si>
  <si>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</si>
  <si>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</si>
  <si>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五通</t>
  </si>
  <si>
    <t>四通</t>
  </si>
  <si>
    <t>三通</t>
  </si>
  <si>
    <t>好</t>
  </si>
  <si>
    <t>差</t>
  </si>
  <si>
    <t>京密路</t>
  </si>
  <si>
    <t>主干道</t>
  </si>
  <si>
    <t>次干道</t>
  </si>
  <si>
    <t>板井路</t>
    <phoneticPr fontId="31" type="noConversion"/>
  </si>
  <si>
    <t>收益法-酒店模型</t>
  </si>
  <si>
    <t>比较法-商业</t>
  </si>
  <si>
    <t>燃气</t>
  </si>
  <si>
    <t>中端消费人群</t>
    <phoneticPr fontId="31" type="noConversion"/>
  </si>
  <si>
    <t>加权平均</t>
  </si>
  <si>
    <t>街角地</t>
  </si>
  <si>
    <t>较大</t>
  </si>
  <si>
    <t>北京来福士中心</t>
  </si>
  <si>
    <t>商场</t>
  </si>
  <si>
    <t>商场</t>
    <phoneticPr fontId="31" type="noConversion"/>
  </si>
  <si>
    <t>酒店</t>
    <phoneticPr fontId="31" type="noConversion"/>
  </si>
  <si>
    <t>大地花园酒店</t>
    <phoneticPr fontId="31"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</si>
  <si>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1"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</si>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</sst>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宋体"/>
      <family val="2"/>
      <charset val="134"/>
    </font>
    <font>
      <sz val="9"/>
      <name val="Palatino Linotype"/>
      <family val="1"/>
    </font>
    <font>
      <sz val="10"/>
      <color rgb="FF000000"/>
      <name val="Times New Roman"/>
      <family val="1"/>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81" fontId="100"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0" fontId="78" fillId="12" borderId="0" xfId="0" applyFont="1" applyFill="1" applyAlignment="1" applyProtection="1">
      <alignment vertical="center"/>
      <protection locked="0"/>
    </xf>
    <xf numFmtId="2" fontId="48" fillId="12" borderId="0" xfId="0"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Fill="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5" fillId="18" borderId="1" xfId="0" applyNumberFormat="1" applyFont="1" applyFill="1" applyBorder="1" applyAlignment="1" applyProtection="1">
      <alignment vertical="center"/>
      <protection locked="0"/>
    </xf>
    <xf numFmtId="181" fontId="45" fillId="18" borderId="24"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79" fontId="48" fillId="0" borderId="1" xfId="1" applyNumberFormat="1" applyFont="1" applyFill="1" applyBorder="1" applyAlignment="1" applyProtection="1">
      <alignment horizontal="center" vertical="center"/>
      <protection locked="0"/>
    </xf>
    <xf numFmtId="0" fontId="78" fillId="0" borderId="1" xfId="0" applyFont="1" applyBorder="1" applyAlignment="1" applyProtection="1">
      <alignment vertical="center" wrapText="1"/>
      <protection locked="0"/>
    </xf>
    <xf numFmtId="0" fontId="164" fillId="2" borderId="2" xfId="0" applyFont="1" applyFill="1" applyBorder="1" applyAlignment="1" applyProtection="1">
      <alignment horizontal="center" vertical="center" wrapText="1"/>
      <protection locked="0"/>
    </xf>
    <xf numFmtId="0" fontId="115" fillId="7" borderId="0" xfId="0" applyFont="1" applyFill="1" applyProtection="1">
      <alignment vertical="center"/>
      <protection locked="0"/>
    </xf>
    <xf numFmtId="49" fontId="270"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9" fontId="55" fillId="0" borderId="1" xfId="4" applyNumberFormat="1" applyFont="1" applyBorder="1" applyAlignment="1" applyProtection="1">
      <alignment horizontal="left" vertical="center"/>
      <protection locked="0"/>
    </xf>
    <xf numFmtId="181" fontId="55" fillId="0" borderId="32" xfId="4" applyNumberFormat="1" applyFont="1" applyBorder="1" applyAlignment="1" applyProtection="1">
      <alignment horizontal="left" vertical="center"/>
      <protection locked="0"/>
    </xf>
    <xf numFmtId="181" fontId="55" fillId="0" borderId="60" xfId="4" applyNumberFormat="1" applyFont="1" applyBorder="1" applyAlignment="1" applyProtection="1">
      <alignment horizontal="left" vertical="center"/>
      <protection locked="0"/>
    </xf>
    <xf numFmtId="0" fontId="48" fillId="5" borderId="1" xfId="0" applyFont="1" applyFill="1" applyBorder="1" applyAlignment="1" applyProtection="1">
      <alignment horizontal="center" vertical="center" wrapText="1"/>
      <protection locked="0"/>
    </xf>
    <xf numFmtId="0" fontId="96" fillId="0" borderId="0" xfId="10">
      <alignment vertical="center"/>
    </xf>
    <xf numFmtId="0" fontId="96" fillId="0" borderId="0" xfId="10" applyFont="1">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0" fontId="54" fillId="0" borderId="10" xfId="1" applyFont="1" applyBorder="1" applyAlignment="1" applyProtection="1">
      <alignment horizontal="center" vertical="center"/>
      <protection locked="0"/>
    </xf>
    <xf numFmtId="0" fontId="54" fillId="0" borderId="49" xfId="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54" fillId="0" borderId="158"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6" fillId="0" borderId="0" xfId="18" applyNumberFormat="1" applyAlignment="1"/>
    <xf numFmtId="0" fontId="96" fillId="0" borderId="0" xfId="18" applyNumberFormat="1" applyFill="1" applyAlignment="1"/>
    <xf numFmtId="0" fontId="96" fillId="5" borderId="0" xfId="18" applyNumberFormat="1" applyFill="1" applyAlignment="1"/>
    <xf numFmtId="14" fontId="96" fillId="0" borderId="0" xfId="18" applyNumberFormat="1" applyAlignment="1"/>
    <xf numFmtId="14" fontId="96" fillId="0" borderId="0" xfId="18" applyNumberFormat="1" applyFill="1" applyAlignment="1"/>
    <xf numFmtId="14" fontId="96" fillId="5" borderId="0" xfId="18" applyNumberFormat="1" applyFill="1" applyAlignment="1"/>
    <xf numFmtId="0" fontId="273" fillId="0" borderId="9"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32"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4" xfId="0" applyNumberFormat="1" applyFont="1" applyBorder="1" applyAlignment="1" applyProtection="1">
      <alignment horizontal="center" vertical="center" wrapText="1"/>
      <protection locked="0"/>
    </xf>
    <xf numFmtId="0" fontId="45" fillId="0" borderId="44" xfId="0" applyNumberFormat="1" applyFont="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2" fontId="45" fillId="0" borderId="23"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2" fontId="52" fillId="0" borderId="37" xfId="0" applyNumberFormat="1" applyFont="1" applyFill="1" applyBorder="1" applyAlignment="1" applyProtection="1">
      <alignment horizontal="center" vertical="center" wrapText="1"/>
      <protection locked="0"/>
    </xf>
    <xf numFmtId="9" fontId="48" fillId="12" borderId="1" xfId="19" applyFont="1" applyFill="1" applyBorder="1" applyAlignment="1" applyProtection="1">
      <alignment horizontal="center" vertical="center"/>
      <protection locked="0"/>
    </xf>
    <xf numFmtId="9" fontId="96" fillId="0" borderId="0" xfId="1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50"/>
    <cellStyle name="千位分隔 4" xfId="4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3-1-0888-P01DYGJ1&#19996;&#30452;&#38376;8&#21495;&#20303;&#23429;-&#20108;&#23457;&#24050;&#259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sheetData sheetId="9">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住宅</v>
          </cell>
        </row>
        <row r="20">
          <cell r="C20" t="str">
            <v>商业</v>
          </cell>
        </row>
        <row r="21">
          <cell r="C21" t="str">
            <v>住宅车库</v>
          </cell>
        </row>
        <row r="22">
          <cell r="C22" t="str">
            <v>商业车库</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住宅</v>
          </cell>
          <cell r="D76">
            <v>0</v>
          </cell>
          <cell r="E76">
            <v>0</v>
          </cell>
          <cell r="F76">
            <v>0</v>
          </cell>
          <cell r="G76">
            <v>0</v>
          </cell>
          <cell r="H76">
            <v>0</v>
          </cell>
          <cell r="I76">
            <v>0</v>
          </cell>
          <cell r="J76">
            <v>0</v>
          </cell>
          <cell r="K76">
            <v>0</v>
          </cell>
          <cell r="L76">
            <v>0</v>
          </cell>
          <cell r="M76">
            <v>0</v>
          </cell>
        </row>
        <row r="107">
          <cell r="B107" t="str">
            <v>毗邻道路的类型与等级</v>
          </cell>
          <cell r="C107" t="str">
            <v>高速路</v>
          </cell>
          <cell r="D107" t="str">
            <v>快速路</v>
          </cell>
          <cell r="E107" t="str">
            <v>主干道</v>
          </cell>
          <cell r="F107" t="str">
            <v>次干道</v>
          </cell>
          <cell r="G107" t="str">
            <v>支路</v>
          </cell>
          <cell r="H107">
            <v>0</v>
          </cell>
          <cell r="I107">
            <v>0</v>
          </cell>
          <cell r="J107">
            <v>0</v>
          </cell>
          <cell r="K107">
            <v>0</v>
          </cell>
          <cell r="L107">
            <v>0</v>
          </cell>
          <cell r="M107">
            <v>0</v>
          </cell>
        </row>
        <row r="109">
          <cell r="B109" t="str">
            <v>土地级别</v>
          </cell>
          <cell r="C109" t="str">
            <v>2级</v>
          </cell>
          <cell r="D109" t="str">
            <v>3级</v>
          </cell>
          <cell r="E109" t="str">
            <v>4级</v>
          </cell>
          <cell r="F109" t="str">
            <v>5级</v>
          </cell>
          <cell r="G109" t="str">
            <v>6级</v>
          </cell>
          <cell r="H109">
            <v>0</v>
          </cell>
          <cell r="I109">
            <v>0</v>
          </cell>
          <cell r="J109">
            <v>0</v>
          </cell>
          <cell r="K109">
            <v>0</v>
          </cell>
          <cell r="L109">
            <v>0</v>
          </cell>
          <cell r="M109">
            <v>0</v>
          </cell>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v>0</v>
          </cell>
          <cell r="I120">
            <v>0</v>
          </cell>
          <cell r="J120">
            <v>0</v>
          </cell>
          <cell r="K120">
            <v>0</v>
          </cell>
          <cell r="L120">
            <v>0</v>
          </cell>
          <cell r="M120">
            <v>0</v>
          </cell>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t="str">
            <v>好</v>
          </cell>
          <cell r="D126" t="str">
            <v>较好</v>
          </cell>
          <cell r="E126" t="str">
            <v>一般</v>
          </cell>
          <cell r="F126" t="str">
            <v>较差</v>
          </cell>
          <cell r="G126" t="str">
            <v>差</v>
          </cell>
          <cell r="H126">
            <v>0</v>
          </cell>
          <cell r="I126">
            <v>0</v>
          </cell>
          <cell r="J126">
            <v>0</v>
          </cell>
          <cell r="K126">
            <v>0</v>
          </cell>
          <cell r="L126">
            <v>0</v>
          </cell>
          <cell r="M126">
            <v>0</v>
          </cell>
        </row>
      </sheetData>
      <sheetData sheetId="20"/>
      <sheetData sheetId="21"/>
      <sheetData sheetId="22"/>
      <sheetData sheetId="23"/>
      <sheetData sheetId="24"/>
      <sheetData sheetId="25">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7"/>
      <sheetData sheetId="28"/>
      <sheetData sheetId="29"/>
      <sheetData sheetId="30"/>
      <sheetData sheetId="31"/>
      <sheetData sheetId="32"/>
      <sheetData sheetId="33"/>
      <sheetData sheetId="34"/>
      <sheetData sheetId="3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小高层</v>
          </cell>
          <cell r="D100" t="str">
            <v>高层</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豪装</v>
          </cell>
          <cell r="D109" t="str">
            <v>精装修</v>
          </cell>
          <cell r="E109" t="str">
            <v>普通装修</v>
          </cell>
          <cell r="F109" t="str">
            <v>简单装修</v>
          </cell>
          <cell r="G109" t="str">
            <v>毛坯</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豪装</v>
          </cell>
          <cell r="D122" t="str">
            <v>精装修</v>
          </cell>
          <cell r="E122" t="str">
            <v>普通装修</v>
          </cell>
          <cell r="F122" t="str">
            <v>简单装修</v>
          </cell>
          <cell r="G122" t="str">
            <v>毛坯</v>
          </cell>
          <cell r="H122">
            <v>0</v>
          </cell>
          <cell r="I122">
            <v>0</v>
          </cell>
          <cell r="J122">
            <v>0</v>
          </cell>
          <cell r="K122">
            <v>0</v>
          </cell>
          <cell r="L122">
            <v>0</v>
          </cell>
          <cell r="M122">
            <v>0</v>
          </cell>
        </row>
      </sheetData>
      <sheetData sheetId="36"/>
      <sheetData sheetId="37">
        <row r="51">
          <cell r="A51" t="str">
            <v>交易情况</v>
          </cell>
          <cell r="B51">
            <v>0</v>
          </cell>
          <cell r="C51" t="str">
            <v>正常</v>
          </cell>
          <cell r="D51" t="str">
            <v>报价</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t="str">
            <v>精装</v>
          </cell>
          <cell r="D83">
            <v>0</v>
          </cell>
          <cell r="E83">
            <v>0</v>
          </cell>
          <cell r="F83">
            <v>0</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38"/>
      <sheetData sheetId="39"/>
      <sheetData sheetId="40"/>
      <sheetData sheetId="4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4"/>
      <sheetData sheetId="4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成本法 (元)"/>
      <sheetName val="土地比较法-住宅、综合"/>
      <sheetName val="土地比较法-工业"/>
      <sheetName val="比较法-住宅"/>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现房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2">
          <cell r="A62" t="str">
            <v>交易情况</v>
          </cell>
        </row>
      </sheetData>
      <sheetData sheetId="27">
        <row r="55">
          <cell r="A55" t="str">
            <v>交易情况</v>
          </cell>
        </row>
      </sheetData>
      <sheetData sheetId="28">
        <row r="51">
          <cell r="A51" t="str">
            <v>交易情况</v>
          </cell>
        </row>
      </sheetData>
      <sheetData sheetId="29">
        <row r="49">
          <cell r="A49" t="str">
            <v>交易情况</v>
          </cell>
        </row>
      </sheetData>
      <sheetData sheetId="30" refreshError="1"/>
      <sheetData sheetId="31">
        <row r="72">
          <cell r="A72" t="str">
            <v>交易情况</v>
          </cell>
        </row>
      </sheetData>
      <sheetData sheetId="32">
        <row r="70">
          <cell r="B70" t="str">
            <v>用途</v>
          </cell>
        </row>
        <row r="97">
          <cell r="B97" t="str">
            <v>毗邻道路的类型与等级</v>
          </cell>
        </row>
        <row r="112">
          <cell r="B112" t="str">
            <v>宗地开发程度</v>
          </cell>
        </row>
        <row r="114">
          <cell r="B114" t="str">
            <v>工程地质条件</v>
          </cell>
        </row>
      </sheetData>
      <sheetData sheetId="33">
        <row r="61">
          <cell r="A61" t="str">
            <v>交易情况</v>
          </cell>
        </row>
      </sheetData>
      <sheetData sheetId="34">
        <row r="5">
          <cell r="B5" t="str">
            <v>修正项2</v>
          </cell>
        </row>
      </sheetData>
      <sheetData sheetId="35" refreshError="1"/>
      <sheetData sheetId="36" refreshError="1"/>
      <sheetData sheetId="37">
        <row r="8">
          <cell r="A8" t="str">
            <v>通路</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ow r="3">
          <cell r="A3">
            <v>28178.74</v>
          </cell>
        </row>
      </sheetData>
      <sheetData sheetId="12" refreshError="1"/>
      <sheetData sheetId="13">
        <row r="17">
          <cell r="C17" t="str">
            <v>项目类型</v>
          </cell>
        </row>
      </sheetData>
      <sheetData sheetId="14">
        <row r="6">
          <cell r="F6">
            <v>19.510000000000002</v>
          </cell>
          <cell r="I6">
            <v>5.5E-2</v>
          </cell>
        </row>
      </sheetData>
      <sheetData sheetId="15" refreshError="1"/>
      <sheetData sheetId="16" refreshError="1"/>
      <sheetData sheetId="17" refreshError="1"/>
      <sheetData sheetId="18" refreshError="1"/>
      <sheetData sheetId="19">
        <row r="73">
          <cell r="A73" t="str">
            <v>交易情况</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row>
      </sheetData>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refreshError="1"/>
      <sheetData sheetId="37">
        <row r="6">
          <cell r="A6" t="str">
            <v>通路</v>
          </cell>
        </row>
      </sheetData>
      <sheetData sheetId="38" refreshError="1"/>
      <sheetData sheetId="39" refreshError="1"/>
      <sheetData sheetId="40" refreshError="1"/>
      <sheetData sheetId="41">
        <row r="5">
          <cell r="B5" t="str">
            <v>修正项2</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1" customWidth="1"/>
    <col min="2" max="2" width="81" style="1198" customWidth="1"/>
    <col min="3" max="16384" width="9" style="1196"/>
  </cols>
  <sheetData>
    <row r="1" spans="1:2" s="1184" customFormat="1" ht="16.5" thickBot="1">
      <c r="A1" s="1183" t="s">
        <v>521</v>
      </c>
      <c r="B1" s="1182" t="s">
        <v>600</v>
      </c>
    </row>
    <row r="2" spans="1:2" s="1187" customFormat="1" ht="15" thickTop="1">
      <c r="A2" s="1185" t="s">
        <v>522</v>
      </c>
      <c r="B2" s="1186" t="str">
        <f>'预评函-封皮'!B37:I37</f>
        <v>北京市海淀区板井路69号世纪金源大饭店房地产抵押价值预评估</v>
      </c>
    </row>
    <row r="3" spans="1:2" s="1190" customFormat="1">
      <c r="A3" s="1188" t="s">
        <v>523</v>
      </c>
      <c r="B3" s="1189">
        <f>'预评函-封皮'!B40</f>
        <v>0</v>
      </c>
    </row>
    <row r="4" spans="1:2" s="1190" customFormat="1">
      <c r="A4" s="1188" t="s">
        <v>524</v>
      </c>
      <c r="B4" s="1189" t="str">
        <f ca="1">'预评函-封皮'!B46</f>
        <v>吴薇（注册号：1419970001)、郑燚（注册号：1120070131)</v>
      </c>
    </row>
    <row r="5" spans="1:2" s="1184" customFormat="1" ht="15" thickBot="1">
      <c r="A5" s="1191" t="s">
        <v>525</v>
      </c>
      <c r="B5" s="1192" t="str">
        <f>'预评函-封皮'!B49</f>
        <v>康正预评字号</v>
      </c>
    </row>
    <row r="6" spans="1:2" s="1187" customFormat="1" ht="15" thickTop="1">
      <c r="A6" s="1185" t="s">
        <v>526</v>
      </c>
      <c r="B6" s="1186" t="str">
        <f>'预评函-1'!A4</f>
        <v>受贵公司委托，我公司对北京市海淀区板井路69号世纪金源大饭店房地产抵押价值进行了预评估。</v>
      </c>
    </row>
    <row r="7" spans="1:2" s="1190" customFormat="1">
      <c r="A7" s="1188" t="s">
        <v>566</v>
      </c>
      <c r="B7" s="1189" t="str">
        <f>'预评函-1'!A7</f>
        <v>估价对象为北京市海淀区板井路69号世纪金源大饭店房地产，为所有。根据《国有土地使用证》[]，估价对象（分摊）出让国有建设用地使用权面积为28178.74平方米，建筑面积为98312.17平方米。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2" spans="1:2" s="1190" customFormat="1">
      <c r="A12" s="1188" t="s">
        <v>528</v>
      </c>
      <c r="B12" s="1189" t="str">
        <f>'预评函-1'!A15</f>
        <v>2024年3月22日（评估专业人员实地查勘之日）</v>
      </c>
    </row>
    <row r="13" spans="1:2" s="1190" customFormat="1">
      <c r="A13" s="1188" t="s">
        <v>529</v>
      </c>
      <c r="B13" s="1189"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0" customFormat="1">
      <c r="A15" s="1188" t="s">
        <v>531</v>
      </c>
      <c r="B15" s="1189" t="str">
        <f>'预评函-1'!A20</f>
        <v>本次估价的“房地产抵押价值”是指估价对象在价值时点的“房地产价值”扣减估价师于价值时点所知悉的法定优先受偿款后的余额。</v>
      </c>
    </row>
    <row r="16" spans="1:2" s="1190" customFormat="1">
      <c r="A16" s="1188" t="s">
        <v>532</v>
      </c>
      <c r="B16" s="1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0" customFormat="1">
      <c r="A17" s="1188" t="s">
        <v>533</v>
      </c>
      <c r="B17" s="1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4" customFormat="1" ht="15" thickBot="1">
      <c r="A18" s="1191" t="s">
        <v>534</v>
      </c>
      <c r="B18" s="1192" t="str">
        <f>'预评函-1'!A24</f>
        <v>本次评估采用的主估价方法为比较法和收益法。</v>
      </c>
    </row>
    <row r="19" spans="1:2" s="1187" customFormat="1" ht="15" thickTop="1">
      <c r="A19" s="1185" t="s">
        <v>535</v>
      </c>
      <c r="B19" s="11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0" customFormat="1">
      <c r="A20" s="1188" t="s">
        <v>536</v>
      </c>
      <c r="B20" s="1189">
        <f ca="1">'预评函-2'!D5</f>
        <v>336444</v>
      </c>
    </row>
    <row r="21" spans="1:2" s="1190" customFormat="1">
      <c r="A21" s="1188" t="s">
        <v>537</v>
      </c>
      <c r="B21" s="1189">
        <f ca="1">'预评函-2'!D7</f>
        <v>34222</v>
      </c>
    </row>
    <row r="22" spans="1:2" s="1190" customFormat="1">
      <c r="A22" s="1188" t="s">
        <v>538</v>
      </c>
      <c r="B22" s="1189" t="str">
        <f ca="1">'预评函-2'!D6</f>
        <v>叁拾叁亿陆仟肆佰肆拾肆万元整</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f ca="1">'预评函-2'!D13</f>
        <v>336444</v>
      </c>
    </row>
    <row r="31" spans="1:2" s="1190" customFormat="1">
      <c r="A31" s="1188" t="s">
        <v>576</v>
      </c>
      <c r="B31" s="1189">
        <f ca="1">'预评函-2'!D15</f>
        <v>34222</v>
      </c>
    </row>
    <row r="32" spans="1:2" s="1190" customFormat="1">
      <c r="A32" s="1188" t="s">
        <v>543</v>
      </c>
      <c r="B32" s="1189" t="str">
        <f ca="1">'预评函-2'!D14</f>
        <v>叁拾叁亿陆仟肆佰肆拾肆万元整</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4.抵押净值</v>
      </c>
    </row>
    <row r="38" spans="1:2" s="1190" customFormat="1">
      <c r="A38" s="1188" t="s">
        <v>597</v>
      </c>
      <c r="B38" s="1189">
        <f ca="1">'预评函-2'!D19</f>
        <v>283207</v>
      </c>
    </row>
    <row r="39" spans="1:2" s="1190" customFormat="1">
      <c r="A39" s="1188" t="s">
        <v>545</v>
      </c>
      <c r="B39" s="1189">
        <f ca="1">'预评函-2'!D21</f>
        <v>28807</v>
      </c>
    </row>
    <row r="40" spans="1:2" s="1190" customFormat="1">
      <c r="A40" s="1188" t="s">
        <v>546</v>
      </c>
      <c r="B40" s="1189" t="str">
        <f ca="1">'预评函-2'!D20</f>
        <v>贰拾捌亿叁仟贰佰零柒万元整</v>
      </c>
    </row>
    <row r="41" spans="1:2" s="1190" customFormat="1">
      <c r="A41" s="1188" t="s">
        <v>592</v>
      </c>
      <c r="B41" s="1189" t="str">
        <f>'预评函-3'!A4</f>
        <v>北京市海淀区板井路69号世纪金源大饭店房地产</v>
      </c>
    </row>
    <row r="42" spans="1:2" s="1190" customFormat="1">
      <c r="A42" s="1188" t="s">
        <v>590</v>
      </c>
      <c r="B42" s="1189" t="str">
        <f>'预评函-3'!B2</f>
        <v>建筑面积</v>
      </c>
    </row>
    <row r="43" spans="1:2" s="1190" customFormat="1">
      <c r="A43" s="1188" t="s">
        <v>591</v>
      </c>
      <c r="B43" s="1189">
        <f>'预评函-3'!B4</f>
        <v>98312.17</v>
      </c>
    </row>
    <row r="44" spans="1:2" s="1190" customFormat="1">
      <c r="A44" s="1188" t="s">
        <v>575</v>
      </c>
      <c r="B44" s="1189" t="str">
        <f>'预评函-3'!C2</f>
        <v>(分摊)土地面积</v>
      </c>
    </row>
    <row r="45" spans="1:2" s="1190" customFormat="1">
      <c r="A45" s="1188" t="s">
        <v>547</v>
      </c>
      <c r="B45" s="1189">
        <f>'预评函-3'!C4</f>
        <v>28178.74</v>
      </c>
    </row>
    <row r="46" spans="1:2" s="1190" customFormat="1">
      <c r="A46" s="1188" t="s">
        <v>573</v>
      </c>
      <c r="B46" s="1189" t="str">
        <f>'预评函-3'!D2</f>
        <v>出让国有建设用地使用权价值</v>
      </c>
    </row>
    <row r="47" spans="1:2" s="1190" customFormat="1">
      <c r="A47" s="1188" t="s">
        <v>548</v>
      </c>
      <c r="B47" s="1189">
        <f ca="1">'预评函-3'!D4</f>
        <v>220707</v>
      </c>
    </row>
    <row r="48" spans="1:2" s="1190" customFormat="1">
      <c r="A48" s="1188" t="s">
        <v>549</v>
      </c>
      <c r="B48" s="1189">
        <f ca="1">'预评函-3'!E4</f>
        <v>22450</v>
      </c>
    </row>
    <row r="49" spans="1:2" s="1190" customFormat="1">
      <c r="A49" s="1188" t="s">
        <v>550</v>
      </c>
      <c r="B49" s="1189" t="str">
        <f ca="1">'预评函-3'!D5</f>
        <v>贰拾贰亿零柒佰零柒万元整</v>
      </c>
    </row>
    <row r="50" spans="1:2" s="1190" customFormat="1">
      <c r="A50" s="1188" t="s">
        <v>574</v>
      </c>
      <c r="B50" s="1189" t="str">
        <f>'预评函-3'!F2</f>
        <v>建筑物价值</v>
      </c>
    </row>
    <row r="51" spans="1:2" s="1190" customFormat="1">
      <c r="A51" s="1188" t="s">
        <v>551</v>
      </c>
      <c r="B51" s="1189">
        <f ca="1">'预评函-3'!F4</f>
        <v>115737</v>
      </c>
    </row>
    <row r="52" spans="1:2" s="1190" customFormat="1">
      <c r="A52" s="1188" t="s">
        <v>552</v>
      </c>
      <c r="B52" s="1189">
        <f ca="1">'预评函-3'!G4</f>
        <v>11772</v>
      </c>
    </row>
    <row r="53" spans="1:2" s="1190" customFormat="1">
      <c r="A53" s="1188" t="s">
        <v>580</v>
      </c>
      <c r="B53" s="1189" t="str">
        <f ca="1">'预评函-3'!F5</f>
        <v>壹拾壹亿伍仟柒佰叁拾柒万元整</v>
      </c>
    </row>
    <row r="54" spans="1:2" s="1190" customFormat="1">
      <c r="A54" s="1188" t="s">
        <v>598</v>
      </c>
      <c r="B54" s="1189" t="str">
        <f>'预评函-3'!A8</f>
        <v>房地产抵押价值</v>
      </c>
    </row>
    <row r="55" spans="1:2" s="1190" customFormat="1">
      <c r="A55" s="1188" t="s">
        <v>581</v>
      </c>
      <c r="B55" s="1189" t="str">
        <f>'预评函-3'!A10</f>
        <v/>
      </c>
    </row>
    <row r="56" spans="1:2" s="1190" customFormat="1">
      <c r="A56" s="1188" t="s">
        <v>582</v>
      </c>
      <c r="B56" s="1189" t="str">
        <f>'预评函-3'!A12</f>
        <v>抵押净值</v>
      </c>
    </row>
    <row r="57" spans="1:2" s="1184" customFormat="1" ht="15" thickBot="1">
      <c r="A57" s="1191" t="s">
        <v>599</v>
      </c>
      <c r="B57" s="1192" t="str">
        <f>'预评函-3'!A6</f>
        <v>估价师知悉的法定优先受偿款</v>
      </c>
    </row>
    <row r="58" spans="1:2" s="1187" customFormat="1" ht="15" thickTop="1">
      <c r="A58" s="1185" t="s">
        <v>553</v>
      </c>
      <c r="B58" s="1186" t="str">
        <f>'预评函-4'!A12</f>
        <v>2.本《评估意见函》仅供金融机构进行内部审核使用，不做其他目的之用。</v>
      </c>
    </row>
    <row r="59" spans="1:2" s="1190" customFormat="1">
      <c r="A59" s="1188" t="s">
        <v>554</v>
      </c>
      <c r="B59" s="1189" t="str">
        <f>'预评函-4'!A13</f>
        <v>3.抵押双方在办理抵押登记手续时，应使用本公司出具的正式《房地产评估报告》，特提醒报告使用者注意。</v>
      </c>
    </row>
    <row r="60" spans="1:2" s="1190" customFormat="1">
      <c r="A60" s="1188" t="s">
        <v>555</v>
      </c>
      <c r="B60" s="1189" t="str">
        <f>'预评函-4'!A14</f>
        <v>4.本次评估估价师所知悉的法定优先受偿款情况说明如下：</v>
      </c>
    </row>
    <row r="61" spans="1:2" s="1190" customFormat="1">
      <c r="A61" s="1188" t="s">
        <v>556</v>
      </c>
      <c r="B61" s="1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故，本次评估不存在估价师知悉的法定优先受偿款</v>
      </c>
    </row>
    <row r="65" spans="1:2" s="1190" customFormat="1">
      <c r="A65" s="1188" t="s">
        <v>559</v>
      </c>
      <c r="B65" s="1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v>
      </c>
    </row>
    <row r="67" spans="1:2" s="1190" customFormat="1">
      <c r="A67" s="1188" t="s">
        <v>571</v>
      </c>
      <c r="B67" s="1189" t="str">
        <f>'预评函-4'!A21</f>
        <v>——</v>
      </c>
    </row>
    <row r="68" spans="1:2" s="1190" customFormat="1">
      <c r="A68" s="1188" t="s">
        <v>572</v>
      </c>
      <c r="B68" s="1189" t="str">
        <f>'预评函-4'!A22</f>
        <v>8.其他需特殊说明事项：无（注意调整序号）</v>
      </c>
    </row>
    <row r="69" spans="1:2" s="1184" customFormat="1" ht="15" thickBot="1">
      <c r="A69" s="1191" t="s">
        <v>561</v>
      </c>
      <c r="B69" s="1193">
        <f>'预评函-4'!C31</f>
        <v>42551</v>
      </c>
    </row>
    <row r="70" spans="1:2" ht="15" thickTop="1">
      <c r="A70" s="1194" t="s">
        <v>562</v>
      </c>
      <c r="B70" s="1195" t="str">
        <f>'预评函-4'!A4</f>
        <v>吴薇</v>
      </c>
    </row>
    <row r="71" spans="1:2">
      <c r="A71" s="1188" t="s">
        <v>563</v>
      </c>
      <c r="B71" s="1189">
        <f ca="1">'预评函-4'!B4</f>
        <v>1419970001</v>
      </c>
    </row>
    <row r="72" spans="1:2">
      <c r="A72" s="1188" t="s">
        <v>564</v>
      </c>
      <c r="B72" s="1197" t="str">
        <f>'预评函-4'!A5</f>
        <v>郑燚</v>
      </c>
    </row>
    <row r="73" spans="1:2" s="1184" customFormat="1" ht="15" thickBot="1">
      <c r="A73" s="1191" t="s">
        <v>565</v>
      </c>
      <c r="B73" s="1192">
        <f ca="1">'预评函-4'!B5</f>
        <v>1120070131</v>
      </c>
    </row>
    <row r="74" spans="1:2" ht="15" thickTop="1">
      <c r="A74" s="1181" t="s">
        <v>601</v>
      </c>
      <c r="B74" s="119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3" customWidth="1"/>
    <col min="2" max="2" width="23.25" style="1494" customWidth="1"/>
    <col min="3" max="3" width="13" style="1538" customWidth="1"/>
    <col min="4" max="4" width="5.75" style="1535" customWidth="1"/>
    <col min="5" max="5" width="7.125" style="1535" customWidth="1"/>
    <col min="6" max="6" width="10.625" style="1535" customWidth="1"/>
    <col min="7" max="7" width="7.5" style="1535" customWidth="1"/>
    <col min="8" max="8" width="11.875" style="1538" customWidth="1"/>
    <col min="9" max="9" width="11.625" style="1538" customWidth="1"/>
    <col min="10" max="10" width="9" style="1538" customWidth="1"/>
    <col min="11" max="19" width="9" style="1535" customWidth="1"/>
    <col min="20" max="23" width="9" style="1538" customWidth="1"/>
    <col min="24" max="24" width="21.125" style="1494" customWidth="1"/>
    <col min="25" max="16384" width="9" style="1494"/>
  </cols>
  <sheetData>
    <row r="1" spans="1:23" s="1532" customFormat="1" ht="40.5">
      <c r="A1" s="1526" t="s">
        <v>44</v>
      </c>
      <c r="B1" s="1527" t="s">
        <v>977</v>
      </c>
      <c r="C1" s="1528" t="s">
        <v>314</v>
      </c>
      <c r="D1" s="1530" t="s">
        <v>3346</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3332</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3333</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3334</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3335</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3336</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3337</v>
      </c>
    </row>
    <row r="8" spans="1:23">
      <c r="A8" s="1533" t="s">
        <v>1026</v>
      </c>
      <c r="B8" s="1533" t="s">
        <v>1027</v>
      </c>
      <c r="C8" s="1534" t="s">
        <v>319</v>
      </c>
      <c r="F8" s="1535" t="s">
        <v>1028</v>
      </c>
      <c r="H8" s="1535" t="s">
        <v>2572</v>
      </c>
      <c r="I8" s="1535" t="s">
        <v>3338</v>
      </c>
    </row>
    <row r="9" spans="1:23">
      <c r="A9" s="1533" t="s">
        <v>1029</v>
      </c>
      <c r="B9" s="1533" t="s">
        <v>1030</v>
      </c>
      <c r="C9" s="1534" t="s">
        <v>320</v>
      </c>
      <c r="F9" s="1535" t="s">
        <v>1031</v>
      </c>
      <c r="H9" s="1535"/>
      <c r="I9" s="1538" t="s">
        <v>3339</v>
      </c>
    </row>
    <row r="10" spans="1:23">
      <c r="A10" s="1533" t="s">
        <v>1032</v>
      </c>
      <c r="B10" s="1533" t="s">
        <v>1033</v>
      </c>
      <c r="C10" s="1534" t="s">
        <v>321</v>
      </c>
      <c r="F10" s="1535" t="s">
        <v>2573</v>
      </c>
      <c r="I10" s="1538" t="s">
        <v>3340</v>
      </c>
    </row>
    <row r="11" spans="1:23">
      <c r="A11" s="1533" t="s">
        <v>1034</v>
      </c>
      <c r="B11" s="1533" t="s">
        <v>1035</v>
      </c>
      <c r="C11" s="1534" t="s">
        <v>322</v>
      </c>
      <c r="F11" s="1535" t="s">
        <v>13</v>
      </c>
      <c r="I11" s="1538" t="s">
        <v>3341</v>
      </c>
    </row>
    <row r="12" spans="1:23">
      <c r="A12" s="1533" t="s">
        <v>1036</v>
      </c>
      <c r="B12" s="1533" t="s">
        <v>1037</v>
      </c>
      <c r="C12" s="1534" t="s">
        <v>323</v>
      </c>
      <c r="I12" s="1538" t="s">
        <v>3342</v>
      </c>
    </row>
    <row r="13" spans="1:23">
      <c r="A13" s="1533" t="s">
        <v>1038</v>
      </c>
      <c r="B13" s="1533" t="s">
        <v>1039</v>
      </c>
      <c r="C13" s="1534" t="s">
        <v>324</v>
      </c>
      <c r="I13" s="1538" t="s">
        <v>3343</v>
      </c>
    </row>
    <row r="14" spans="1:23">
      <c r="A14" s="1533" t="s">
        <v>1040</v>
      </c>
      <c r="B14" s="1533" t="s">
        <v>1041</v>
      </c>
      <c r="C14" s="1535" t="s">
        <v>13</v>
      </c>
      <c r="I14" s="1538" t="s">
        <v>3344</v>
      </c>
    </row>
    <row r="15" spans="1:23">
      <c r="A15" s="1533" t="s">
        <v>1042</v>
      </c>
      <c r="B15" s="1533" t="s">
        <v>1043</v>
      </c>
      <c r="C15" s="1534"/>
      <c r="I15" s="1538" t="s">
        <v>3345</v>
      </c>
    </row>
    <row r="16" spans="1:23">
      <c r="A16" s="1533" t="s">
        <v>1044</v>
      </c>
      <c r="B16" s="1533" t="s">
        <v>312</v>
      </c>
      <c r="C16" s="1534"/>
    </row>
    <row r="17" spans="1:3">
      <c r="A17" s="1533" t="s">
        <v>1045</v>
      </c>
      <c r="B17" s="1533" t="s">
        <v>2288</v>
      </c>
      <c r="C17" s="1534"/>
    </row>
    <row r="18" spans="1:3">
      <c r="A18" s="1533" t="s">
        <v>1046</v>
      </c>
      <c r="B18" s="1533" t="s">
        <v>2429</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557"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41" t="s">
        <v>385</v>
      </c>
      <c r="C54" s="1538" t="s">
        <v>583</v>
      </c>
    </row>
    <row r="55" spans="1:4">
      <c r="A55" s="3557"/>
      <c r="B55" s="1541" t="s">
        <v>386</v>
      </c>
      <c r="C55" s="1538" t="s">
        <v>584</v>
      </c>
    </row>
    <row r="56" spans="1:4">
      <c r="A56" s="3557"/>
      <c r="B56" s="1541" t="s">
        <v>387</v>
      </c>
      <c r="C56" s="1538" t="s">
        <v>588</v>
      </c>
    </row>
    <row r="57" spans="1:4">
      <c r="A57" s="3557"/>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2495</v>
      </c>
      <c r="B1" s="2991"/>
      <c r="C1" s="2991"/>
      <c r="D1" s="2991"/>
      <c r="E1" s="2991"/>
      <c r="F1" s="2992"/>
      <c r="I1" s="3414" t="s">
        <v>2588</v>
      </c>
      <c r="J1" s="3203"/>
      <c r="K1" s="3203"/>
      <c r="L1" s="3203"/>
      <c r="M1" s="3203"/>
      <c r="N1" s="3415"/>
      <c r="O1" s="3415"/>
      <c r="P1" s="3415"/>
      <c r="Q1" s="3415"/>
      <c r="R1" s="3415"/>
    </row>
    <row r="2" spans="1:18">
      <c r="A2" s="2994"/>
      <c r="B2" s="2995"/>
      <c r="C2" s="2995"/>
      <c r="D2" s="2995"/>
      <c r="E2" s="2995"/>
      <c r="F2" s="2996"/>
      <c r="I2" s="3558" t="s">
        <v>2575</v>
      </c>
      <c r="J2" s="3558"/>
      <c r="K2" s="3558"/>
      <c r="L2" s="3558"/>
      <c r="M2" s="3558"/>
      <c r="N2" s="3558"/>
      <c r="O2" s="3558"/>
      <c r="P2" s="3558"/>
      <c r="Q2" s="3558"/>
      <c r="R2" s="3558"/>
    </row>
    <row r="3" spans="1:18">
      <c r="A3" s="2997" t="s">
        <v>2496</v>
      </c>
      <c r="B3" s="2998">
        <f>项目基本情况!D3</f>
        <v>45373</v>
      </c>
      <c r="C3" s="3000"/>
      <c r="D3" s="3000"/>
      <c r="E3" s="3000"/>
      <c r="F3" s="2996"/>
      <c r="I3" s="3416"/>
      <c r="J3" s="3416" t="s">
        <v>2579</v>
      </c>
      <c r="K3" s="3416" t="s">
        <v>2580</v>
      </c>
      <c r="L3" s="3416" t="s">
        <v>2581</v>
      </c>
      <c r="M3" s="3416" t="s">
        <v>2582</v>
      </c>
      <c r="N3" s="3417" t="s">
        <v>2583</v>
      </c>
      <c r="O3" s="3417" t="s">
        <v>2584</v>
      </c>
      <c r="P3" s="3417" t="s">
        <v>2585</v>
      </c>
      <c r="Q3" s="3417" t="s">
        <v>2586</v>
      </c>
      <c r="R3" s="3417" t="s">
        <v>2587</v>
      </c>
    </row>
    <row r="4" spans="1:18">
      <c r="A4" s="2997" t="s">
        <v>2497</v>
      </c>
      <c r="B4" s="3000" t="s">
        <v>2498</v>
      </c>
      <c r="C4" s="3000" t="s">
        <v>2499</v>
      </c>
      <c r="D4" s="3000" t="s">
        <v>2500</v>
      </c>
      <c r="E4" s="3000" t="s">
        <v>2501</v>
      </c>
      <c r="F4" s="2996"/>
      <c r="I4" s="3416" t="s">
        <v>2576</v>
      </c>
      <c r="J4" s="3416">
        <v>80</v>
      </c>
      <c r="K4" s="3416">
        <v>70</v>
      </c>
      <c r="L4" s="3416">
        <v>20</v>
      </c>
      <c r="M4" s="3416">
        <v>30</v>
      </c>
      <c r="N4" s="3000">
        <v>45</v>
      </c>
      <c r="O4" s="3000">
        <v>60</v>
      </c>
      <c r="P4" s="3000">
        <v>50</v>
      </c>
      <c r="Q4" s="3000">
        <v>20</v>
      </c>
      <c r="R4" s="3000">
        <v>375</v>
      </c>
    </row>
    <row r="5" spans="1:18">
      <c r="A5" s="3001">
        <v>40</v>
      </c>
      <c r="B5" s="2998">
        <v>46375</v>
      </c>
      <c r="C5" s="3000">
        <f>ROUNDDOWN(MIN((B5-B3)/365,A5),2)</f>
        <v>2.74</v>
      </c>
      <c r="D5" s="3002">
        <f>IF(ISERROR(ROUND(POWER(1+E5,A5-C5)*(POWER(1+E5,C5)-1)/(POWER(1+E5,A5)-1),3)),0,ROUND(POWER(1+E5,A5-C5)*(POWER(1+E5,C5)-1)/(POWER(1+E5,A5)-1),4))</f>
        <v>0.12870000000000001</v>
      </c>
      <c r="E5" s="3003">
        <v>0.04</v>
      </c>
      <c r="F5" s="2996"/>
      <c r="I5" s="3416" t="s">
        <v>2577</v>
      </c>
      <c r="J5" s="3416">
        <v>70</v>
      </c>
      <c r="K5" s="3416">
        <v>60</v>
      </c>
      <c r="L5" s="3416">
        <v>15</v>
      </c>
      <c r="M5" s="3416">
        <v>25</v>
      </c>
      <c r="N5" s="3000">
        <v>40</v>
      </c>
      <c r="O5" s="3000">
        <v>50</v>
      </c>
      <c r="P5" s="3000">
        <v>40</v>
      </c>
      <c r="Q5" s="3000">
        <v>15</v>
      </c>
      <c r="R5" s="3000">
        <v>315</v>
      </c>
    </row>
    <row r="6" spans="1:18">
      <c r="A6" s="3001">
        <v>50</v>
      </c>
      <c r="B6" s="2998">
        <v>50028</v>
      </c>
      <c r="C6" s="3000">
        <f>ROUNDDOWN(MIN((B6-B3)/365,A6),2)</f>
        <v>12.75</v>
      </c>
      <c r="D6" s="3002">
        <f>IF(ISERROR(ROUND(POWER(1+E6,A6-C6)*(POWER(1+E6,C6)-1)/(POWER(1+E6,A6)-1),3)),0,ROUND(POWER(1+E6,A6-C6)*(POWER(1+E6,C6)-1)/(POWER(1+E6,A6)-1),4))</f>
        <v>0.45789999999999997</v>
      </c>
      <c r="E6" s="3003">
        <v>0.04</v>
      </c>
      <c r="F6" s="2996"/>
      <c r="I6" s="3416" t="s">
        <v>2578</v>
      </c>
      <c r="J6" s="3416">
        <v>60</v>
      </c>
      <c r="K6" s="3416">
        <v>50</v>
      </c>
      <c r="L6" s="3416">
        <v>10</v>
      </c>
      <c r="M6" s="3416">
        <v>20</v>
      </c>
      <c r="N6" s="3000">
        <v>35</v>
      </c>
      <c r="O6" s="3000">
        <v>40</v>
      </c>
      <c r="P6" s="3000">
        <v>30</v>
      </c>
      <c r="Q6" s="3000">
        <v>10</v>
      </c>
      <c r="R6" s="3000">
        <v>255</v>
      </c>
    </row>
    <row r="7" spans="1:18">
      <c r="A7" s="3001">
        <v>70</v>
      </c>
      <c r="B7" s="2998">
        <v>57333</v>
      </c>
      <c r="C7" s="3000">
        <f>ROUNDDOWN(MIN((B7-B3)/365,A7),2)</f>
        <v>32.76</v>
      </c>
      <c r="D7" s="3002">
        <f>IF(ISERROR(ROUND(POWER(1+E7,A7-C7)*(POWER(1+E7,C7)-1)/(POWER(1+E7,A7)-1),3)),0,ROUND(POWER(1+E7,A7-C7)*(POWER(1+E7,C7)-1)/(POWER(1+E7,A7)-1),4))</f>
        <v>0.77300000000000002</v>
      </c>
      <c r="E7" s="3003">
        <v>0.04</v>
      </c>
      <c r="F7" s="2996"/>
    </row>
    <row r="8" spans="1:18">
      <c r="A8" s="2994"/>
      <c r="B8" s="2995"/>
      <c r="C8" s="2995"/>
      <c r="D8" s="2995"/>
      <c r="E8" s="2995"/>
      <c r="F8" s="2996"/>
    </row>
    <row r="9" spans="1:18">
      <c r="A9" s="2997" t="s">
        <v>2502</v>
      </c>
      <c r="B9" s="3000"/>
      <c r="C9" s="3000"/>
      <c r="D9" s="3000"/>
      <c r="E9" s="3000"/>
      <c r="F9" s="3004"/>
    </row>
    <row r="10" spans="1:18">
      <c r="A10" s="2997" t="s">
        <v>2503</v>
      </c>
      <c r="B10" s="3000"/>
      <c r="C10" s="3000"/>
      <c r="D10" s="3000" t="s">
        <v>2501</v>
      </c>
      <c r="E10" s="3000"/>
      <c r="F10" s="3004" t="s">
        <v>2500</v>
      </c>
    </row>
    <row r="11" spans="1:18">
      <c r="A11" s="2997" t="s">
        <v>2504</v>
      </c>
      <c r="B11" s="3005">
        <v>50</v>
      </c>
      <c r="C11" s="3000" t="s">
        <v>2505</v>
      </c>
      <c r="D11" s="3006">
        <v>0.05</v>
      </c>
      <c r="E11" s="3000" t="s">
        <v>2506</v>
      </c>
      <c r="F11" s="3007">
        <f>ROUND(1-(1/(POWER(1+D11,B11))),4)</f>
        <v>0.91279999999999994</v>
      </c>
    </row>
    <row r="12" spans="1:18">
      <c r="A12" s="2997" t="s">
        <v>2507</v>
      </c>
      <c r="B12" s="3005">
        <v>20</v>
      </c>
      <c r="C12" s="3000" t="s">
        <v>2508</v>
      </c>
      <c r="D12" s="3006">
        <f>D11</f>
        <v>0.05</v>
      </c>
      <c r="E12" s="3000" t="s">
        <v>2509</v>
      </c>
      <c r="F12" s="3007">
        <f>ROUND(1-(1/(POWER(1+D12,B12))),4)</f>
        <v>0.62309999999999999</v>
      </c>
      <c r="G12" s="2993">
        <f>F11/F12</f>
        <v>1.4649333975284866</v>
      </c>
    </row>
    <row r="13" spans="1:18">
      <c r="A13" s="2997" t="s">
        <v>2510</v>
      </c>
      <c r="B13" s="3000"/>
      <c r="C13" s="3000"/>
      <c r="D13" s="2995"/>
      <c r="E13" s="2995"/>
      <c r="F13" s="2996"/>
    </row>
    <row r="14" spans="1:18">
      <c r="A14" s="2997" t="s">
        <v>2511</v>
      </c>
      <c r="B14" s="3005">
        <v>5000</v>
      </c>
      <c r="C14" s="2999"/>
      <c r="D14" s="2995"/>
      <c r="E14" s="2995"/>
      <c r="F14" s="2996"/>
    </row>
    <row r="15" spans="1:18">
      <c r="A15" s="2997" t="s">
        <v>2512</v>
      </c>
      <c r="B15" s="3000">
        <f>ROUND(B14*F12/F11,2)</f>
        <v>3413.12</v>
      </c>
      <c r="C15" s="3000">
        <f>ROUND(F12/F11,4)</f>
        <v>0.68259999999999998</v>
      </c>
      <c r="D15" s="2995"/>
      <c r="E15" s="2995"/>
      <c r="F15" s="2996"/>
    </row>
    <row r="16" spans="1:18">
      <c r="A16" s="2997" t="s">
        <v>2513</v>
      </c>
      <c r="B16" s="3000"/>
      <c r="C16" s="3000"/>
      <c r="D16" s="2995"/>
      <c r="E16" s="2995"/>
      <c r="F16" s="2996"/>
    </row>
    <row r="17" spans="1:13">
      <c r="A17" s="2997" t="s">
        <v>2512</v>
      </c>
      <c r="B17" s="3006">
        <v>4810</v>
      </c>
      <c r="C17" s="2999"/>
      <c r="D17" s="2995"/>
      <c r="E17" s="2995"/>
      <c r="F17" s="2996"/>
    </row>
    <row r="18" spans="1:13" ht="14.25" thickBot="1">
      <c r="A18" s="3008" t="s">
        <v>2511</v>
      </c>
      <c r="B18" s="3009">
        <f>ROUND(B17*F11/F12,2)</f>
        <v>7046.33</v>
      </c>
      <c r="C18" s="3009">
        <f>ROUND(F11/F12,4)</f>
        <v>1.4649000000000001</v>
      </c>
      <c r="D18" s="3010"/>
      <c r="E18" s="3010"/>
      <c r="F18" s="3011"/>
    </row>
    <row r="19" spans="1:13" ht="14.25" thickBot="1"/>
    <row r="20" spans="1:13" s="3046" customFormat="1" ht="14.25" thickTop="1">
      <c r="A20" s="3043" t="s">
        <v>2514</v>
      </c>
      <c r="B20" s="3044"/>
      <c r="C20" s="3044"/>
      <c r="D20" s="3044"/>
      <c r="E20" s="3044"/>
      <c r="F20" s="3044"/>
      <c r="G20" s="3045"/>
      <c r="I20" s="3047" t="s">
        <v>2559</v>
      </c>
      <c r="J20" s="3047" t="s">
        <v>2564</v>
      </c>
      <c r="K20" s="3047"/>
      <c r="L20" s="3047"/>
      <c r="M20" s="3047"/>
    </row>
    <row r="21" spans="1:13">
      <c r="A21" s="3012"/>
      <c r="B21" s="3013" t="s">
        <v>2515</v>
      </c>
      <c r="C21" s="3013" t="s">
        <v>2516</v>
      </c>
      <c r="D21" s="3013" t="s">
        <v>2517</v>
      </c>
      <c r="E21" s="3013" t="s">
        <v>2518</v>
      </c>
      <c r="F21" s="3013" t="s">
        <v>2519</v>
      </c>
      <c r="G21" s="3014" t="s">
        <v>2520</v>
      </c>
      <c r="I21" s="3035">
        <v>5</v>
      </c>
      <c r="J21" s="3035">
        <v>54.2</v>
      </c>
    </row>
    <row r="22" spans="1:13">
      <c r="A22" s="3012" t="s">
        <v>2521</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2522</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2562</v>
      </c>
      <c r="M23" s="3035" t="s">
        <v>2563</v>
      </c>
    </row>
    <row r="24" spans="1:13">
      <c r="A24" s="3012" t="s">
        <v>2523</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2561</v>
      </c>
      <c r="M24" s="3035">
        <v>10</v>
      </c>
    </row>
    <row r="25" spans="1:13">
      <c r="A25" s="3012" t="s">
        <v>2524</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2565</v>
      </c>
      <c r="M25" s="3035">
        <v>8</v>
      </c>
    </row>
    <row r="26" spans="1:13">
      <c r="A26" s="3017"/>
      <c r="B26" s="3018"/>
      <c r="C26" s="3018"/>
      <c r="D26" s="3018"/>
      <c r="E26" s="3018"/>
      <c r="F26" s="3018"/>
      <c r="G26" s="3019"/>
      <c r="I26" s="3035">
        <v>30</v>
      </c>
      <c r="J26" s="3035">
        <v>90.5</v>
      </c>
      <c r="K26" s="3035">
        <f t="shared" si="2"/>
        <v>4.2000000000000028</v>
      </c>
      <c r="L26" s="3035" t="s">
        <v>2566</v>
      </c>
      <c r="M26" s="3035">
        <v>5</v>
      </c>
    </row>
    <row r="27" spans="1:13">
      <c r="A27" s="3017" t="s">
        <v>2525</v>
      </c>
      <c r="B27" s="3018"/>
      <c r="C27" s="3018"/>
      <c r="D27" s="3018"/>
      <c r="E27" s="3018"/>
      <c r="F27" s="3018"/>
      <c r="G27" s="3019"/>
      <c r="I27" s="3035">
        <v>35</v>
      </c>
      <c r="J27" s="3035">
        <v>93.8</v>
      </c>
      <c r="K27" s="3035">
        <f t="shared" si="2"/>
        <v>3.2999999999999972</v>
      </c>
      <c r="L27" s="3035" t="s">
        <v>2567</v>
      </c>
      <c r="M27" s="3035">
        <v>3</v>
      </c>
    </row>
    <row r="28" spans="1:13">
      <c r="A28" s="3017" t="s">
        <v>2526</v>
      </c>
      <c r="B28" s="3018"/>
      <c r="C28" s="3018"/>
      <c r="D28" s="3018"/>
      <c r="E28" s="3018"/>
      <c r="F28" s="3018"/>
      <c r="G28" s="3019"/>
      <c r="I28" s="3035">
        <v>40</v>
      </c>
      <c r="J28" s="3035">
        <v>96.4</v>
      </c>
      <c r="K28" s="3035">
        <f t="shared" si="2"/>
        <v>2.6000000000000085</v>
      </c>
      <c r="L28" s="3035" t="s">
        <v>2568</v>
      </c>
      <c r="M28" s="3035">
        <v>2</v>
      </c>
    </row>
    <row r="29" spans="1:13">
      <c r="A29" s="3017" t="s">
        <v>2527</v>
      </c>
      <c r="B29" s="3018"/>
      <c r="C29" s="3018"/>
      <c r="D29" s="3018"/>
      <c r="E29" s="3018"/>
      <c r="F29" s="3018"/>
      <c r="G29" s="3019"/>
      <c r="I29" s="3035">
        <v>45</v>
      </c>
      <c r="J29" s="3035">
        <v>98.4</v>
      </c>
      <c r="K29" s="3035">
        <f t="shared" si="2"/>
        <v>2</v>
      </c>
    </row>
    <row r="30" spans="1:13">
      <c r="A30" s="3017" t="s">
        <v>2528</v>
      </c>
      <c r="B30" s="3018"/>
      <c r="C30" s="3018"/>
      <c r="D30" s="3018"/>
      <c r="E30" s="3018"/>
      <c r="F30" s="3018"/>
      <c r="G30" s="3019"/>
      <c r="I30" s="3035">
        <v>50</v>
      </c>
      <c r="J30" s="3035">
        <v>100</v>
      </c>
      <c r="K30" s="3035">
        <f t="shared" si="2"/>
        <v>1.5999999999999943</v>
      </c>
    </row>
    <row r="31" spans="1:13">
      <c r="A31" s="3017" t="s">
        <v>2529</v>
      </c>
      <c r="B31" s="3018"/>
      <c r="C31" s="3018"/>
      <c r="D31" s="3018"/>
      <c r="E31" s="3018"/>
      <c r="F31" s="3018"/>
      <c r="G31" s="3019"/>
      <c r="I31" s="3035" t="s">
        <v>2560</v>
      </c>
    </row>
    <row r="32" spans="1:13">
      <c r="A32" s="3017" t="s">
        <v>2530</v>
      </c>
      <c r="B32" s="3018"/>
      <c r="C32" s="3018"/>
      <c r="D32" s="3018"/>
      <c r="E32" s="3018"/>
      <c r="F32" s="3018"/>
      <c r="G32" s="3019"/>
    </row>
    <row r="33" spans="1:13">
      <c r="A33" s="3017" t="s">
        <v>2531</v>
      </c>
      <c r="B33" s="3018"/>
      <c r="C33" s="3018"/>
      <c r="D33" s="3018"/>
      <c r="E33" s="3018"/>
      <c r="F33" s="3018"/>
      <c r="G33" s="3019"/>
      <c r="I33" s="3035" t="s">
        <v>2559</v>
      </c>
      <c r="J33" s="3035" t="s">
        <v>2569</v>
      </c>
    </row>
    <row r="34" spans="1:13">
      <c r="A34" s="3017" t="s">
        <v>2532</v>
      </c>
      <c r="B34" s="3018"/>
      <c r="C34" s="3018"/>
      <c r="D34" s="3018"/>
      <c r="E34" s="3018"/>
      <c r="F34" s="3018"/>
      <c r="G34" s="3019"/>
      <c r="I34" s="3035">
        <v>5</v>
      </c>
      <c r="J34" s="3035">
        <v>55.1</v>
      </c>
    </row>
    <row r="35" spans="1:13">
      <c r="A35" s="3017" t="s">
        <v>2533</v>
      </c>
      <c r="B35" s="3018"/>
      <c r="C35" s="3018"/>
      <c r="D35" s="3018"/>
      <c r="E35" s="3018"/>
      <c r="F35" s="3018"/>
      <c r="G35" s="3019"/>
      <c r="I35" s="3035">
        <v>10</v>
      </c>
      <c r="J35" s="3035">
        <v>67</v>
      </c>
      <c r="K35" s="3035">
        <f>J35-J34</f>
        <v>11.899999999999999</v>
      </c>
    </row>
    <row r="36" spans="1:13">
      <c r="A36" s="3017" t="s">
        <v>2534</v>
      </c>
      <c r="B36" s="3018"/>
      <c r="C36" s="3018"/>
      <c r="D36" s="3018"/>
      <c r="E36" s="3018"/>
      <c r="F36" s="3018"/>
      <c r="G36" s="3019"/>
      <c r="I36" s="3035">
        <v>15</v>
      </c>
      <c r="J36" s="3035">
        <v>76.3</v>
      </c>
      <c r="K36" s="3035">
        <f t="shared" ref="K36:K41" si="3">J36-J35</f>
        <v>9.2999999999999972</v>
      </c>
      <c r="L36" s="3035" t="s">
        <v>2562</v>
      </c>
      <c r="M36" s="3035" t="s">
        <v>2563</v>
      </c>
    </row>
    <row r="37" spans="1:13">
      <c r="A37" s="3017" t="s">
        <v>2535</v>
      </c>
      <c r="B37" s="3018"/>
      <c r="C37" s="3018"/>
      <c r="D37" s="3018"/>
      <c r="E37" s="3018"/>
      <c r="F37" s="3018"/>
      <c r="G37" s="3019"/>
      <c r="I37" s="3035">
        <v>20</v>
      </c>
      <c r="J37" s="3035">
        <v>83.6</v>
      </c>
      <c r="K37" s="3035">
        <f t="shared" si="3"/>
        <v>7.2999999999999972</v>
      </c>
      <c r="L37" s="3035" t="s">
        <v>2561</v>
      </c>
      <c r="M37" s="3035">
        <v>10</v>
      </c>
    </row>
    <row r="38" spans="1:13">
      <c r="A38" s="3017" t="s">
        <v>2536</v>
      </c>
      <c r="B38" s="3018"/>
      <c r="C38" s="3018"/>
      <c r="D38" s="3018"/>
      <c r="E38" s="3018"/>
      <c r="F38" s="3018"/>
      <c r="G38" s="3019"/>
      <c r="I38" s="3035">
        <v>25</v>
      </c>
      <c r="J38" s="3035">
        <v>89.3</v>
      </c>
      <c r="K38" s="3035">
        <f t="shared" si="3"/>
        <v>5.7000000000000028</v>
      </c>
      <c r="L38" s="3035" t="s">
        <v>2565</v>
      </c>
      <c r="M38" s="3035">
        <v>8</v>
      </c>
    </row>
    <row r="39" spans="1:13">
      <c r="A39" s="3017"/>
      <c r="B39" s="3018"/>
      <c r="C39" s="3018"/>
      <c r="D39" s="3018"/>
      <c r="E39" s="3018"/>
      <c r="F39" s="3018"/>
      <c r="G39" s="3019"/>
      <c r="I39" s="3035">
        <v>30</v>
      </c>
      <c r="J39" s="3035">
        <v>93.8</v>
      </c>
      <c r="K39" s="3035">
        <f t="shared" si="3"/>
        <v>4.5</v>
      </c>
      <c r="L39" s="3035" t="s">
        <v>2566</v>
      </c>
      <c r="M39" s="3035">
        <v>6</v>
      </c>
    </row>
    <row r="40" spans="1:13">
      <c r="A40" s="3020" t="s">
        <v>2537</v>
      </c>
      <c r="B40" s="3021"/>
      <c r="C40" s="3021"/>
      <c r="D40" s="3021"/>
      <c r="E40" s="3021"/>
      <c r="F40" s="3021"/>
      <c r="G40" s="3022"/>
      <c r="I40" s="3035">
        <v>35</v>
      </c>
      <c r="J40" s="3035">
        <v>97.2</v>
      </c>
      <c r="K40" s="3035">
        <f t="shared" si="3"/>
        <v>3.4000000000000057</v>
      </c>
      <c r="L40" s="3035" t="s">
        <v>2567</v>
      </c>
      <c r="M40" s="3035">
        <v>3</v>
      </c>
    </row>
    <row r="41" spans="1:13">
      <c r="A41" s="3023" t="s">
        <v>2538</v>
      </c>
      <c r="B41" s="3024" t="s">
        <v>2539</v>
      </c>
      <c r="C41" s="3025" t="s">
        <v>2540</v>
      </c>
      <c r="D41" s="3025" t="s">
        <v>2541</v>
      </c>
      <c r="E41" s="3026"/>
      <c r="F41" s="3027"/>
      <c r="G41" s="3028"/>
      <c r="I41" s="3035">
        <v>40</v>
      </c>
      <c r="J41" s="3035">
        <v>100</v>
      </c>
      <c r="K41" s="3035">
        <f t="shared" si="3"/>
        <v>2.7999999999999972</v>
      </c>
    </row>
    <row r="42" spans="1:13">
      <c r="A42" s="3023" t="s">
        <v>2542</v>
      </c>
      <c r="B42" s="3024" t="s">
        <v>2543</v>
      </c>
      <c r="C42" s="3025" t="s">
        <v>2544</v>
      </c>
      <c r="D42" s="3029" t="s">
        <v>2545</v>
      </c>
      <c r="E42" s="3021" t="s">
        <v>2546</v>
      </c>
      <c r="F42" s="3021"/>
      <c r="G42" s="3022"/>
    </row>
    <row r="43" spans="1:13">
      <c r="A43" s="3023" t="s">
        <v>2547</v>
      </c>
      <c r="B43" s="3024" t="s">
        <v>2548</v>
      </c>
      <c r="C43" s="3025" t="s">
        <v>2549</v>
      </c>
      <c r="D43" s="3025" t="s">
        <v>2550</v>
      </c>
      <c r="E43" s="3026" t="s">
        <v>2551</v>
      </c>
      <c r="F43" s="3027"/>
      <c r="G43" s="3028"/>
      <c r="I43" s="3035" t="s">
        <v>2559</v>
      </c>
      <c r="J43" s="3035" t="s">
        <v>2570</v>
      </c>
    </row>
    <row r="44" spans="1:13">
      <c r="A44" s="3023" t="s">
        <v>2552</v>
      </c>
      <c r="B44" s="3024" t="s">
        <v>2553</v>
      </c>
      <c r="C44" s="3025" t="s">
        <v>2554</v>
      </c>
      <c r="D44" s="3029">
        <v>0.5</v>
      </c>
      <c r="E44" s="3026" t="s">
        <v>2555</v>
      </c>
      <c r="F44" s="3027"/>
      <c r="G44" s="3028"/>
      <c r="I44" s="3035">
        <v>30</v>
      </c>
      <c r="J44" s="3035">
        <v>81.7</v>
      </c>
    </row>
    <row r="45" spans="1:13" ht="14.25" thickBot="1">
      <c r="A45" s="3030" t="s">
        <v>2556</v>
      </c>
      <c r="B45" s="3031" t="s">
        <v>2543</v>
      </c>
      <c r="C45" s="3032" t="s">
        <v>2543</v>
      </c>
      <c r="D45" s="3032" t="s">
        <v>2557</v>
      </c>
      <c r="E45" s="3033" t="s">
        <v>2558</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75" sqref="F75"/>
    </sheetView>
  </sheetViews>
  <sheetFormatPr defaultColWidth="10" defaultRowHeight="12.75"/>
  <cols>
    <col min="1" max="1" width="16.875" style="1732" customWidth="1"/>
    <col min="2" max="2" width="10" style="1732" customWidth="1"/>
    <col min="3" max="3" width="11.5" style="1732" customWidth="1"/>
    <col min="4" max="4" width="10" style="1732" customWidth="1"/>
    <col min="5" max="5" width="12.625" style="1732" customWidth="1"/>
    <col min="6" max="6" width="10" style="1732" customWidth="1"/>
    <col min="7" max="7" width="10.75" style="1732" customWidth="1"/>
    <col min="8" max="8" width="10" style="1732" customWidth="1"/>
    <col min="9" max="9" width="11.125" style="1566" customWidth="1"/>
    <col min="10" max="10" width="10" style="1730" customWidth="1"/>
    <col min="11" max="11" width="10" style="2615" customWidth="1"/>
    <col min="12" max="13" width="10" style="2616"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5" thickBot="1">
      <c r="A1" s="2353" t="s">
        <v>2167</v>
      </c>
      <c r="B1" s="3567" t="str">
        <f>IF(B10="北京市","北京市",C10)&amp;F10&amp;IF(结果表!G1="在建","出让国有建设用地使用权及在建建筑物",IF(结果表!G1="土地","出让国有建设用地使用权",))&amp;B9&amp;"预评估"</f>
        <v>北京市海淀区板井路69号世纪金源大饭店房地产抵押价值预评估</v>
      </c>
      <c r="C1" s="3568"/>
      <c r="D1" s="3568"/>
      <c r="E1" s="3568"/>
      <c r="F1" s="3568"/>
      <c r="G1" s="3568"/>
      <c r="H1" s="3568"/>
      <c r="I1" s="3569"/>
      <c r="J1" s="2458"/>
      <c r="K1" s="2355"/>
      <c r="L1" s="2356"/>
      <c r="M1" s="2356"/>
      <c r="N1" s="2357"/>
      <c r="O1" s="1563"/>
      <c r="P1" s="2357"/>
      <c r="Q1" s="2357"/>
      <c r="R1" s="2357"/>
      <c r="S1" s="1669"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732"/>
      <c r="U1" s="1732"/>
      <c r="V1" s="1732"/>
      <c r="W1" s="1732"/>
      <c r="X1" s="1732"/>
      <c r="Y1" s="1732"/>
      <c r="Z1" s="1732"/>
      <c r="AA1" s="1732"/>
      <c r="AB1" s="1732"/>
    </row>
    <row r="2" spans="1:30">
      <c r="A2" s="2354" t="s">
        <v>2168</v>
      </c>
      <c r="B2" s="2358"/>
      <c r="C2" s="2359"/>
      <c r="D2" s="2655"/>
      <c r="E2" s="2648"/>
      <c r="F2" s="2648"/>
      <c r="G2" s="2649"/>
      <c r="H2" s="2649"/>
      <c r="I2" s="2649"/>
      <c r="J2" s="2458"/>
      <c r="K2" s="2355"/>
      <c r="L2" s="2356"/>
      <c r="M2" s="2356"/>
      <c r="N2" s="2357"/>
      <c r="O2" s="1563"/>
      <c r="P2" s="2357"/>
      <c r="Q2" s="2357"/>
      <c r="R2" s="2357"/>
      <c r="S2" s="1669" t="str">
        <f>IF(B10="北京市","北京市",C10)&amp;F10&amp;IF(结果表!G1="在建","出让国有建设用地使用权及在建建筑物房地产",IF(结果表!G1="土地","出让国有建设用地使用权","房地产"))</f>
        <v>北京市海淀区板井路69号世纪金源大饭店房地产</v>
      </c>
      <c r="T2" s="1732"/>
      <c r="U2" s="1732"/>
      <c r="V2" s="1732"/>
      <c r="W2" s="1732"/>
      <c r="X2" s="1732"/>
      <c r="Y2" s="1732"/>
      <c r="Z2" s="1732"/>
      <c r="AA2" s="1732"/>
      <c r="AB2" s="1732"/>
    </row>
    <row r="3" spans="1:30">
      <c r="A3" s="292" t="s">
        <v>2169</v>
      </c>
      <c r="B3" s="2360">
        <v>45373</v>
      </c>
      <c r="C3" s="2361" t="s">
        <v>2170</v>
      </c>
      <c r="D3" s="2360">
        <f>B3</f>
        <v>45373</v>
      </c>
      <c r="E3" s="2649"/>
      <c r="F3" s="2649"/>
      <c r="G3" s="2649"/>
      <c r="H3" s="2649"/>
      <c r="I3" s="2649"/>
      <c r="J3" s="2458"/>
      <c r="K3" s="2355"/>
      <c r="L3" s="2356"/>
      <c r="M3" s="2356"/>
      <c r="N3" s="2357"/>
      <c r="O3" s="1563"/>
      <c r="P3" s="2357"/>
      <c r="Q3" s="2357"/>
      <c r="R3" s="2357"/>
      <c r="S3" s="1669"/>
      <c r="T3" s="1732"/>
      <c r="U3" s="1732"/>
      <c r="V3" s="1732"/>
      <c r="W3" s="1732"/>
      <c r="X3" s="1732"/>
      <c r="Y3" s="1732"/>
      <c r="Z3" s="1732"/>
      <c r="AA3" s="1732"/>
      <c r="AB3" s="1732"/>
    </row>
    <row r="4" spans="1:30" ht="13.5" thickBot="1">
      <c r="A4" s="1077" t="s">
        <v>2171</v>
      </c>
      <c r="B4" s="2362" t="s">
        <v>3419</v>
      </c>
      <c r="C4" s="2363">
        <f ca="1">SUMIF(注册房地产估价师,B4,估价师及机构信息!B3:B24)</f>
        <v>1419970001</v>
      </c>
      <c r="D4" s="2362" t="s">
        <v>3405</v>
      </c>
      <c r="E4" s="2364">
        <f ca="1">SUMIF(注册房地产估价师,D4,估价师及机构信息!B3:B24)</f>
        <v>1120070131</v>
      </c>
      <c r="F4" s="2362"/>
      <c r="G4" s="2364">
        <f>SUMIF(注册房地产估价师,F4,估价师及机构信息!B3:B24)</f>
        <v>0</v>
      </c>
      <c r="H4" s="2362"/>
      <c r="I4" s="2364">
        <f>SUMIF(注册房地产估价师,H4,估价师及机构信息!B3:B24)</f>
        <v>0</v>
      </c>
      <c r="J4" s="2426"/>
      <c r="K4" s="2365" t="str">
        <f ca="1">CONCATENATE(B4,"（注册号：",C4,")、",D4,"（注册号：",E4,")")</f>
        <v>吴薇（注册号：1419970001)、郑燚（注册号：1120070131)</v>
      </c>
      <c r="L4" s="2356"/>
      <c r="M4" s="2356"/>
      <c r="N4" s="2357"/>
      <c r="O4" s="1563"/>
      <c r="P4" s="2357"/>
      <c r="Q4" s="2357"/>
      <c r="R4" s="2357"/>
      <c r="S4" s="1669"/>
      <c r="T4" s="1732"/>
      <c r="U4" s="1732"/>
      <c r="V4" s="1732"/>
      <c r="W4" s="1732"/>
      <c r="X4" s="1732"/>
      <c r="Y4" s="1732"/>
      <c r="Z4" s="1732"/>
      <c r="AA4" s="1732"/>
      <c r="AB4" s="1732"/>
    </row>
    <row r="5" spans="1:30" ht="13.5" thickTop="1">
      <c r="A5" s="2366" t="s">
        <v>2172</v>
      </c>
      <c r="B5" s="2367"/>
      <c r="C5" s="2368"/>
      <c r="D5" s="2369"/>
      <c r="E5" s="2650"/>
      <c r="F5" s="2650"/>
      <c r="G5" s="2650"/>
      <c r="H5" s="2650"/>
      <c r="I5" s="2650"/>
      <c r="J5" s="2426"/>
      <c r="K5" s="2365" t="str">
        <f>IF(F4="——","",IF(H4="——",F4&amp;"（注册号："&amp;G4&amp;")",CONCATENATE(F4,"（注册号：",G4,")、",H4,"（注册号：",I4,")")))</f>
        <v>（注册号：0)、（注册号：0)</v>
      </c>
      <c r="L5" s="2356"/>
      <c r="M5" s="2356"/>
      <c r="N5" s="2357"/>
      <c r="O5" s="1563"/>
      <c r="P5" s="2357"/>
      <c r="Q5" s="2357"/>
      <c r="R5" s="2357"/>
      <c r="S5" s="1732"/>
      <c r="T5" s="1732"/>
      <c r="U5" s="1732"/>
      <c r="V5" s="1732"/>
      <c r="W5" s="1732"/>
      <c r="X5" s="1732"/>
      <c r="Y5" s="1732"/>
      <c r="Z5" s="1732"/>
      <c r="AA5" s="1732"/>
      <c r="AB5" s="1732"/>
    </row>
    <row r="6" spans="1:30">
      <c r="A6" s="2370" t="s">
        <v>2173</v>
      </c>
      <c r="B6" s="2371"/>
      <c r="C6" s="2372"/>
      <c r="D6" s="2373"/>
      <c r="E6" s="2648"/>
      <c r="F6" s="2650"/>
      <c r="G6" s="2650"/>
      <c r="H6" s="2650"/>
      <c r="I6" s="2650"/>
      <c r="J6" s="2426"/>
      <c r="K6" s="2602" t="str">
        <f>IF(COUNTIF(B6,"*上海银行*"),"上海银行","")</f>
        <v/>
      </c>
      <c r="L6" s="2600"/>
      <c r="M6" s="2600"/>
      <c r="N6" s="2426"/>
      <c r="O6" s="2437"/>
      <c r="P6" s="2426"/>
      <c r="Q6" s="2426"/>
      <c r="R6" s="2426"/>
    </row>
    <row r="7" spans="1:30">
      <c r="A7" s="2370" t="s">
        <v>2174</v>
      </c>
      <c r="B7" s="2374"/>
      <c r="C7" s="2372"/>
      <c r="D7" s="2373"/>
      <c r="E7" s="2648"/>
      <c r="F7" s="2650"/>
      <c r="G7" s="2650"/>
      <c r="H7" s="2650"/>
      <c r="I7" s="2650"/>
      <c r="J7" s="2426"/>
      <c r="K7" s="2603"/>
      <c r="L7" s="2600"/>
      <c r="M7" s="2600"/>
      <c r="N7" s="2426"/>
      <c r="O7" s="2437"/>
      <c r="P7" s="2426"/>
      <c r="Q7" s="2426"/>
      <c r="R7" s="2426"/>
    </row>
    <row r="8" spans="1:30">
      <c r="A8" s="2375" t="s">
        <v>2175</v>
      </c>
      <c r="B8" s="2376" t="s">
        <v>3374</v>
      </c>
      <c r="C8" s="2377"/>
      <c r="D8" s="3570" t="s">
        <v>2176</v>
      </c>
      <c r="E8" s="2378" t="s">
        <v>3375</v>
      </c>
      <c r="F8" s="2379"/>
      <c r="G8" s="2649"/>
      <c r="H8" s="2649"/>
      <c r="I8" s="2649"/>
      <c r="J8" s="2426"/>
      <c r="K8" s="2601"/>
      <c r="L8" s="2600"/>
      <c r="M8" s="2600"/>
      <c r="N8" s="2426"/>
      <c r="O8" s="2437"/>
      <c r="P8" s="2426"/>
      <c r="Q8" s="2426"/>
      <c r="R8" s="2426"/>
    </row>
    <row r="9" spans="1:30" ht="13.5" thickBot="1">
      <c r="A9" s="2380" t="s">
        <v>2177</v>
      </c>
      <c r="B9" s="2381" t="s">
        <v>3375</v>
      </c>
      <c r="C9" s="2382"/>
      <c r="D9" s="3571"/>
      <c r="E9" s="2381" t="s">
        <v>587</v>
      </c>
      <c r="F9" s="2383"/>
      <c r="G9" s="2651"/>
      <c r="H9" s="2651"/>
      <c r="I9" s="2651"/>
      <c r="J9" s="2426"/>
      <c r="K9" s="2603"/>
      <c r="L9" s="2600"/>
      <c r="M9" s="2600"/>
      <c r="N9" s="2426"/>
      <c r="O9" s="2437"/>
      <c r="P9" s="2426"/>
      <c r="Q9" s="2426"/>
      <c r="R9" s="2426"/>
    </row>
    <row r="10" spans="1:30" ht="13.5" thickTop="1">
      <c r="A10" s="2384" t="s">
        <v>2178</v>
      </c>
      <c r="B10" s="2385" t="s">
        <v>3376</v>
      </c>
      <c r="C10" s="2386"/>
      <c r="D10" s="2369"/>
      <c r="E10" s="2387" t="s">
        <v>2179</v>
      </c>
      <c r="F10" s="3459" t="s">
        <v>3420</v>
      </c>
      <c r="G10" s="2652"/>
      <c r="H10" s="2653"/>
      <c r="I10" s="2654"/>
      <c r="J10" s="2426"/>
      <c r="K10" s="2603"/>
      <c r="L10" s="2600"/>
      <c r="M10" s="2600"/>
      <c r="N10" s="2426"/>
      <c r="O10" s="2437"/>
      <c r="P10" s="2426"/>
      <c r="Q10" s="2426"/>
      <c r="R10" s="2426"/>
    </row>
    <row r="11" spans="1:30">
      <c r="A11" s="2388" t="s">
        <v>2180</v>
      </c>
      <c r="B11" s="2389" t="s">
        <v>3382</v>
      </c>
      <c r="C11" s="2390"/>
      <c r="D11" s="2391"/>
      <c r="E11" s="2357"/>
      <c r="F11" s="2357"/>
      <c r="G11" s="2357"/>
      <c r="H11" s="2357"/>
      <c r="I11" s="2357"/>
      <c r="J11" s="3038"/>
      <c r="K11" s="3037"/>
      <c r="L11" s="2600"/>
      <c r="M11" s="2600"/>
      <c r="N11" s="2426"/>
      <c r="O11" s="2437"/>
      <c r="P11" s="2426"/>
      <c r="Q11" s="2426"/>
      <c r="R11" s="2426"/>
    </row>
    <row r="12" spans="1:30">
      <c r="A12" s="2392" t="s">
        <v>2181</v>
      </c>
      <c r="B12" s="313" t="s">
        <v>2182</v>
      </c>
      <c r="C12" s="2393" t="s">
        <v>2183</v>
      </c>
      <c r="D12" s="2393" t="s">
        <v>2184</v>
      </c>
      <c r="E12" s="2393" t="s">
        <v>2185</v>
      </c>
      <c r="F12" s="2393" t="s">
        <v>2186</v>
      </c>
      <c r="G12" s="2393" t="s">
        <v>2187</v>
      </c>
      <c r="H12" s="2393" t="s">
        <v>2188</v>
      </c>
      <c r="I12" s="3036" t="s">
        <v>2571</v>
      </c>
      <c r="J12" s="3039"/>
      <c r="K12" s="2600"/>
      <c r="L12" s="2600"/>
      <c r="M12" s="2426"/>
      <c r="N12" s="2437"/>
      <c r="O12" s="2426"/>
      <c r="P12" s="2426"/>
      <c r="Q12" s="2426"/>
      <c r="AD12" s="1732"/>
    </row>
    <row r="13" spans="1:30">
      <c r="A13" s="3400" t="s">
        <v>3327</v>
      </c>
      <c r="B13" s="2394" t="s">
        <v>2189</v>
      </c>
      <c r="C13" s="843"/>
      <c r="D13" s="3460">
        <v>51810</v>
      </c>
      <c r="E13" s="3460"/>
      <c r="F13" s="843"/>
      <c r="G13" s="843"/>
      <c r="H13" s="843"/>
      <c r="I13" s="843"/>
      <c r="J13" s="3039"/>
      <c r="K13" s="2600"/>
      <c r="L13" s="2600"/>
      <c r="M13" s="2426"/>
      <c r="N13" s="2437"/>
      <c r="O13" s="2426"/>
      <c r="P13" s="2426"/>
      <c r="Q13" s="2426"/>
      <c r="AD13" s="1732"/>
    </row>
    <row r="14" spans="1:30">
      <c r="A14" s="1068"/>
      <c r="B14" s="2394" t="s">
        <v>2190</v>
      </c>
      <c r="C14" s="2395"/>
      <c r="D14" s="2395">
        <v>40</v>
      </c>
      <c r="E14" s="2395"/>
      <c r="F14" s="2395"/>
      <c r="G14" s="2395"/>
      <c r="H14" s="2395"/>
      <c r="I14" s="2395"/>
      <c r="J14" s="3040"/>
      <c r="K14" s="2600"/>
      <c r="L14" s="2600"/>
      <c r="M14" s="2426"/>
      <c r="N14" s="2437"/>
      <c r="O14" s="2426"/>
      <c r="P14" s="2426"/>
      <c r="Q14" s="2426"/>
      <c r="AD14" s="1732"/>
    </row>
    <row r="15" spans="1:30">
      <c r="A15" s="310"/>
      <c r="B15" s="2396" t="s">
        <v>2191</v>
      </c>
      <c r="C15" s="2397" t="str">
        <f>IF(A13="出让",IF(C13="","",ROUNDDOWN(MIN((C13-$D$3)/365,C14),2)),C14)</f>
        <v/>
      </c>
      <c r="D15" s="2397">
        <f>IF(A13="出让",IF(D13="","",ROUNDDOWN(MIN((D13-$D$3)/365,D14),2)),D14)</f>
        <v>17.63</v>
      </c>
      <c r="E15" s="2397" t="str">
        <f>IF(A13="出让",IF(E13="","",ROUNDDOWN(MIN((E13-$D$3)/365,E14),2)),E14)</f>
        <v/>
      </c>
      <c r="F15" s="2397" t="str">
        <f>IF(A13="出让",IF(F13="","",ROUNDDOWN(MIN((F13-$D$3)/365,F14),2)),F14)</f>
        <v/>
      </c>
      <c r="G15" s="2397" t="str">
        <f>IF(A13="出让",IF(G13="","",ROUNDDOWN(MIN((G13-$D$3)/365,G14),2)),G14)</f>
        <v/>
      </c>
      <c r="H15" s="2397" t="str">
        <f>IF(A13="出让",IF(H13="","",ROUNDDOWN(MIN((H13-$D$3)/365,H14),2)),H14)</f>
        <v/>
      </c>
      <c r="I15" s="2397" t="str">
        <f>IF(A13="出让",IF(I13="","",ROUNDDOWN(MIN((I13-$D$3)/365,I14),2)),I14)</f>
        <v/>
      </c>
      <c r="J15" s="3041"/>
      <c r="K15" s="2438"/>
      <c r="L15" s="2438"/>
      <c r="M15" s="2496"/>
      <c r="N15" s="2438"/>
      <c r="O15" s="2496"/>
      <c r="P15" s="2426"/>
      <c r="Q15" s="2426"/>
      <c r="AD15" s="1732"/>
    </row>
    <row r="16" spans="1:30">
      <c r="A16" s="2387" t="s">
        <v>2192</v>
      </c>
      <c r="B16" s="3577"/>
      <c r="C16" s="3578"/>
      <c r="D16" s="3579"/>
      <c r="E16" s="2400" t="s">
        <v>2193</v>
      </c>
      <c r="F16" s="3580"/>
      <c r="G16" s="3581"/>
      <c r="H16" s="3581"/>
      <c r="I16" s="3582"/>
      <c r="J16" s="2426"/>
      <c r="K16" s="2604"/>
      <c r="L16" s="2438"/>
      <c r="M16" s="2438"/>
      <c r="N16" s="2496"/>
      <c r="O16" s="2438"/>
      <c r="P16" s="2496"/>
      <c r="Q16" s="2426"/>
      <c r="R16" s="2426"/>
    </row>
    <row r="17" spans="1:28">
      <c r="A17" s="303" t="s">
        <v>2194</v>
      </c>
      <c r="B17" s="292" t="s">
        <v>2195</v>
      </c>
      <c r="C17" s="8">
        <f>'数据-汇总表'!E3</f>
        <v>98312.17</v>
      </c>
      <c r="D17" s="2309" t="s">
        <v>2196</v>
      </c>
      <c r="E17" s="3583" t="s">
        <v>2197</v>
      </c>
      <c r="F17" s="3584"/>
      <c r="G17" s="3584"/>
      <c r="H17" s="3584"/>
      <c r="I17" s="3585"/>
      <c r="J17" s="2426"/>
      <c r="K17" s="2605"/>
      <c r="L17" s="2438"/>
      <c r="M17" s="2438"/>
      <c r="N17" s="2496"/>
      <c r="O17" s="2438"/>
      <c r="P17" s="2496"/>
      <c r="Q17" s="2426"/>
      <c r="R17" s="2426"/>
      <c r="S17" s="2426"/>
      <c r="T17" s="2426"/>
      <c r="U17" s="2426"/>
      <c r="V17" s="2426"/>
    </row>
    <row r="18" spans="1:28" ht="24.75" thickBot="1">
      <c r="A18" s="2401" t="s">
        <v>2198</v>
      </c>
      <c r="B18" s="1077" t="s">
        <v>2199</v>
      </c>
      <c r="C18" s="2402">
        <f>'数据-汇总表'!D3</f>
        <v>28178.74</v>
      </c>
      <c r="D18" s="1079" t="s">
        <v>2200</v>
      </c>
      <c r="E18" s="3586" t="s">
        <v>2201</v>
      </c>
      <c r="F18" s="3587"/>
      <c r="G18" s="3587"/>
      <c r="H18" s="3587"/>
      <c r="I18" s="3588"/>
      <c r="J18" s="2426"/>
      <c r="K18" s="2605"/>
      <c r="L18" s="2438"/>
      <c r="M18" s="2438"/>
      <c r="N18" s="2496"/>
      <c r="O18" s="2438"/>
      <c r="P18" s="2496"/>
      <c r="Q18" s="2426"/>
      <c r="R18" s="2426"/>
      <c r="S18" s="2426"/>
      <c r="T18" s="2426"/>
      <c r="U18" s="2426"/>
      <c r="V18" s="2426"/>
    </row>
    <row r="19" spans="1:28" ht="37.5" thickTop="1" thickBot="1">
      <c r="A19" s="317" t="s">
        <v>1055</v>
      </c>
      <c r="B19" s="297" t="s">
        <v>2202</v>
      </c>
      <c r="C19" s="1550"/>
      <c r="D19" s="1551" t="s">
        <v>2203</v>
      </c>
      <c r="E19" s="1552"/>
      <c r="F19" s="1553" t="str">
        <f>IF(AND(C19="是",E19="否"),"是否提供他项权证或相关说明","")</f>
        <v/>
      </c>
      <c r="G19" s="1554"/>
      <c r="H19" s="2650"/>
      <c r="I19" s="2650"/>
      <c r="J19" s="2426"/>
      <c r="K19" s="2603"/>
      <c r="L19" s="2600"/>
      <c r="M19" s="2600"/>
      <c r="N19" s="2496"/>
      <c r="O19" s="2438"/>
      <c r="P19" s="2496"/>
      <c r="Q19" s="2426"/>
      <c r="R19" s="2426"/>
      <c r="S19" s="2426"/>
      <c r="T19" s="2426"/>
      <c r="U19" s="2426"/>
      <c r="V19" s="2426"/>
    </row>
    <row r="20" spans="1:28">
      <c r="A20" s="2619" t="s">
        <v>2204</v>
      </c>
      <c r="B20" s="3573" t="s">
        <v>2205</v>
      </c>
      <c r="C20" s="3574"/>
      <c r="D20" s="3575" t="s">
        <v>2206</v>
      </c>
      <c r="E20" s="3576"/>
      <c r="F20" s="2634" t="s">
        <v>1056</v>
      </c>
      <c r="G20" s="2650"/>
      <c r="H20" s="2650"/>
      <c r="I20" s="2650"/>
      <c r="J20" s="2426"/>
      <c r="K20" s="3572" t="s">
        <v>2207</v>
      </c>
      <c r="L20" s="6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6"/>
      <c r="N20" s="2399"/>
      <c r="O20" s="2398"/>
      <c r="P20" s="2399"/>
      <c r="Q20" s="2357"/>
      <c r="R20" s="2357"/>
      <c r="S20" s="2357"/>
      <c r="T20" s="2357"/>
      <c r="U20" s="2357"/>
      <c r="V20" s="2357"/>
      <c r="W20" s="1732"/>
      <c r="X20" s="1732"/>
      <c r="Y20" s="1732"/>
      <c r="Z20" s="1732"/>
      <c r="AA20" s="1732"/>
      <c r="AB20" s="1732"/>
    </row>
    <row r="21" spans="1:28" ht="24.75" thickBot="1">
      <c r="A21" s="2619"/>
      <c r="B21" s="2620" t="s">
        <v>2208</v>
      </c>
      <c r="C21" s="2621" t="s">
        <v>1057</v>
      </c>
      <c r="D21" s="1555" t="s">
        <v>2209</v>
      </c>
      <c r="E21" s="2622" t="s">
        <v>1057</v>
      </c>
      <c r="F21" s="2635"/>
      <c r="G21" s="2650"/>
      <c r="H21" s="2650"/>
      <c r="I21" s="2650"/>
      <c r="J21" s="2426"/>
      <c r="K21" s="3572"/>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6"/>
      <c r="N21" s="2399"/>
      <c r="O21" s="2398"/>
      <c r="P21" s="2399"/>
      <c r="Q21" s="2357"/>
      <c r="R21" s="2357"/>
      <c r="S21" s="2357"/>
      <c r="T21" s="2357"/>
      <c r="U21" s="2357"/>
      <c r="V21" s="2357"/>
      <c r="W21" s="1732"/>
      <c r="X21" s="1732"/>
      <c r="Y21" s="1732"/>
      <c r="Z21" s="1732"/>
      <c r="AA21" s="1732"/>
      <c r="AB21" s="1732"/>
    </row>
    <row r="22" spans="1:28" ht="24.75" thickBot="1">
      <c r="A22" s="2619"/>
      <c r="B22" s="2623" t="s">
        <v>2210</v>
      </c>
      <c r="C22" s="2621" t="s">
        <v>1058</v>
      </c>
      <c r="D22" s="2649"/>
      <c r="E22" s="2649"/>
      <c r="F22" s="2649"/>
      <c r="G22" s="2650"/>
      <c r="H22" s="2650"/>
      <c r="I22" s="2650"/>
      <c r="J22" s="2426"/>
      <c r="K22" s="3572"/>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6"/>
      <c r="N22" s="2399"/>
      <c r="O22" s="2398"/>
      <c r="P22" s="2399"/>
      <c r="Q22" s="2357"/>
      <c r="R22" s="2357"/>
      <c r="S22" s="2357"/>
      <c r="T22" s="2357"/>
      <c r="U22" s="2357"/>
      <c r="V22" s="2357"/>
      <c r="W22" s="1732"/>
      <c r="X22" s="1732"/>
      <c r="Y22" s="1732"/>
      <c r="Z22" s="1732"/>
      <c r="AA22" s="1732"/>
      <c r="AB22" s="1732"/>
    </row>
    <row r="23" spans="1:28">
      <c r="A23" s="2624" t="s">
        <v>2211</v>
      </c>
      <c r="B23" s="2489" t="s">
        <v>2212</v>
      </c>
      <c r="C23" s="2625"/>
      <c r="D23" s="2626" t="s">
        <v>2212</v>
      </c>
      <c r="E23" s="2627"/>
      <c r="F23" s="2649"/>
      <c r="G23" s="2650"/>
      <c r="H23" s="2650"/>
      <c r="I23" s="2650"/>
      <c r="J23" s="2426"/>
      <c r="K23" s="2606"/>
      <c r="L23" s="2462"/>
      <c r="M23" s="2600"/>
      <c r="N23" s="2496"/>
      <c r="O23" s="2438"/>
      <c r="P23" s="2496"/>
      <c r="Q23" s="2426"/>
      <c r="R23" s="2426"/>
      <c r="S23" s="2426"/>
      <c r="T23" s="2426"/>
      <c r="U23" s="2426"/>
      <c r="V23" s="2426"/>
    </row>
    <row r="24" spans="1:28">
      <c r="A24" s="2624"/>
      <c r="B24" s="2489" t="s">
        <v>1059</v>
      </c>
      <c r="C24" s="2628"/>
      <c r="D24" s="2624" t="s">
        <v>1059</v>
      </c>
      <c r="E24" s="2629"/>
      <c r="F24" s="2649"/>
      <c r="G24" s="2650"/>
      <c r="H24" s="2650"/>
      <c r="I24" s="2650"/>
      <c r="J24" s="2426"/>
      <c r="K24" s="2606"/>
      <c r="L24" s="2462"/>
      <c r="M24" s="2600"/>
      <c r="N24" s="2496"/>
      <c r="O24" s="2438"/>
      <c r="P24" s="2496"/>
      <c r="Q24" s="2426"/>
      <c r="R24" s="2426"/>
      <c r="S24" s="2426"/>
      <c r="T24" s="2426"/>
      <c r="U24" s="2426"/>
      <c r="V24" s="2426"/>
    </row>
    <row r="25" spans="1:28">
      <c r="A25" s="2624"/>
      <c r="B25" s="2489" t="s">
        <v>1060</v>
      </c>
      <c r="C25" s="2628"/>
      <c r="D25" s="2624" t="s">
        <v>1060</v>
      </c>
      <c r="E25" s="2629"/>
      <c r="F25" s="2649"/>
      <c r="G25" s="2650"/>
      <c r="H25" s="2650"/>
      <c r="I25" s="2650"/>
      <c r="J25" s="2426"/>
      <c r="K25" s="2603"/>
      <c r="L25" s="2600"/>
      <c r="M25" s="2600"/>
      <c r="N25" s="2496"/>
      <c r="O25" s="2438"/>
      <c r="P25" s="2496"/>
      <c r="Q25" s="2426"/>
      <c r="R25" s="2426"/>
      <c r="S25" s="2426"/>
      <c r="T25" s="2426"/>
      <c r="U25" s="2426"/>
      <c r="V25" s="2426"/>
    </row>
    <row r="26" spans="1:28" ht="13.5" thickBot="1">
      <c r="A26" s="2630"/>
      <c r="B26" s="2631" t="s">
        <v>1061</v>
      </c>
      <c r="C26" s="2632"/>
      <c r="D26" s="2630" t="s">
        <v>1061</v>
      </c>
      <c r="E26" s="2633"/>
      <c r="F26" s="2651"/>
      <c r="G26" s="2651"/>
      <c r="H26" s="2651"/>
      <c r="I26" s="2651"/>
      <c r="J26" s="2426"/>
      <c r="K26" s="2603"/>
      <c r="L26" s="2600"/>
      <c r="M26" s="2600"/>
      <c r="N26" s="2496"/>
      <c r="O26" s="2438"/>
      <c r="P26" s="2496"/>
      <c r="Q26" s="2426"/>
      <c r="R26" s="2426"/>
      <c r="S26" s="2426"/>
      <c r="T26" s="2426"/>
      <c r="U26" s="2426"/>
      <c r="V26" s="2426"/>
    </row>
    <row r="27" spans="1:28" ht="13.5" thickTop="1">
      <c r="A27" s="3560" t="s">
        <v>2213</v>
      </c>
      <c r="B27" s="310" t="s">
        <v>2214</v>
      </c>
      <c r="C27" s="2403"/>
      <c r="D27" s="2404"/>
      <c r="E27" s="2650"/>
      <c r="F27" s="2650"/>
      <c r="G27" s="2650"/>
      <c r="H27" s="2650"/>
      <c r="I27" s="2650"/>
      <c r="J27" s="2426"/>
      <c r="K27" s="2604"/>
      <c r="L27" s="2438"/>
      <c r="M27" s="2438"/>
      <c r="N27" s="2496"/>
      <c r="O27" s="2438"/>
      <c r="P27" s="2496"/>
      <c r="Q27" s="2426"/>
      <c r="R27" s="2426"/>
      <c r="S27" s="2426"/>
      <c r="T27" s="2426"/>
      <c r="U27" s="2426"/>
      <c r="V27" s="2426"/>
    </row>
    <row r="28" spans="1:28">
      <c r="A28" s="3560"/>
      <c r="B28" s="292" t="s">
        <v>2215</v>
      </c>
      <c r="C28" s="2405"/>
      <c r="D28" s="2406"/>
      <c r="E28" s="2650"/>
      <c r="F28" s="2650"/>
      <c r="G28" s="2650"/>
      <c r="H28" s="2650"/>
      <c r="I28" s="2650"/>
      <c r="J28" s="2426"/>
      <c r="K28" s="2603"/>
      <c r="L28" s="2600"/>
      <c r="M28" s="2600"/>
      <c r="N28" s="2426"/>
      <c r="O28" s="2437"/>
      <c r="P28" s="2426"/>
      <c r="Q28" s="2426"/>
      <c r="R28" s="2426"/>
      <c r="S28" s="2426"/>
      <c r="T28" s="2426"/>
      <c r="U28" s="2426"/>
      <c r="V28" s="2426"/>
    </row>
    <row r="29" spans="1:28">
      <c r="A29" s="3560"/>
      <c r="B29" s="292" t="s">
        <v>2216</v>
      </c>
      <c r="C29" s="2407"/>
      <c r="D29" s="2408"/>
      <c r="E29" s="2650"/>
      <c r="F29" s="2650"/>
      <c r="G29" s="2650"/>
      <c r="H29" s="2650"/>
      <c r="I29" s="2650"/>
      <c r="J29" s="2426"/>
      <c r="K29" s="2603"/>
      <c r="L29" s="2600"/>
      <c r="M29" s="2600"/>
      <c r="N29" s="2426"/>
      <c r="O29" s="2437"/>
      <c r="P29" s="2426"/>
      <c r="Q29" s="2426"/>
      <c r="R29" s="2426"/>
      <c r="S29" s="2426"/>
      <c r="T29" s="2426"/>
      <c r="U29" s="2426"/>
      <c r="V29" s="2426"/>
    </row>
    <row r="30" spans="1:28">
      <c r="A30" s="3561"/>
      <c r="B30" s="292" t="s">
        <v>2217</v>
      </c>
      <c r="C30" s="3562"/>
      <c r="D30" s="3563"/>
      <c r="E30" s="2650"/>
      <c r="F30" s="2650"/>
      <c r="G30" s="2650"/>
      <c r="H30" s="2650"/>
      <c r="I30" s="2650"/>
      <c r="J30" s="2426"/>
      <c r="K30" s="2603"/>
      <c r="L30" s="2600"/>
      <c r="M30" s="2600"/>
      <c r="N30" s="2426"/>
      <c r="O30" s="2437"/>
      <c r="P30" s="2426"/>
      <c r="Q30" s="2426"/>
      <c r="R30" s="2426"/>
      <c r="S30" s="2426"/>
      <c r="T30" s="2426"/>
      <c r="U30" s="2426"/>
      <c r="V30" s="2426"/>
    </row>
    <row r="31" spans="1:28">
      <c r="A31" s="3564" t="s">
        <v>2218</v>
      </c>
      <c r="B31" s="2409"/>
      <c r="C31" s="2310" t="str">
        <f>IF(B31="现房","成新及维护状况正常否",IF(B31="在建","工程状态是否正常",IF(B31="土地","是否闲置","-")))</f>
        <v>-</v>
      </c>
      <c r="D31" s="1360"/>
      <c r="E31" s="2410"/>
      <c r="F31" s="2650"/>
      <c r="G31" s="2650"/>
      <c r="H31" s="2650"/>
      <c r="I31" s="2650"/>
      <c r="J31" s="2426"/>
      <c r="K31" s="2602"/>
      <c r="L31" s="2600"/>
      <c r="M31" s="2600"/>
      <c r="N31" s="2426"/>
      <c r="O31" s="2437"/>
      <c r="P31" s="2426"/>
      <c r="Q31" s="2426"/>
      <c r="R31" s="2426"/>
      <c r="S31" s="2426"/>
      <c r="T31" s="2426"/>
      <c r="U31" s="2426"/>
      <c r="V31" s="2426"/>
    </row>
    <row r="32" spans="1:28">
      <c r="A32" s="3565"/>
      <c r="B32" s="2409"/>
      <c r="C32" s="2310" t="str">
        <f>IF(B32="现房","成新及维护状况是否正常",IF(B32="在建","工程状态是否正常",IF(B32="土地","是否闲置","-")))</f>
        <v>-</v>
      </c>
      <c r="D32" s="1360"/>
      <c r="E32" s="2410"/>
      <c r="F32" s="2650"/>
      <c r="G32" s="2650"/>
      <c r="H32" s="2650"/>
      <c r="I32" s="2650"/>
      <c r="J32" s="2426"/>
      <c r="K32" s="2603"/>
      <c r="L32" s="2600"/>
      <c r="M32" s="2600"/>
      <c r="N32" s="2426"/>
      <c r="O32" s="2437"/>
      <c r="P32" s="2426"/>
      <c r="Q32" s="2426"/>
      <c r="R32" s="2426"/>
      <c r="S32" s="2426"/>
      <c r="T32" s="2426"/>
      <c r="U32" s="2426"/>
      <c r="V32" s="2426"/>
    </row>
    <row r="33" spans="1:30">
      <c r="A33" s="3565"/>
      <c r="B33" s="2412"/>
      <c r="C33" s="1577" t="str">
        <f>IF(B33="现房","成新及维护状况是否正常",IF(B33="在建","工程状态是否正常",IF(B33="土地","是否闲置","-")))</f>
        <v>-</v>
      </c>
      <c r="D33" s="1352"/>
      <c r="E33" s="2413"/>
      <c r="F33" s="2650"/>
      <c r="G33" s="2650"/>
      <c r="H33" s="2650"/>
      <c r="I33" s="2650"/>
      <c r="J33" s="2426"/>
      <c r="K33" s="2603"/>
      <c r="L33" s="2600"/>
      <c r="M33" s="2600"/>
      <c r="N33" s="2426"/>
      <c r="O33" s="2437"/>
      <c r="P33" s="2426"/>
      <c r="Q33" s="2426"/>
      <c r="R33" s="2426"/>
      <c r="S33" s="2426"/>
      <c r="T33" s="2426"/>
      <c r="U33" s="2426"/>
      <c r="V33" s="2426"/>
    </row>
    <row r="34" spans="1:30">
      <c r="A34" s="292" t="s">
        <v>2219</v>
      </c>
      <c r="B34" s="2013" t="s">
        <v>3377</v>
      </c>
      <c r="C34" s="2013" t="s">
        <v>3378</v>
      </c>
      <c r="D34" s="2013" t="s">
        <v>3379</v>
      </c>
      <c r="E34" s="2013" t="s">
        <v>3380</v>
      </c>
      <c r="F34" s="2013" t="s">
        <v>3381</v>
      </c>
      <c r="G34" s="2013" t="s">
        <v>3418</v>
      </c>
      <c r="H34" s="2013"/>
      <c r="I34" s="2650"/>
      <c r="J34" s="2426"/>
      <c r="K34" s="2414">
        <f>COUNTIF(B34:H34,"——")</f>
        <v>0</v>
      </c>
      <c r="L34" s="313" t="s">
        <v>2220</v>
      </c>
      <c r="M34" s="313" t="s">
        <v>2221</v>
      </c>
      <c r="N34" s="313" t="s">
        <v>2222</v>
      </c>
      <c r="O34" s="313" t="s">
        <v>2223</v>
      </c>
      <c r="P34" s="313" t="s">
        <v>2224</v>
      </c>
      <c r="Q34" s="313" t="s">
        <v>2225</v>
      </c>
      <c r="R34" s="313" t="s">
        <v>2226</v>
      </c>
      <c r="S34" s="3559" t="s">
        <v>2227</v>
      </c>
      <c r="T34" s="2415" t="str">
        <f>NUMBERSTRING(7-K34,1)&amp;"通"</f>
        <v>七通</v>
      </c>
      <c r="U34" s="2426"/>
      <c r="V34" s="2426"/>
    </row>
    <row r="35" spans="1:30">
      <c r="A35" s="2416"/>
      <c r="B35" s="3566" t="s">
        <v>2228</v>
      </c>
      <c r="C35" s="3566"/>
      <c r="D35" s="3566"/>
      <c r="E35" s="3566"/>
      <c r="F35" s="654">
        <f>C10</f>
        <v>0</v>
      </c>
      <c r="G35" s="2650"/>
      <c r="H35" s="2650"/>
      <c r="I35" s="2650"/>
      <c r="J35" s="2426"/>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通路、通电、通讯、通上水、通下水、通热</v>
      </c>
      <c r="R35" s="319" t="str">
        <f>B34&amp;"、"&amp;C34&amp;"、"&amp;D34&amp;"、"&amp;E34&amp;"、"&amp;F34&amp;"、"&amp;G34&amp;"、"&amp;H34</f>
        <v>通路、通电、通讯、通上水、通下水、通热、</v>
      </c>
      <c r="S35" s="3559"/>
      <c r="T35" s="319" t="str">
        <f>IF(T34="一通",L35,IF(T34="二通",M35,IF(T34="三通",N35,IF(T34="四通",O35,IF(T34="五通",P35,IF(T34="六通",Q35,R35))))))</f>
        <v>通路、通电、通讯、通上水、通下水、通热、</v>
      </c>
      <c r="U35" s="2426"/>
      <c r="V35" s="2426"/>
    </row>
    <row r="36" spans="1:30">
      <c r="A36" s="2417"/>
      <c r="B36" s="654" t="s">
        <v>2184</v>
      </c>
      <c r="C36" s="654" t="s">
        <v>2185</v>
      </c>
      <c r="D36" s="654" t="s">
        <v>2183</v>
      </c>
      <c r="E36" s="654" t="s">
        <v>2188</v>
      </c>
      <c r="F36" s="3042" t="s">
        <v>2574</v>
      </c>
      <c r="G36" s="2650"/>
      <c r="H36" s="2650"/>
      <c r="I36" s="2650"/>
      <c r="J36" s="2426"/>
      <c r="K36" s="2603"/>
      <c r="L36" s="2600"/>
      <c r="M36" s="2600"/>
      <c r="N36" s="2426"/>
      <c r="O36" s="2437"/>
      <c r="P36" s="2426"/>
      <c r="Q36" s="2426"/>
      <c r="R36" s="2426"/>
      <c r="S36" s="2426"/>
      <c r="T36" s="2426"/>
      <c r="U36" s="2426"/>
      <c r="V36" s="2426"/>
    </row>
    <row r="37" spans="1:30">
      <c r="A37" s="2617" t="s">
        <v>2229</v>
      </c>
      <c r="B37" s="3464" t="s">
        <v>110</v>
      </c>
      <c r="C37" s="3464" t="s">
        <v>110</v>
      </c>
      <c r="D37" s="3464" t="s">
        <v>110</v>
      </c>
      <c r="E37" s="2418"/>
      <c r="F37" s="2418"/>
      <c r="G37" s="2650"/>
      <c r="H37" s="2650"/>
      <c r="I37" s="2650"/>
      <c r="J37" s="2426"/>
      <c r="K37" s="2603"/>
      <c r="L37" s="2600"/>
      <c r="M37" s="2600"/>
      <c r="N37" s="2426"/>
      <c r="O37" s="2437"/>
      <c r="P37" s="2426"/>
      <c r="Q37" s="2426"/>
      <c r="R37" s="2426"/>
      <c r="S37" s="2426"/>
      <c r="T37" s="2426"/>
      <c r="U37" s="2426"/>
      <c r="V37" s="2426"/>
    </row>
    <row r="38" spans="1:30" ht="13.5" thickBot="1">
      <c r="A38" s="2618" t="s">
        <v>2230</v>
      </c>
      <c r="B38" s="2419" t="s">
        <v>157</v>
      </c>
      <c r="C38" s="2419" t="s">
        <v>157</v>
      </c>
      <c r="D38" s="2419" t="s">
        <v>157</v>
      </c>
      <c r="E38" s="2419"/>
      <c r="F38" s="2419"/>
      <c r="G38" s="2651"/>
      <c r="H38" s="2651"/>
      <c r="I38" s="2651"/>
      <c r="J38" s="2426"/>
      <c r="K38" s="2603"/>
      <c r="L38" s="2600"/>
      <c r="M38" s="2600"/>
      <c r="N38" s="2426"/>
      <c r="O38" s="2437"/>
      <c r="P38" s="2426"/>
      <c r="Q38" s="2426"/>
      <c r="R38" s="2426"/>
      <c r="S38" s="2426"/>
      <c r="T38" s="2426"/>
      <c r="U38" s="2426"/>
      <c r="V38" s="2426"/>
    </row>
    <row r="39" spans="1:30" s="2422" customFormat="1" ht="14.25" thickTop="1" thickBot="1">
      <c r="A39" s="2420" t="s">
        <v>2231</v>
      </c>
      <c r="B39" s="2421"/>
      <c r="C39" s="2421"/>
      <c r="D39" s="2421"/>
      <c r="E39" s="2421"/>
      <c r="F39" s="2421"/>
      <c r="G39" s="2421"/>
      <c r="H39" s="2421"/>
      <c r="I39" s="2421"/>
      <c r="J39" s="2609"/>
      <c r="K39" s="2610"/>
      <c r="L39" s="2609"/>
      <c r="M39" s="2609"/>
      <c r="N39" s="2609"/>
      <c r="O39" s="2611"/>
      <c r="P39" s="2609"/>
      <c r="Q39" s="2609"/>
      <c r="R39" s="2609"/>
      <c r="S39" s="2609"/>
      <c r="T39" s="2609"/>
      <c r="U39" s="2609"/>
      <c r="V39" s="2609"/>
      <c r="W39" s="2612"/>
      <c r="X39" s="2612"/>
      <c r="Y39" s="2612"/>
      <c r="Z39" s="2612"/>
      <c r="AA39" s="2612"/>
      <c r="AB39" s="2612"/>
      <c r="AC39" s="2612"/>
      <c r="AD39" s="2612"/>
    </row>
    <row r="40" spans="1:30">
      <c r="A40" s="2357"/>
      <c r="B40" s="2357"/>
      <c r="C40" s="2357"/>
      <c r="D40" s="2357"/>
      <c r="E40" s="2357"/>
      <c r="F40" s="2357"/>
      <c r="G40" s="2357"/>
      <c r="H40" s="2357"/>
      <c r="I40" s="1565"/>
      <c r="J40" s="2496"/>
      <c r="K40" s="2602"/>
      <c r="L40" s="2438"/>
      <c r="M40" s="2438"/>
      <c r="N40" s="2496"/>
      <c r="O40" s="2438"/>
      <c r="P40" s="2426"/>
      <c r="Q40" s="2426"/>
      <c r="R40" s="2426"/>
      <c r="S40" s="2426"/>
      <c r="T40" s="2426"/>
      <c r="U40" s="2426"/>
      <c r="V40" s="2426"/>
    </row>
    <row r="41" spans="1:30">
      <c r="A41" s="2423" t="s">
        <v>2232</v>
      </c>
      <c r="B41" s="1744"/>
      <c r="C41" s="1360"/>
      <c r="D41" s="2357"/>
      <c r="E41" s="2357"/>
      <c r="F41" s="2357"/>
      <c r="G41" s="2357"/>
      <c r="H41" s="2357"/>
      <c r="I41" s="1563"/>
      <c r="J41" s="2426"/>
      <c r="K41" s="2603"/>
      <c r="L41" s="2600"/>
      <c r="M41" s="2600"/>
      <c r="N41" s="2426"/>
      <c r="O41" s="2437"/>
      <c r="P41" s="2426"/>
      <c r="Q41" s="2426"/>
      <c r="R41" s="2426"/>
      <c r="S41" s="2426"/>
      <c r="T41" s="2426"/>
      <c r="U41" s="2426"/>
      <c r="V41" s="2426"/>
    </row>
    <row r="42" spans="1:30" ht="25.5">
      <c r="A42" s="313" t="s">
        <v>2233</v>
      </c>
      <c r="B42" s="8" t="s">
        <v>2234</v>
      </c>
      <c r="C42" s="8" t="s">
        <v>2235</v>
      </c>
      <c r="D42" s="8" t="s">
        <v>2236</v>
      </c>
      <c r="E42" s="8" t="s">
        <v>2237</v>
      </c>
      <c r="F42" s="8" t="s">
        <v>2238</v>
      </c>
      <c r="G42" s="8" t="s">
        <v>2239</v>
      </c>
      <c r="H42" s="8" t="s">
        <v>2240</v>
      </c>
      <c r="I42" s="8" t="s">
        <v>2241</v>
      </c>
      <c r="J42" s="2613" t="s">
        <v>2242</v>
      </c>
      <c r="K42" s="2614" t="s">
        <v>2243</v>
      </c>
      <c r="L42" s="2614" t="s">
        <v>2244</v>
      </c>
      <c r="M42" s="2614" t="s">
        <v>2245</v>
      </c>
      <c r="N42" s="2607" t="s">
        <v>2246</v>
      </c>
      <c r="O42" s="2607" t="s">
        <v>2247</v>
      </c>
      <c r="P42" s="2607" t="s">
        <v>2248</v>
      </c>
      <c r="Q42" s="2608" t="s">
        <v>2249</v>
      </c>
      <c r="R42" s="2608" t="s">
        <v>2250</v>
      </c>
      <c r="S42" s="2426"/>
      <c r="T42" s="2426"/>
      <c r="U42" s="2426"/>
      <c r="V42" s="2426"/>
    </row>
    <row r="43" spans="1:30" s="1730" customFormat="1">
      <c r="A43" s="1557"/>
      <c r="B43" s="1038"/>
      <c r="C43" s="1038"/>
      <c r="D43" s="1038"/>
      <c r="E43" s="1038"/>
      <c r="F43" s="1038"/>
      <c r="G43" s="1038"/>
      <c r="H43" s="1038"/>
      <c r="I43" s="1038"/>
      <c r="J43" s="2424"/>
      <c r="K43" s="2425"/>
      <c r="L43" s="2425"/>
      <c r="M43" s="1038"/>
      <c r="N43" s="1038"/>
      <c r="O43" s="1038"/>
      <c r="P43" s="1038"/>
      <c r="Q43" s="1038"/>
      <c r="R43" s="1038"/>
      <c r="S43" s="2426"/>
      <c r="T43" s="2426"/>
      <c r="U43" s="2426"/>
      <c r="V43" s="2426"/>
    </row>
    <row r="44" spans="1:30" s="1730" customFormat="1">
      <c r="A44" s="1557"/>
      <c r="B44" s="1557"/>
      <c r="C44" s="1038"/>
      <c r="D44" s="1038"/>
      <c r="E44" s="1038"/>
      <c r="F44" s="1038"/>
      <c r="G44" s="1038"/>
      <c r="H44" s="1038"/>
      <c r="I44" s="1038"/>
      <c r="J44" s="2424"/>
      <c r="K44" s="2425"/>
      <c r="L44" s="2425"/>
      <c r="M44" s="1038"/>
      <c r="N44" s="1038"/>
      <c r="O44" s="1038"/>
      <c r="P44" s="1038"/>
      <c r="Q44" s="1038"/>
      <c r="R44" s="1038"/>
      <c r="S44" s="2426"/>
      <c r="T44" s="2426"/>
      <c r="U44" s="2426"/>
      <c r="V44" s="2426"/>
    </row>
    <row r="45" spans="1:30" s="1730" customFormat="1">
      <c r="A45" s="1557"/>
      <c r="B45" s="1557"/>
      <c r="C45" s="1038"/>
      <c r="D45" s="1038"/>
      <c r="E45" s="1038"/>
      <c r="F45" s="1038"/>
      <c r="G45" s="1038"/>
      <c r="H45" s="1038"/>
      <c r="I45" s="1038"/>
      <c r="J45" s="2424"/>
      <c r="K45" s="2425"/>
      <c r="L45" s="2425"/>
      <c r="M45" s="1038"/>
      <c r="N45" s="1038"/>
      <c r="O45" s="1038"/>
      <c r="P45" s="1038"/>
      <c r="Q45" s="1038"/>
      <c r="R45" s="1038"/>
      <c r="S45" s="2426"/>
      <c r="T45" s="2426"/>
      <c r="U45" s="2426"/>
      <c r="V45" s="2426"/>
    </row>
    <row r="46" spans="1:30" s="1730" customFormat="1">
      <c r="A46" s="1557"/>
      <c r="B46" s="1557"/>
      <c r="C46" s="1038"/>
      <c r="D46" s="1038"/>
      <c r="E46" s="1038"/>
      <c r="F46" s="1038"/>
      <c r="G46" s="1038"/>
      <c r="H46" s="1038"/>
      <c r="I46" s="1038"/>
      <c r="J46" s="2424"/>
      <c r="K46" s="2425"/>
      <c r="L46" s="2425"/>
      <c r="M46" s="1038"/>
      <c r="N46" s="1038"/>
      <c r="O46" s="1038"/>
      <c r="P46" s="1038"/>
      <c r="Q46" s="1038"/>
      <c r="R46" s="1038"/>
      <c r="S46" s="2426"/>
      <c r="T46" s="2426"/>
      <c r="U46" s="2426"/>
      <c r="V46" s="2426"/>
    </row>
    <row r="47" spans="1:30" s="1730" customFormat="1">
      <c r="A47" s="1557"/>
      <c r="B47" s="1557"/>
      <c r="C47" s="1038"/>
      <c r="D47" s="1038"/>
      <c r="E47" s="1038"/>
      <c r="F47" s="1038"/>
      <c r="G47" s="1038"/>
      <c r="H47" s="1038"/>
      <c r="I47" s="1038"/>
      <c r="J47" s="2424"/>
      <c r="K47" s="2425"/>
      <c r="L47" s="2425"/>
      <c r="M47" s="1038"/>
      <c r="N47" s="1038"/>
      <c r="O47" s="1038"/>
      <c r="P47" s="1038"/>
      <c r="Q47" s="1038"/>
      <c r="R47" s="1038"/>
      <c r="S47" s="2426"/>
      <c r="T47" s="2426"/>
      <c r="U47" s="2426"/>
      <c r="V47" s="2426"/>
    </row>
    <row r="48" spans="1:30" s="1730" customFormat="1">
      <c r="A48" s="1557"/>
      <c r="B48" s="1557"/>
      <c r="C48" s="1038"/>
      <c r="D48" s="1038"/>
      <c r="E48" s="1038"/>
      <c r="F48" s="1038"/>
      <c r="G48" s="1038"/>
      <c r="H48" s="1038"/>
      <c r="I48" s="1038"/>
      <c r="J48" s="2424"/>
      <c r="K48" s="2425"/>
      <c r="L48" s="2425"/>
      <c r="M48" s="1038"/>
      <c r="N48" s="1038"/>
      <c r="O48" s="1038"/>
      <c r="P48" s="1038"/>
      <c r="Q48" s="1038"/>
      <c r="R48" s="1038"/>
      <c r="S48" s="2426"/>
      <c r="T48" s="2426"/>
      <c r="U48" s="2426"/>
      <c r="V48" s="2426"/>
    </row>
    <row r="49" spans="1:22" s="1730" customFormat="1">
      <c r="A49" s="1557"/>
      <c r="B49" s="1557"/>
      <c r="C49" s="1038"/>
      <c r="D49" s="1038"/>
      <c r="E49" s="1038"/>
      <c r="F49" s="1038"/>
      <c r="G49" s="1038"/>
      <c r="H49" s="1038"/>
      <c r="I49" s="1038"/>
      <c r="J49" s="2424"/>
      <c r="K49" s="2425"/>
      <c r="L49" s="2425"/>
      <c r="M49" s="1038"/>
      <c r="N49" s="1038"/>
      <c r="O49" s="1038"/>
      <c r="P49" s="1038"/>
      <c r="Q49" s="1038"/>
      <c r="R49" s="1038"/>
      <c r="S49" s="2426"/>
      <c r="T49" s="2426"/>
      <c r="U49" s="2426"/>
      <c r="V49" s="2426"/>
    </row>
    <row r="50" spans="1:22" s="1730" customFormat="1">
      <c r="A50" s="1557"/>
      <c r="B50" s="1557"/>
      <c r="C50" s="1038"/>
      <c r="D50" s="1038"/>
      <c r="E50" s="1038"/>
      <c r="F50" s="1038"/>
      <c r="G50" s="1038"/>
      <c r="H50" s="1038"/>
      <c r="I50" s="1038"/>
      <c r="J50" s="2424"/>
      <c r="K50" s="2425"/>
      <c r="L50" s="2425"/>
      <c r="M50" s="1038"/>
      <c r="N50" s="1038"/>
      <c r="O50" s="1038"/>
      <c r="P50" s="1038"/>
      <c r="Q50" s="1038"/>
      <c r="R50" s="1038"/>
      <c r="S50" s="2426"/>
      <c r="T50" s="2426"/>
      <c r="U50" s="2426"/>
      <c r="V50" s="2426"/>
    </row>
    <row r="51" spans="1:22" s="1730" customFormat="1">
      <c r="A51" s="1557"/>
      <c r="B51" s="1557"/>
      <c r="C51" s="1038"/>
      <c r="D51" s="1038"/>
      <c r="E51" s="1038"/>
      <c r="F51" s="1038"/>
      <c r="G51" s="1038"/>
      <c r="H51" s="1038"/>
      <c r="I51" s="1038"/>
      <c r="J51" s="2424"/>
      <c r="K51" s="2425"/>
      <c r="L51" s="2425"/>
      <c r="M51" s="1038"/>
      <c r="N51" s="1038"/>
      <c r="O51" s="1038"/>
      <c r="P51" s="1038"/>
      <c r="Q51" s="1038"/>
      <c r="R51" s="1038"/>
    </row>
    <row r="52" spans="1:22" s="1730" customFormat="1">
      <c r="A52" s="1557"/>
      <c r="B52" s="1557"/>
      <c r="C52" s="1557"/>
      <c r="D52" s="1557"/>
      <c r="E52" s="1557"/>
      <c r="F52" s="1038"/>
      <c r="G52" s="1557"/>
      <c r="H52" s="1557"/>
      <c r="I52" s="1557"/>
      <c r="J52" s="2427"/>
      <c r="K52" s="2425"/>
      <c r="L52" s="2425"/>
      <c r="M52" s="2425"/>
      <c r="N52" s="1557"/>
      <c r="O52" s="1557"/>
      <c r="P52" s="1557"/>
      <c r="Q52" s="1557"/>
      <c r="R52" s="1557"/>
    </row>
    <row r="53" spans="1:22" s="1730" customFormat="1">
      <c r="A53" s="1557"/>
      <c r="B53" s="1557"/>
      <c r="C53" s="1557"/>
      <c r="D53" s="1557"/>
      <c r="E53" s="1557"/>
      <c r="F53" s="1038"/>
      <c r="G53" s="1557"/>
      <c r="H53" s="1557"/>
      <c r="I53" s="1557"/>
      <c r="J53" s="2427"/>
      <c r="K53" s="2425"/>
      <c r="L53" s="2425"/>
      <c r="M53" s="2425"/>
      <c r="N53" s="1557"/>
      <c r="O53" s="1557"/>
      <c r="P53" s="1557"/>
      <c r="Q53" s="1557"/>
      <c r="R53" s="1557"/>
    </row>
    <row r="54" spans="1:22" s="1730" customFormat="1">
      <c r="A54" s="1557"/>
      <c r="B54" s="1557"/>
      <c r="C54" s="1557"/>
      <c r="D54" s="1557"/>
      <c r="E54" s="1557"/>
      <c r="F54" s="1038"/>
      <c r="G54" s="1557"/>
      <c r="H54" s="1557"/>
      <c r="I54" s="1557"/>
      <c r="J54" s="2427"/>
      <c r="K54" s="2425"/>
      <c r="L54" s="2425"/>
      <c r="M54" s="2425"/>
      <c r="N54" s="1557"/>
      <c r="O54" s="1557"/>
      <c r="P54" s="1557"/>
      <c r="Q54" s="1557"/>
      <c r="R54" s="1557"/>
    </row>
    <row r="55" spans="1:22" s="1730" customFormat="1">
      <c r="A55" s="1557"/>
      <c r="B55" s="1557"/>
      <c r="C55" s="1557"/>
      <c r="D55" s="1557"/>
      <c r="E55" s="1557"/>
      <c r="F55" s="1038"/>
      <c r="G55" s="1557"/>
      <c r="H55" s="1557"/>
      <c r="I55" s="1557"/>
      <c r="J55" s="2427"/>
      <c r="K55" s="2425"/>
      <c r="L55" s="2425"/>
      <c r="M55" s="2425"/>
      <c r="N55" s="1557"/>
      <c r="O55" s="1557"/>
      <c r="P55" s="1557"/>
      <c r="Q55" s="1557"/>
      <c r="R55" s="1557"/>
    </row>
    <row r="56" spans="1:22" s="1730" customFormat="1">
      <c r="A56" s="1557"/>
      <c r="B56" s="1557"/>
      <c r="C56" s="1557"/>
      <c r="D56" s="1557"/>
      <c r="E56" s="1557"/>
      <c r="F56" s="1038"/>
      <c r="G56" s="1557"/>
      <c r="H56" s="1557"/>
      <c r="I56" s="1557"/>
      <c r="J56" s="2427"/>
      <c r="K56" s="2425"/>
      <c r="L56" s="2425"/>
      <c r="M56" s="2425"/>
      <c r="N56" s="1557"/>
      <c r="O56" s="1557"/>
      <c r="P56" s="1557"/>
      <c r="Q56" s="1557"/>
      <c r="R56" s="15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560" customWidth="1"/>
    <col min="2" max="2" width="11" style="1560" customWidth="1"/>
    <col min="3" max="3" width="10.375" style="1560" customWidth="1"/>
    <col min="4" max="4" width="9.125" style="1560" customWidth="1"/>
    <col min="5" max="6" width="10" style="1621" customWidth="1"/>
    <col min="7" max="8" width="10" style="1560" customWidth="1"/>
    <col min="9" max="9" width="10.625" style="1560" customWidth="1"/>
    <col min="10" max="10" width="9.5" style="1560" customWidth="1"/>
    <col min="11" max="11" width="11" style="1560" customWidth="1"/>
    <col min="12" max="14" width="9.5" style="1560" customWidth="1"/>
    <col min="15" max="15" width="9.875" style="1560" customWidth="1"/>
    <col min="16" max="16" width="9.75" style="1560" customWidth="1"/>
    <col min="17" max="17" width="9.375" style="1560" customWidth="1"/>
    <col min="18" max="18" width="9.25" style="1560" customWidth="1"/>
    <col min="19" max="19" width="10.875" style="1560" customWidth="1"/>
    <col min="20" max="21" width="10.75" style="1560" customWidth="1"/>
    <col min="22" max="22" width="10.875" style="1560" customWidth="1"/>
    <col min="23" max="27" width="10.75" style="1560" customWidth="1"/>
    <col min="28" max="28" width="10.875" style="1560" customWidth="1"/>
    <col min="29" max="29" width="11" style="1560" bestFit="1" customWidth="1"/>
    <col min="30" max="30" width="10" style="1560" bestFit="1" customWidth="1"/>
    <col min="31" max="31" width="9.75" style="1560" customWidth="1"/>
    <col min="32" max="46" width="9.5" style="1560" customWidth="1"/>
    <col min="47" max="47" width="18.125" style="1560" customWidth="1"/>
    <col min="48" max="50" width="9.75" style="1560" customWidth="1"/>
    <col min="51" max="55" width="10.5" style="1560" bestFit="1" customWidth="1"/>
    <col min="56" max="56" width="9.5" style="1560" bestFit="1" customWidth="1"/>
    <col min="57" max="63" width="9.125" style="1560" bestFit="1" customWidth="1"/>
    <col min="64" max="64" width="9.5" style="1560" bestFit="1" customWidth="1"/>
    <col min="65" max="65" width="9.125" style="1560" bestFit="1" customWidth="1"/>
    <col min="66" max="66" width="9.5" style="1560" bestFit="1" customWidth="1"/>
    <col min="67" max="69" width="9.125" style="1560" bestFit="1" customWidth="1"/>
    <col min="70" max="70" width="9.5" style="1560" bestFit="1" customWidth="1"/>
    <col min="71" max="71" width="9" style="1560" customWidth="1"/>
    <col min="72" max="72" width="9.125" style="1560" bestFit="1" customWidth="1"/>
    <col min="73" max="16384" width="8.875" style="1560"/>
  </cols>
  <sheetData>
    <row r="1" spans="1:72" ht="20.25">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5" t="s">
        <v>1067</v>
      </c>
      <c r="AZ2" s="1036"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2.75">
      <c r="A3" s="10">
        <v>28178.74</v>
      </c>
      <c r="B3" s="11">
        <f>IF(C3="否",G5-AT5,G5)</f>
        <v>98312.17</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37"/>
      <c r="AZ3" s="1038"/>
      <c r="BA3" s="1039"/>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ht="13.5"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2.75">
      <c r="A5" s="12" t="s">
        <v>1071</v>
      </c>
      <c r="B5" s="1334"/>
      <c r="C5" s="1334"/>
      <c r="D5" s="1336"/>
      <c r="E5" s="13" t="s">
        <v>0</v>
      </c>
      <c r="F5" s="13">
        <f>SUM(F13:F587)</f>
        <v>0</v>
      </c>
      <c r="G5" s="13">
        <f>SUM(G13:G587)</f>
        <v>98312.17</v>
      </c>
      <c r="H5" s="13">
        <f t="shared" ref="H5:AT5" si="0">SUM(H13:H656)</f>
        <v>98312.17</v>
      </c>
      <c r="I5" s="13">
        <f t="shared" si="0"/>
        <v>56128.46</v>
      </c>
      <c r="J5" s="13">
        <f t="shared" si="0"/>
        <v>0</v>
      </c>
      <c r="K5" s="13">
        <f t="shared" si="0"/>
        <v>42183.71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98312.17</v>
      </c>
      <c r="BA5" s="15">
        <f t="shared" si="1"/>
        <v>98312.17</v>
      </c>
      <c r="BB5" s="15">
        <f t="shared" si="1"/>
        <v>56128.46</v>
      </c>
      <c r="BC5" s="15">
        <f t="shared" si="1"/>
        <v>42183.71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2.75">
      <c r="A6" s="12" t="s">
        <v>1072</v>
      </c>
      <c r="B6" s="1573"/>
      <c r="C6" s="1573"/>
      <c r="D6" s="1574"/>
      <c r="E6" s="13">
        <f>H6+AC6+AT6</f>
        <v>28178.739999999998</v>
      </c>
      <c r="F6" s="13" t="s">
        <v>0</v>
      </c>
      <c r="G6" s="13" t="s">
        <v>1</v>
      </c>
      <c r="H6" s="17">
        <f>SUMIF(I$12:AB$12,"总值",I6:AB6)</f>
        <v>28178.739999999998</v>
      </c>
      <c r="I6" s="13">
        <f t="shared" ref="I6:AB6" si="2">ROUND($A$3*I5/$B$3,2)</f>
        <v>16087.83</v>
      </c>
      <c r="J6" s="13">
        <f t="shared" si="2"/>
        <v>0</v>
      </c>
      <c r="K6" s="13">
        <f t="shared" si="2"/>
        <v>12090.91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28178.74</v>
      </c>
      <c r="AZ6" s="13" t="s">
        <v>2</v>
      </c>
      <c r="BA6" s="13">
        <f>ROUND($AY$6*BA5/$AZ$5,2)</f>
        <v>28178.74</v>
      </c>
      <c r="BB6" s="13">
        <f>ROUND($AY$6*BB5/$AZ$5,2)</f>
        <v>16087.83</v>
      </c>
      <c r="BC6" s="13">
        <f t="shared" ref="BC6:BH6" si="4">ROUND($AY$6*BC5/$AZ$5,2)</f>
        <v>12090.91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4.75">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6" t="s">
        <v>1086</v>
      </c>
      <c r="AD8" s="1587"/>
      <c r="AE8" s="1579"/>
      <c r="AF8" s="1347"/>
      <c r="AG8" s="1347"/>
      <c r="AH8" s="1347"/>
      <c r="AI8" s="1347"/>
      <c r="AJ8" s="1347"/>
      <c r="AK8" s="1347"/>
      <c r="AL8" s="1347"/>
      <c r="AM8" s="1347"/>
      <c r="AN8" s="1347"/>
      <c r="AO8" s="1347"/>
      <c r="AP8" s="1347"/>
      <c r="AQ8" s="1347"/>
      <c r="AR8" s="1347"/>
      <c r="AS8" s="1347"/>
      <c r="AT8" s="1057" t="s">
        <v>1087</v>
      </c>
      <c r="AU8" s="1581" t="s">
        <v>1088</v>
      </c>
      <c r="AV8" s="1057"/>
      <c r="AW8" s="1564"/>
      <c r="AX8" s="1057"/>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2.75">
      <c r="A9" s="1581"/>
      <c r="B9" s="1581"/>
      <c r="C9" s="1581"/>
      <c r="D9" s="1581"/>
      <c r="E9" s="1581"/>
      <c r="F9" s="1581"/>
      <c r="G9" s="1057"/>
      <c r="H9" s="1589" t="s">
        <v>1091</v>
      </c>
      <c r="I9" s="1590" t="s">
        <v>3383</v>
      </c>
      <c r="J9" s="796"/>
      <c r="K9" s="1590" t="s">
        <v>3406</v>
      </c>
      <c r="L9" s="796"/>
      <c r="M9" s="1590"/>
      <c r="N9" s="796"/>
      <c r="O9" s="1590"/>
      <c r="P9" s="796"/>
      <c r="Q9" s="1590"/>
      <c r="R9" s="796"/>
      <c r="S9" s="1590"/>
      <c r="T9" s="796"/>
      <c r="U9" s="1590"/>
      <c r="V9" s="796"/>
      <c r="W9" s="1590"/>
      <c r="X9" s="1591"/>
      <c r="Y9" s="1590"/>
      <c r="Z9" s="796"/>
      <c r="AA9" s="1590"/>
      <c r="AB9" s="796"/>
      <c r="AC9" s="1582"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2"/>
      <c r="AT9" s="1581"/>
      <c r="AU9" s="1581" t="s">
        <v>1094</v>
      </c>
      <c r="AV9" s="1057"/>
      <c r="AW9" s="1564"/>
      <c r="AX9" s="1057"/>
      <c r="AY9" s="25"/>
      <c r="AZ9" s="25" t="s">
        <v>1084</v>
      </c>
      <c r="BA9" s="1593" t="s">
        <v>1095</v>
      </c>
      <c r="BB9" s="1594"/>
      <c r="BC9" s="1075"/>
      <c r="BD9" s="1075"/>
      <c r="BE9" s="1075"/>
      <c r="BF9" s="1075"/>
      <c r="BG9" s="1075"/>
      <c r="BH9" s="1075"/>
      <c r="BI9" s="1075"/>
      <c r="BJ9" s="1075"/>
      <c r="BK9" s="1595"/>
      <c r="BL9" s="12" t="s">
        <v>1096</v>
      </c>
      <c r="BM9" s="1347"/>
      <c r="BN9" s="1584"/>
      <c r="BO9" s="1347"/>
      <c r="BP9" s="1347"/>
      <c r="BQ9" s="1347"/>
      <c r="BR9" s="1347"/>
      <c r="BS9" s="1347"/>
      <c r="BT9" s="23"/>
    </row>
    <row r="10" spans="1:72" s="1588" customFormat="1" ht="12.75">
      <c r="A10" s="1581"/>
      <c r="B10" s="1581"/>
      <c r="C10" s="1581"/>
      <c r="D10" s="1581"/>
      <c r="E10" s="1581"/>
      <c r="F10" s="1581"/>
      <c r="G10" s="1057"/>
      <c r="H10" s="25"/>
      <c r="I10" s="1590" t="s">
        <v>673</v>
      </c>
      <c r="J10" s="796"/>
      <c r="K10" s="1590" t="s">
        <v>673</v>
      </c>
      <c r="L10" s="796"/>
      <c r="M10" s="1596"/>
      <c r="N10" s="796"/>
      <c r="O10" s="1596"/>
      <c r="P10" s="796"/>
      <c r="Q10" s="1596"/>
      <c r="R10" s="796"/>
      <c r="S10" s="1596"/>
      <c r="T10" s="796"/>
      <c r="U10" s="1596"/>
      <c r="V10" s="796"/>
      <c r="W10" s="1596"/>
      <c r="X10" s="796"/>
      <c r="Y10" s="1596"/>
      <c r="Z10" s="796"/>
      <c r="AA10" s="1596"/>
      <c r="AB10" s="796"/>
      <c r="AC10" s="1057"/>
      <c r="AD10" s="12" t="s">
        <v>1097</v>
      </c>
      <c r="AE10" s="1597"/>
      <c r="AF10" s="12" t="s">
        <v>1097</v>
      </c>
      <c r="AG10" s="1597"/>
      <c r="AH10" s="12" t="s">
        <v>1098</v>
      </c>
      <c r="AI10" s="1597"/>
      <c r="AJ10" s="12" t="s">
        <v>1098</v>
      </c>
      <c r="AK10" s="1597"/>
      <c r="AL10" s="12" t="s">
        <v>1099</v>
      </c>
      <c r="AM10" s="1063"/>
      <c r="AN10" s="12" t="s">
        <v>1099</v>
      </c>
      <c r="AO10" s="1063"/>
      <c r="AP10" s="12" t="s">
        <v>1100</v>
      </c>
      <c r="AQ10" s="1063"/>
      <c r="AR10" s="12" t="s">
        <v>1100</v>
      </c>
      <c r="AS10" s="1063"/>
      <c r="AT10" s="1581"/>
      <c r="AU10" s="1581"/>
      <c r="AV10" s="1057"/>
      <c r="AW10" s="1564"/>
      <c r="AX10" s="1057"/>
      <c r="AY10" s="25"/>
      <c r="AZ10" s="25"/>
      <c r="BA10" s="1598" t="s">
        <v>1091</v>
      </c>
      <c r="BB10" s="1599" t="str">
        <f>I9</f>
        <v>地上</v>
      </c>
      <c r="BC10" s="26" t="str">
        <f>K9</f>
        <v>地下</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2.75">
      <c r="A11" s="1581"/>
      <c r="B11" s="1581"/>
      <c r="C11" s="1581"/>
      <c r="D11" s="1581"/>
      <c r="E11" s="1581"/>
      <c r="F11" s="1581"/>
      <c r="G11" s="1057"/>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57"/>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57"/>
      <c r="AW11" s="1564"/>
      <c r="AX11" s="1057"/>
      <c r="AY11" s="25"/>
      <c r="AZ11" s="25"/>
      <c r="BA11" s="25"/>
      <c r="BB11" s="1586" t="str">
        <f>I10</f>
        <v>商业</v>
      </c>
      <c r="BC11" s="1586" t="str">
        <f>K10</f>
        <v>商业</v>
      </c>
      <c r="BD11" s="1586">
        <f>M10</f>
        <v>0</v>
      </c>
      <c r="BE11" s="1586">
        <f>O10</f>
        <v>0</v>
      </c>
      <c r="BF11" s="1586">
        <f>Q10</f>
        <v>0</v>
      </c>
      <c r="BG11" s="1586">
        <f>S10</f>
        <v>0</v>
      </c>
      <c r="BH11" s="1586">
        <f>U10</f>
        <v>0</v>
      </c>
      <c r="BI11" s="1586">
        <f>W10</f>
        <v>0</v>
      </c>
      <c r="BJ11" s="1586">
        <f>Y10</f>
        <v>0</v>
      </c>
      <c r="BK11" s="1586">
        <f>AA10</f>
        <v>0</v>
      </c>
      <c r="BL11" s="1057"/>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2.75">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57"/>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2.75">
      <c r="A13" s="1038"/>
      <c r="B13" s="1038"/>
      <c r="C13" s="3456" t="s">
        <v>3423</v>
      </c>
      <c r="D13" s="1612" t="s">
        <v>3384</v>
      </c>
      <c r="E13" s="13">
        <f>IF($C$3="是",ROUND($A$3*G13/$B$3,2),ROUND($A$3*(G13-AT13)/$B$3,2))</f>
        <v>28178.74</v>
      </c>
      <c r="F13" s="29"/>
      <c r="G13" s="30">
        <f>H13+AC13+AT13</f>
        <v>98312.17</v>
      </c>
      <c r="H13" s="17">
        <f>SUMIF(I$12:AB$12,"总值",I13:AB13)</f>
        <v>98312.17</v>
      </c>
      <c r="I13" s="2085">
        <v>56128.46</v>
      </c>
      <c r="J13" s="1613"/>
      <c r="K13" s="2085">
        <v>42183.71</v>
      </c>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t="str">
        <f t="shared" si="6"/>
        <v>酒店</v>
      </c>
      <c r="AY13" s="1336">
        <f>ROUND($AY$6*AZ13/$AZ$5,2)</f>
        <v>28178.74</v>
      </c>
      <c r="AZ13" s="13">
        <f>BA13+BL13</f>
        <v>98312.17</v>
      </c>
      <c r="BA13" s="13">
        <f>SUM(BB13:BK13)</f>
        <v>98312.17</v>
      </c>
      <c r="BB13" s="13">
        <f>IF($D13="是",I13-J13,0)</f>
        <v>56128.46</v>
      </c>
      <c r="BC13" s="13">
        <f>IF($D13="是",K13-L13,0)</f>
        <v>42183.71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2.75">
      <c r="A14" s="1038"/>
      <c r="B14" s="1038"/>
      <c r="C14" s="1557"/>
      <c r="D14" s="3457"/>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2.75">
      <c r="A15" s="1038"/>
      <c r="B15" s="1038"/>
      <c r="C15" s="3456"/>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2.75">
      <c r="A16" s="1038"/>
      <c r="B16" s="1038"/>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2.75">
      <c r="A17" s="1038"/>
      <c r="B17" s="1038"/>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42"/>
  <sheetViews>
    <sheetView topLeftCell="A4" workbookViewId="0">
      <selection activeCell="J32" sqref="J32"/>
    </sheetView>
  </sheetViews>
  <sheetFormatPr defaultRowHeight="13.5"/>
  <cols>
    <col min="1" max="7" width="9" style="3465"/>
    <col min="8" max="8" width="12.75" style="3465" bestFit="1" customWidth="1"/>
    <col min="9" max="16384" width="9" style="3465"/>
  </cols>
  <sheetData>
    <row r="1" spans="2:7">
      <c r="B1" s="3465" t="s">
        <v>3425</v>
      </c>
    </row>
    <row r="2" spans="2:7">
      <c r="B2" s="3465" t="s">
        <v>3426</v>
      </c>
    </row>
    <row r="3" spans="2:7">
      <c r="B3" s="3465" t="s">
        <v>3427</v>
      </c>
    </row>
    <row r="13" spans="2:7">
      <c r="B13" s="3466" t="s">
        <v>3428</v>
      </c>
    </row>
    <row r="14" spans="2:7">
      <c r="B14" s="3467"/>
      <c r="C14" s="3468" t="s">
        <v>3429</v>
      </c>
      <c r="D14" s="3468" t="s">
        <v>3430</v>
      </c>
      <c r="E14" s="3468" t="s">
        <v>3431</v>
      </c>
      <c r="F14" s="3467"/>
      <c r="G14" s="3469" t="s">
        <v>3432</v>
      </c>
    </row>
    <row r="15" spans="2:7">
      <c r="B15" s="3470" t="s">
        <v>3433</v>
      </c>
      <c r="C15" s="3471">
        <f>C16+C17</f>
        <v>98312.17</v>
      </c>
      <c r="D15" s="3471">
        <f>E15/C15</f>
        <v>3572.6980698320463</v>
      </c>
      <c r="E15" s="3471">
        <f>E16+E17</f>
        <v>351239700</v>
      </c>
      <c r="F15" s="3467"/>
      <c r="G15" s="3472">
        <v>1</v>
      </c>
    </row>
    <row r="16" spans="2:7">
      <c r="B16" s="3468" t="s">
        <v>3434</v>
      </c>
      <c r="C16" s="3473">
        <f>'数据-基础表'!I13</f>
        <v>56128.46</v>
      </c>
      <c r="D16" s="3467">
        <v>2500</v>
      </c>
      <c r="E16" s="3467">
        <f>D16*C16</f>
        <v>140321150</v>
      </c>
      <c r="F16" s="3467"/>
      <c r="G16" s="3467"/>
    </row>
    <row r="17" spans="2:9">
      <c r="B17" s="3468" t="s">
        <v>3435</v>
      </c>
      <c r="C17" s="3467">
        <f>'数据-基础表'!K13</f>
        <v>42183.71</v>
      </c>
      <c r="D17" s="3467">
        <v>5000</v>
      </c>
      <c r="E17" s="3467">
        <f t="shared" ref="E17:E20" si="0">D17*C17</f>
        <v>210918550</v>
      </c>
      <c r="F17" s="3467"/>
      <c r="G17" s="3467"/>
    </row>
    <row r="18" spans="2:9">
      <c r="B18" s="3470" t="s">
        <v>3436</v>
      </c>
      <c r="C18" s="3471">
        <f>C15</f>
        <v>98312.17</v>
      </c>
      <c r="D18" s="3471">
        <v>2000</v>
      </c>
      <c r="E18" s="3471">
        <f>D18*C18</f>
        <v>196624340</v>
      </c>
      <c r="F18" s="3467"/>
      <c r="G18" s="3472">
        <v>1</v>
      </c>
    </row>
    <row r="19" spans="2:9">
      <c r="B19" s="3470" t="s">
        <v>3437</v>
      </c>
      <c r="C19" s="3471">
        <f>C15</f>
        <v>98312.17</v>
      </c>
      <c r="D19" s="3471">
        <v>2500</v>
      </c>
      <c r="E19" s="3471">
        <f>D19*C19</f>
        <v>245780425</v>
      </c>
      <c r="F19" s="3467"/>
      <c r="G19" s="3472">
        <v>1</v>
      </c>
    </row>
    <row r="20" spans="2:9">
      <c r="B20" s="3470" t="s">
        <v>3438</v>
      </c>
      <c r="C20" s="3471">
        <v>0</v>
      </c>
      <c r="D20" s="3471">
        <f>D17</f>
        <v>5000</v>
      </c>
      <c r="E20" s="3471">
        <f t="shared" si="0"/>
        <v>0</v>
      </c>
      <c r="F20" s="3467"/>
      <c r="G20" s="3467"/>
    </row>
    <row r="21" spans="2:9">
      <c r="B21" s="3468" t="s">
        <v>3385</v>
      </c>
      <c r="C21" s="3467">
        <f>C15</f>
        <v>98312.17</v>
      </c>
      <c r="D21" s="3467">
        <f>E21/C21</f>
        <v>8072.6980698320467</v>
      </c>
      <c r="E21" s="3467">
        <f>E15+E18+E19+E20</f>
        <v>793644465</v>
      </c>
      <c r="F21" s="3467"/>
      <c r="G21" s="3470">
        <f>(G15*E15+G18*E18+G19*E19)/E21</f>
        <v>1</v>
      </c>
    </row>
    <row r="25" spans="2:9">
      <c r="B25" s="3466" t="s">
        <v>3439</v>
      </c>
    </row>
    <row r="26" spans="2:9">
      <c r="B26" s="3467"/>
      <c r="C26" s="3468" t="s">
        <v>3440</v>
      </c>
      <c r="D26" s="3468"/>
      <c r="E26" s="3468" t="s">
        <v>3441</v>
      </c>
      <c r="F26" s="3468" t="s">
        <v>3442</v>
      </c>
      <c r="G26" s="3468" t="s">
        <v>3443</v>
      </c>
      <c r="H26" s="3469" t="s">
        <v>3444</v>
      </c>
    </row>
    <row r="27" spans="2:9">
      <c r="B27" s="3470" t="s">
        <v>3445</v>
      </c>
      <c r="C27" s="3471">
        <v>2002</v>
      </c>
      <c r="D27" s="3471">
        <v>2024</v>
      </c>
      <c r="E27" s="3471">
        <v>50</v>
      </c>
      <c r="F27" s="3467">
        <v>60</v>
      </c>
      <c r="G27" s="3467">
        <v>0</v>
      </c>
      <c r="H27" s="3474">
        <f>ROUND((1-G27)-(D27-C27)/F27,2)</f>
        <v>0.63</v>
      </c>
      <c r="I27" s="3516">
        <v>0.3</v>
      </c>
    </row>
    <row r="28" spans="2:9">
      <c r="B28" s="3468" t="s">
        <v>3446</v>
      </c>
      <c r="C28" s="3473"/>
      <c r="D28" s="3467"/>
      <c r="E28" s="3467"/>
      <c r="F28" s="3467"/>
      <c r="G28" s="3467"/>
      <c r="H28" s="3472">
        <v>0.95</v>
      </c>
      <c r="I28" s="3516">
        <v>0.7</v>
      </c>
    </row>
    <row r="29" spans="2:9">
      <c r="B29" s="3468"/>
      <c r="C29" s="3467"/>
      <c r="D29" s="3467"/>
      <c r="E29" s="3467"/>
      <c r="F29" s="3467"/>
      <c r="G29" s="3467"/>
      <c r="H29" s="3475">
        <f>ROUND((H28*I28+H27*I27),2)</f>
        <v>0.85</v>
      </c>
    </row>
    <row r="32" spans="2:9">
      <c r="B32" s="3466" t="s">
        <v>3447</v>
      </c>
      <c r="D32" s="3466" t="s">
        <v>3448</v>
      </c>
      <c r="F32" s="3466" t="s">
        <v>3449</v>
      </c>
    </row>
    <row r="33" spans="2:8">
      <c r="B33" s="3468" t="s">
        <v>3450</v>
      </c>
      <c r="C33" s="3476" t="s">
        <v>3451</v>
      </c>
      <c r="D33" s="3468" t="s">
        <v>3452</v>
      </c>
      <c r="E33" s="3468" t="s">
        <v>3453</v>
      </c>
      <c r="F33" s="3468" t="s">
        <v>3454</v>
      </c>
      <c r="G33" s="3468" t="s">
        <v>3453</v>
      </c>
    </row>
    <row r="34" spans="2:8">
      <c r="B34" s="3468">
        <v>1</v>
      </c>
      <c r="C34" s="3467">
        <v>1</v>
      </c>
      <c r="D34" s="3467">
        <f>[1]面积表!C12</f>
        <v>3343.12</v>
      </c>
      <c r="E34" s="3467">
        <v>12</v>
      </c>
      <c r="F34" s="3467">
        <f>[1]面积表!C4</f>
        <v>1818.27</v>
      </c>
      <c r="G34" s="3467">
        <v>13</v>
      </c>
    </row>
    <row r="35" spans="2:8">
      <c r="B35" s="3468">
        <v>2</v>
      </c>
      <c r="C35" s="3473">
        <v>0.75</v>
      </c>
      <c r="D35" s="3467">
        <f>[1]面积表!C13</f>
        <v>3244.08</v>
      </c>
      <c r="E35" s="3467">
        <f>$E$34*C35</f>
        <v>9</v>
      </c>
      <c r="F35" s="3467">
        <f>[1]面积表!C5</f>
        <v>1675.48</v>
      </c>
      <c r="G35" s="3467">
        <v>13</v>
      </c>
    </row>
    <row r="36" spans="2:8">
      <c r="B36" s="3468">
        <v>3</v>
      </c>
      <c r="C36" s="3467">
        <v>0.65</v>
      </c>
      <c r="D36" s="3467">
        <f>[1]面积表!C14</f>
        <v>3963.74</v>
      </c>
      <c r="E36" s="3467">
        <v>13</v>
      </c>
      <c r="F36" s="3467">
        <f>[1]面积表!C6</f>
        <v>1873.83</v>
      </c>
      <c r="G36" s="3467">
        <v>13</v>
      </c>
      <c r="H36" s="3466" t="s">
        <v>3455</v>
      </c>
    </row>
    <row r="37" spans="2:8">
      <c r="B37" s="3468">
        <v>4</v>
      </c>
      <c r="C37" s="3473">
        <v>0.55000000000000004</v>
      </c>
      <c r="D37" s="3467">
        <f>[1]面积表!C15</f>
        <v>3963.74</v>
      </c>
      <c r="E37" s="3467">
        <v>13</v>
      </c>
      <c r="F37" s="3467">
        <f>[1]面积表!C7</f>
        <v>1873.83</v>
      </c>
      <c r="G37" s="3467">
        <v>13</v>
      </c>
      <c r="H37" s="3466" t="s">
        <v>3455</v>
      </c>
    </row>
    <row r="38" spans="2:8">
      <c r="B38" s="3468">
        <v>5</v>
      </c>
      <c r="C38" s="3467">
        <v>0.5</v>
      </c>
      <c r="D38" s="3467">
        <f>[1]面积表!C16</f>
        <v>3963.74</v>
      </c>
      <c r="E38" s="3467">
        <v>13</v>
      </c>
      <c r="F38" s="3467">
        <f>[1]面积表!C8</f>
        <v>1873.83</v>
      </c>
      <c r="G38" s="3467">
        <v>13</v>
      </c>
      <c r="H38" s="3465" t="str">
        <f>H37</f>
        <v>实际办公</v>
      </c>
    </row>
    <row r="39" spans="2:8">
      <c r="B39" s="3468" t="s">
        <v>3456</v>
      </c>
      <c r="C39" s="3467">
        <v>0.5</v>
      </c>
      <c r="D39" s="3467">
        <f>[1]基准地价修正!D37</f>
        <v>6877.51</v>
      </c>
      <c r="E39" s="3467">
        <f>$E$34*C39</f>
        <v>6</v>
      </c>
      <c r="F39" s="3467">
        <f>[1]基准地价修正!F37</f>
        <v>0.7</v>
      </c>
      <c r="G39" s="3467">
        <f t="shared" ref="G39" si="1">$E$34*E39</f>
        <v>72</v>
      </c>
    </row>
    <row r="40" spans="2:8">
      <c r="B40" s="3468" t="s">
        <v>3457</v>
      </c>
      <c r="C40" s="3467">
        <v>0.4</v>
      </c>
      <c r="D40" s="3467">
        <v>0</v>
      </c>
      <c r="E40" s="3467">
        <v>0</v>
      </c>
      <c r="F40" s="3467">
        <v>0</v>
      </c>
      <c r="G40" s="3467">
        <v>0</v>
      </c>
    </row>
    <row r="41" spans="2:8">
      <c r="B41" s="3468"/>
      <c r="C41" s="3467"/>
      <c r="D41" s="3467">
        <f>SUM(D34:D40)</f>
        <v>25355.93</v>
      </c>
      <c r="E41" s="3477">
        <f>SUMPRODUCT(E34:E39,D34:D39)/D41</f>
        <v>10.457714625336163</v>
      </c>
      <c r="F41" s="3467">
        <f>SUM(F34:F40)</f>
        <v>9115.94</v>
      </c>
      <c r="G41" s="3477">
        <f>SUMPRODUCT(G34:G39,F34:F39)/F41</f>
        <v>13.004530525650674</v>
      </c>
      <c r="H41" s="3478">
        <f>(D41*E41+F41*G41)/(D41+F41)</f>
        <v>11.131209301961279</v>
      </c>
    </row>
    <row r="42" spans="2:8">
      <c r="B42" s="3468"/>
      <c r="C42" s="3467"/>
      <c r="D42" s="3467"/>
      <c r="E42" s="3467"/>
      <c r="F42" s="3467"/>
      <c r="G42" s="346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8" sqref="F38"/>
    </sheetView>
  </sheetViews>
  <sheetFormatPr defaultColWidth="9.25" defaultRowHeight="14.25"/>
  <cols>
    <col min="1" max="1" width="12.125" style="1625" customWidth="1"/>
    <col min="2" max="2" width="10.25" style="1625" customWidth="1"/>
    <col min="3" max="3" width="18.5" style="1625" customWidth="1"/>
    <col min="4" max="4" width="11.625" style="1625" customWidth="1"/>
    <col min="5" max="5" width="13.375" style="1625" customWidth="1"/>
    <col min="6" max="8" width="11.5" style="1625" customWidth="1"/>
    <col min="9" max="9" width="11.125" style="1625" customWidth="1"/>
    <col min="10" max="10" width="3.125" style="2636" customWidth="1"/>
    <col min="11" max="16" width="10" style="1625" customWidth="1"/>
    <col min="17" max="17" width="2.625" style="1625" customWidth="1"/>
    <col min="18" max="18" width="9.375" style="1625" bestFit="1" customWidth="1"/>
    <col min="19" max="19" width="10.5" style="1625" bestFit="1" customWidth="1"/>
    <col min="20" max="16384" width="9.25" style="1625"/>
  </cols>
  <sheetData>
    <row r="1" spans="1:16" ht="19.5" thickBot="1">
      <c r="A1" s="1624" t="s">
        <v>1130</v>
      </c>
      <c r="B1" s="1126"/>
      <c r="C1" s="1126"/>
      <c r="D1" s="1126"/>
      <c r="E1" s="1126"/>
      <c r="F1" s="1126"/>
      <c r="G1" s="1126"/>
      <c r="H1" s="1126"/>
      <c r="I1" s="1126"/>
      <c r="J1" s="1126"/>
      <c r="K1" s="1126"/>
      <c r="L1" s="1126"/>
      <c r="M1" s="1126"/>
      <c r="N1" s="1126"/>
      <c r="O1" s="1126"/>
      <c r="P1" s="1126"/>
    </row>
    <row r="2" spans="1:16" ht="15">
      <c r="A2" s="3598" t="s">
        <v>1131</v>
      </c>
      <c r="B2" s="3598"/>
      <c r="C2" s="3598"/>
      <c r="D2" s="783" t="s">
        <v>1107</v>
      </c>
      <c r="E2" s="1626" t="s">
        <v>1108</v>
      </c>
      <c r="F2" s="2645"/>
      <c r="G2" s="2637"/>
      <c r="H2" s="2638"/>
      <c r="I2" s="2312" t="s">
        <v>1132</v>
      </c>
      <c r="J2" s="2645"/>
      <c r="K2" s="2645"/>
      <c r="L2" s="2645"/>
      <c r="M2" s="2645"/>
      <c r="N2" s="2647"/>
      <c r="O2" s="2645"/>
      <c r="P2" s="2645"/>
    </row>
    <row r="3" spans="1:16" ht="15.75" thickBot="1">
      <c r="A3" s="3599" t="s">
        <v>1105</v>
      </c>
      <c r="B3" s="3599"/>
      <c r="C3" s="3599"/>
      <c r="D3" s="43">
        <f>'数据-基础表'!AY6</f>
        <v>28178.74</v>
      </c>
      <c r="E3" s="43">
        <f>'数据-基础表'!AZ5</f>
        <v>98312.17</v>
      </c>
      <c r="F3" s="2645"/>
      <c r="G3" s="1132"/>
      <c r="H3" s="1013" t="s">
        <v>1106</v>
      </c>
      <c r="I3" s="842">
        <f>ROUND('数据-基础表'!B3/'数据-基础表'!A3,2)</f>
        <v>3.49</v>
      </c>
      <c r="J3" s="2645"/>
      <c r="K3" s="2645"/>
      <c r="L3" s="2645"/>
      <c r="M3" s="2645"/>
      <c r="N3" s="2647"/>
      <c r="O3" s="2645"/>
      <c r="P3" s="2645"/>
    </row>
    <row r="4" spans="1:16" ht="15">
      <c r="A4" s="3600"/>
      <c r="B4" s="3601"/>
      <c r="C4" s="3602"/>
      <c r="D4" s="1628" t="s">
        <v>1107</v>
      </c>
      <c r="E4" s="1629" t="s">
        <v>1108</v>
      </c>
      <c r="F4" s="2645"/>
      <c r="G4" s="2639" t="s">
        <v>1133</v>
      </c>
      <c r="H4" s="1013" t="s">
        <v>1113</v>
      </c>
      <c r="I4" s="842">
        <f>ROUND(SUMIF('数据-基础表'!I9:AS9,"地上",'数据-基础表'!I5:AS5)/'数据-基础表'!A3,2)</f>
        <v>1.99</v>
      </c>
      <c r="J4" s="2645"/>
      <c r="K4" s="2645"/>
      <c r="L4" s="2645"/>
      <c r="M4" s="2645"/>
      <c r="N4" s="2647"/>
      <c r="O4" s="2645"/>
      <c r="P4" s="2645"/>
    </row>
    <row r="5" spans="1:16">
      <c r="A5" s="44" t="s">
        <v>1109</v>
      </c>
      <c r="B5" s="3603" t="s">
        <v>1110</v>
      </c>
      <c r="C5" s="3603"/>
      <c r="D5" s="45">
        <f>ROUND($D$3*E5/$E$3,2)</f>
        <v>0</v>
      </c>
      <c r="E5" s="46">
        <f>SUMIF('数据-基础表'!$11:$11,"住宅",'数据-基础表'!$5:$5)</f>
        <v>0</v>
      </c>
      <c r="F5" s="2645"/>
      <c r="G5" s="1132"/>
      <c r="H5" s="1013" t="s">
        <v>1106</v>
      </c>
      <c r="I5" s="842">
        <f>ROUND(E31/D31,2)</f>
        <v>3.49</v>
      </c>
      <c r="J5" s="2645"/>
      <c r="K5" s="2645"/>
      <c r="L5" s="2645"/>
      <c r="M5" s="2645"/>
      <c r="N5" s="2645"/>
      <c r="O5" s="2645"/>
      <c r="P5" s="2645"/>
    </row>
    <row r="6" spans="1:16" ht="15" thickBot="1">
      <c r="A6" s="1631"/>
      <c r="B6" s="3603" t="s">
        <v>1111</v>
      </c>
      <c r="C6" s="3603"/>
      <c r="D6" s="45">
        <f>ROUND($D$3*E6/$E$3,2)</f>
        <v>28178.74</v>
      </c>
      <c r="E6" s="46">
        <f>E3-E5</f>
        <v>98312.17</v>
      </c>
      <c r="F6" s="2645"/>
      <c r="G6" s="2640" t="s">
        <v>1112</v>
      </c>
      <c r="H6" s="1133" t="s">
        <v>1113</v>
      </c>
      <c r="I6" s="2641">
        <f>ROUND(F31/D31,2)</f>
        <v>1.99</v>
      </c>
      <c r="J6" s="2645"/>
      <c r="K6" s="2645"/>
      <c r="L6" s="2645"/>
      <c r="M6" s="2645"/>
      <c r="N6" s="2645"/>
      <c r="O6" s="2645"/>
      <c r="P6" s="2645"/>
    </row>
    <row r="7" spans="1:16" ht="15.75" thickBot="1">
      <c r="A7" s="3595"/>
      <c r="B7" s="3596"/>
      <c r="C7" s="3597"/>
      <c r="D7" s="1628" t="s">
        <v>1107</v>
      </c>
      <c r="E7" s="1632" t="s">
        <v>1114</v>
      </c>
      <c r="F7" s="2645"/>
      <c r="G7" s="2642" t="s">
        <v>1115</v>
      </c>
      <c r="H7" s="2643"/>
      <c r="I7" s="3449">
        <f>I6</f>
        <v>1.99</v>
      </c>
      <c r="J7" s="2645"/>
      <c r="K7" s="2645"/>
      <c r="L7" s="2645"/>
      <c r="M7" s="2645"/>
      <c r="N7" s="2645"/>
      <c r="O7" s="2645"/>
      <c r="P7" s="2645"/>
    </row>
    <row r="8" spans="1:16">
      <c r="A8" s="44" t="s">
        <v>1116</v>
      </c>
      <c r="B8" s="47" t="s">
        <v>1117</v>
      </c>
      <c r="C8" s="45" t="s">
        <v>1118</v>
      </c>
      <c r="D8" s="45">
        <f t="shared" ref="D8:D15" si="0">ROUND($D$3*E8/$E$3,2)</f>
        <v>16087.83</v>
      </c>
      <c r="E8" s="48">
        <f>SUMIF('数据-基础表'!BB10:BK10,"地上",'数据-基础表'!BB5:BK5)</f>
        <v>56128.46</v>
      </c>
      <c r="F8" s="2645"/>
      <c r="G8" s="2646"/>
      <c r="H8" s="2646"/>
      <c r="I8" s="2645"/>
      <c r="J8" s="2645"/>
      <c r="K8" s="2645"/>
      <c r="L8" s="2645"/>
      <c r="M8" s="2645"/>
      <c r="N8" s="2645"/>
      <c r="O8" s="2645"/>
      <c r="P8" s="2645"/>
    </row>
    <row r="9" spans="1:16">
      <c r="A9" s="1633"/>
      <c r="B9" s="1634"/>
      <c r="C9" s="45" t="s">
        <v>1119</v>
      </c>
      <c r="D9" s="45">
        <f t="shared" si="0"/>
        <v>0</v>
      </c>
      <c r="E9" s="49">
        <v>0</v>
      </c>
      <c r="F9" s="2645"/>
      <c r="G9" s="2646"/>
      <c r="H9" s="2646"/>
      <c r="I9" s="2645"/>
      <c r="J9" s="2645"/>
      <c r="K9" s="2645"/>
      <c r="L9" s="2645"/>
      <c r="M9" s="2645"/>
      <c r="N9" s="2645"/>
      <c r="O9" s="2645"/>
      <c r="P9" s="2645"/>
    </row>
    <row r="10" spans="1:16">
      <c r="A10" s="1633"/>
      <c r="B10" s="1634"/>
      <c r="C10" s="45" t="s">
        <v>1128</v>
      </c>
      <c r="D10" s="45">
        <f t="shared" si="0"/>
        <v>12090.91</v>
      </c>
      <c r="E10" s="48">
        <f>SUMPRODUCT(('数据-基础表'!BB10:BK10="地下")*('数据-基础表'!BB11:BK11="商业")*('数据-基础表'!BB5:BK5))</f>
        <v>42183.71</v>
      </c>
      <c r="F10" s="2645"/>
      <c r="G10" s="2646"/>
      <c r="H10" s="2646"/>
      <c r="I10" s="2645"/>
      <c r="J10" s="2645"/>
      <c r="K10" s="2645"/>
      <c r="L10" s="2645"/>
      <c r="M10" s="2645"/>
      <c r="N10" s="2645"/>
      <c r="O10" s="2645"/>
      <c r="P10" s="2645"/>
    </row>
    <row r="11" spans="1:16">
      <c r="A11" s="1633"/>
      <c r="B11" s="1634"/>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33"/>
      <c r="B12" s="1634"/>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33"/>
      <c r="B13" s="1634"/>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33"/>
      <c r="B14" s="1634"/>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33"/>
      <c r="B15" s="1634"/>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1"/>
      <c r="B16" s="1634"/>
      <c r="C16" s="47" t="s">
        <v>1123</v>
      </c>
      <c r="D16" s="47">
        <f>SUM(D8:D15)</f>
        <v>28178.739999999998</v>
      </c>
      <c r="E16" s="50">
        <f>SUM(E8:E15)</f>
        <v>98312.17</v>
      </c>
      <c r="F16" s="2645"/>
      <c r="G16" s="2646"/>
      <c r="H16" s="1635" t="s">
        <v>1135</v>
      </c>
      <c r="I16" s="1636"/>
      <c r="J16" s="1126"/>
      <c r="K16" s="3592" t="s">
        <v>1135</v>
      </c>
      <c r="L16" s="3593"/>
      <c r="M16" s="3593"/>
      <c r="N16" s="3593"/>
      <c r="O16" s="3593"/>
      <c r="P16" s="3594"/>
    </row>
    <row r="17" spans="1:19" ht="15">
      <c r="A17" s="1637" t="s">
        <v>1136</v>
      </c>
      <c r="B17" s="1638" t="s">
        <v>1137</v>
      </c>
      <c r="C17" s="1639" t="s">
        <v>1138</v>
      </c>
      <c r="D17" s="1640" t="s">
        <v>1126</v>
      </c>
      <c r="E17" s="1641" t="s">
        <v>1127</v>
      </c>
      <c r="F17" s="1642"/>
      <c r="G17" s="1643"/>
      <c r="H17" s="1644" t="s">
        <v>1139</v>
      </c>
      <c r="I17" s="1645" t="s">
        <v>1124</v>
      </c>
      <c r="J17" s="1126"/>
      <c r="K17" s="3589" t="s">
        <v>1140</v>
      </c>
      <c r="L17" s="3590"/>
      <c r="M17" s="3591"/>
      <c r="N17" s="3589" t="s">
        <v>1141</v>
      </c>
      <c r="O17" s="3590"/>
      <c r="P17" s="3591"/>
      <c r="R17" s="1627" t="s">
        <v>1142</v>
      </c>
      <c r="S17" s="56"/>
    </row>
    <row r="18" spans="1:19" ht="15">
      <c r="A18" s="1633"/>
      <c r="B18" s="1646"/>
      <c r="C18" s="1647"/>
      <c r="D18" s="1648"/>
      <c r="E18" s="1649" t="s">
        <v>1143</v>
      </c>
      <c r="F18" s="1650" t="s">
        <v>1144</v>
      </c>
      <c r="G18" s="1651" t="s">
        <v>1145</v>
      </c>
      <c r="H18" s="1028" t="s">
        <v>1146</v>
      </c>
      <c r="I18" s="1652" t="s">
        <v>1147</v>
      </c>
      <c r="J18" s="1126"/>
      <c r="K18" s="1028" t="s">
        <v>1148</v>
      </c>
      <c r="L18" s="1653" t="s">
        <v>1149</v>
      </c>
      <c r="M18" s="842" t="s">
        <v>1150</v>
      </c>
      <c r="N18" s="1028" t="s">
        <v>1148</v>
      </c>
      <c r="O18" s="1653" t="s">
        <v>1149</v>
      </c>
      <c r="P18" s="842" t="s">
        <v>1150</v>
      </c>
      <c r="R18" s="1013" t="s">
        <v>1151</v>
      </c>
      <c r="S18" s="1013" t="s">
        <v>1152</v>
      </c>
    </row>
    <row r="19" spans="1:19">
      <c r="A19" s="1654"/>
      <c r="B19" s="47" t="s">
        <v>1125</v>
      </c>
      <c r="C19" s="3394" t="s">
        <v>3424</v>
      </c>
      <c r="D19" s="45">
        <f>ROUND($D$3*E19/$E$3,2)</f>
        <v>28178.74</v>
      </c>
      <c r="E19" s="53">
        <f t="shared" ref="E19:E26" si="1">SUM(F19:G19)</f>
        <v>98312.17</v>
      </c>
      <c r="F19" s="2779">
        <f>'数据-基础表'!I13</f>
        <v>56128.46</v>
      </c>
      <c r="G19" s="2780">
        <f>'数据-基础表'!K13</f>
        <v>42183.71</v>
      </c>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5"/>
      <c r="O19" s="1656"/>
      <c r="P19" s="1137">
        <f>N19+O19</f>
        <v>0</v>
      </c>
      <c r="R19" s="1013">
        <f t="shared" ref="R19:S26" si="5">D19+H19</f>
        <v>28178.74</v>
      </c>
      <c r="S19" s="1014">
        <f t="shared" si="5"/>
        <v>98312.17</v>
      </c>
    </row>
    <row r="20" spans="1:19">
      <c r="A20" s="1657"/>
      <c r="B20" s="47" t="s">
        <v>1153</v>
      </c>
      <c r="C20" s="3394"/>
      <c r="D20" s="45">
        <f t="shared" ref="D20:D26" si="6">ROUND($D$3*E20/$E$3,2)</f>
        <v>0</v>
      </c>
      <c r="E20" s="53">
        <f t="shared" si="1"/>
        <v>0</v>
      </c>
      <c r="F20" s="2779"/>
      <c r="G20" s="2780"/>
      <c r="H20" s="660">
        <f t="shared" ref="H20:H26" si="7">ROUND($D$3*I20/$E$3,2)</f>
        <v>0</v>
      </c>
      <c r="I20" s="48">
        <f t="shared" si="2"/>
        <v>0</v>
      </c>
      <c r="J20" s="1126"/>
      <c r="K20" s="1125">
        <f t="shared" si="3"/>
        <v>0</v>
      </c>
      <c r="L20" s="1013">
        <f t="shared" si="4"/>
        <v>0</v>
      </c>
      <c r="M20" s="1137">
        <f t="shared" ref="M20:M26" si="8">K20+L20</f>
        <v>0</v>
      </c>
      <c r="N20" s="1655"/>
      <c r="O20" s="1656"/>
      <c r="P20" s="1137">
        <f t="shared" ref="P20:P26" si="9">N20+O20</f>
        <v>0</v>
      </c>
      <c r="R20" s="1013">
        <f t="shared" si="5"/>
        <v>0</v>
      </c>
      <c r="S20" s="1014">
        <f t="shared" si="5"/>
        <v>0</v>
      </c>
    </row>
    <row r="21" spans="1:19">
      <c r="A21" s="1657"/>
      <c r="B21" s="47" t="s">
        <v>1153</v>
      </c>
      <c r="C21" s="3394"/>
      <c r="D21" s="45">
        <f t="shared" si="6"/>
        <v>0</v>
      </c>
      <c r="E21" s="53">
        <f t="shared" si="1"/>
        <v>0</v>
      </c>
      <c r="F21" s="2779"/>
      <c r="G21" s="2780"/>
      <c r="H21" s="660">
        <f t="shared" si="7"/>
        <v>0</v>
      </c>
      <c r="I21" s="48">
        <f t="shared" si="2"/>
        <v>0</v>
      </c>
      <c r="J21" s="1126"/>
      <c r="K21" s="1125">
        <f t="shared" si="3"/>
        <v>0</v>
      </c>
      <c r="L21" s="1013">
        <f t="shared" si="4"/>
        <v>0</v>
      </c>
      <c r="M21" s="1137">
        <f t="shared" si="8"/>
        <v>0</v>
      </c>
      <c r="N21" s="1655"/>
      <c r="O21" s="1656"/>
      <c r="P21" s="1137">
        <f t="shared" si="9"/>
        <v>0</v>
      </c>
      <c r="R21" s="1013">
        <f t="shared" si="5"/>
        <v>0</v>
      </c>
      <c r="S21" s="1014">
        <f t="shared" si="5"/>
        <v>0</v>
      </c>
    </row>
    <row r="22" spans="1:19">
      <c r="A22" s="1657"/>
      <c r="B22" s="47" t="s">
        <v>1153</v>
      </c>
      <c r="C22" s="3395"/>
      <c r="D22" s="45">
        <f t="shared" si="6"/>
        <v>0</v>
      </c>
      <c r="E22" s="53">
        <f t="shared" si="1"/>
        <v>0</v>
      </c>
      <c r="F22" s="2781"/>
      <c r="G22" s="2782"/>
      <c r="H22" s="660">
        <f t="shared" si="7"/>
        <v>0</v>
      </c>
      <c r="I22" s="48">
        <f t="shared" si="2"/>
        <v>0</v>
      </c>
      <c r="J22" s="1126"/>
      <c r="K22" s="1125">
        <f t="shared" si="3"/>
        <v>0</v>
      </c>
      <c r="L22" s="1013">
        <f t="shared" si="4"/>
        <v>0</v>
      </c>
      <c r="M22" s="1137">
        <f t="shared" si="8"/>
        <v>0</v>
      </c>
      <c r="N22" s="1655"/>
      <c r="O22" s="1656"/>
      <c r="P22" s="1137">
        <f t="shared" si="9"/>
        <v>0</v>
      </c>
      <c r="R22" s="1013">
        <f t="shared" si="5"/>
        <v>0</v>
      </c>
      <c r="S22" s="1014">
        <f t="shared" si="5"/>
        <v>0</v>
      </c>
    </row>
    <row r="23" spans="1:19">
      <c r="A23" s="1657"/>
      <c r="B23" s="47" t="s">
        <v>1153</v>
      </c>
      <c r="C23" s="3395"/>
      <c r="D23" s="45">
        <f>ROUND($D$3*E23/$E$3,2)</f>
        <v>0</v>
      </c>
      <c r="E23" s="53">
        <f>SUM(F23:G23)</f>
        <v>0</v>
      </c>
      <c r="F23" s="2781"/>
      <c r="G23" s="2782"/>
      <c r="H23" s="660">
        <f>ROUND($D$3*I23/$E$3,2)</f>
        <v>0</v>
      </c>
      <c r="I23" s="48">
        <f t="shared" si="2"/>
        <v>0</v>
      </c>
      <c r="J23" s="1126"/>
      <c r="K23" s="1125">
        <f t="shared" si="3"/>
        <v>0</v>
      </c>
      <c r="L23" s="1013">
        <f t="shared" si="4"/>
        <v>0</v>
      </c>
      <c r="M23" s="1137">
        <f t="shared" si="8"/>
        <v>0</v>
      </c>
      <c r="N23" s="1655"/>
      <c r="O23" s="1656"/>
      <c r="P23" s="1137">
        <f t="shared" si="9"/>
        <v>0</v>
      </c>
      <c r="R23" s="1013">
        <f t="shared" si="5"/>
        <v>0</v>
      </c>
      <c r="S23" s="1014">
        <f t="shared" si="5"/>
        <v>0</v>
      </c>
    </row>
    <row r="24" spans="1:19">
      <c r="A24" s="1657"/>
      <c r="B24" s="47" t="s">
        <v>1153</v>
      </c>
      <c r="C24" s="3395"/>
      <c r="D24" s="45">
        <f>ROUND($D$3*E24/$E$3,2)</f>
        <v>0</v>
      </c>
      <c r="E24" s="53">
        <f>SUM(F24:G24)</f>
        <v>0</v>
      </c>
      <c r="F24" s="2781"/>
      <c r="G24" s="2782"/>
      <c r="H24" s="660">
        <f>ROUND($D$3*I24/$E$3,2)</f>
        <v>0</v>
      </c>
      <c r="I24" s="48">
        <f t="shared" si="2"/>
        <v>0</v>
      </c>
      <c r="J24" s="1126"/>
      <c r="K24" s="1125">
        <f t="shared" si="3"/>
        <v>0</v>
      </c>
      <c r="L24" s="1013">
        <f t="shared" si="4"/>
        <v>0</v>
      </c>
      <c r="M24" s="1137">
        <f t="shared" si="8"/>
        <v>0</v>
      </c>
      <c r="N24" s="1655"/>
      <c r="O24" s="1656"/>
      <c r="P24" s="1137">
        <f t="shared" si="9"/>
        <v>0</v>
      </c>
      <c r="R24" s="1013">
        <f t="shared" si="5"/>
        <v>0</v>
      </c>
      <c r="S24" s="1014">
        <f t="shared" si="5"/>
        <v>0</v>
      </c>
    </row>
    <row r="25" spans="1:19">
      <c r="A25" s="1657"/>
      <c r="B25" s="47" t="s">
        <v>1153</v>
      </c>
      <c r="C25" s="3395"/>
      <c r="D25" s="45">
        <f t="shared" si="6"/>
        <v>0</v>
      </c>
      <c r="E25" s="53">
        <f t="shared" si="1"/>
        <v>0</v>
      </c>
      <c r="F25" s="2781"/>
      <c r="G25" s="2782"/>
      <c r="H25" s="44">
        <f t="shared" si="7"/>
        <v>0</v>
      </c>
      <c r="I25" s="48">
        <f t="shared" si="2"/>
        <v>0</v>
      </c>
      <c r="J25" s="1126"/>
      <c r="K25" s="1125">
        <f t="shared" si="3"/>
        <v>0</v>
      </c>
      <c r="L25" s="1013">
        <f t="shared" si="4"/>
        <v>0</v>
      </c>
      <c r="M25" s="1137">
        <f t="shared" si="8"/>
        <v>0</v>
      </c>
      <c r="N25" s="1655"/>
      <c r="O25" s="1656"/>
      <c r="P25" s="1137">
        <f t="shared" si="9"/>
        <v>0</v>
      </c>
      <c r="R25" s="1013">
        <f t="shared" si="5"/>
        <v>0</v>
      </c>
      <c r="S25" s="1014">
        <f t="shared" si="5"/>
        <v>0</v>
      </c>
    </row>
    <row r="26" spans="1:19">
      <c r="A26" s="1657"/>
      <c r="B26" s="47" t="s">
        <v>1153</v>
      </c>
      <c r="C26" s="55"/>
      <c r="D26" s="45">
        <f t="shared" si="6"/>
        <v>0</v>
      </c>
      <c r="E26" s="53">
        <f t="shared" si="1"/>
        <v>0</v>
      </c>
      <c r="F26" s="2781"/>
      <c r="G26" s="2782"/>
      <c r="H26" s="44">
        <f t="shared" si="7"/>
        <v>0</v>
      </c>
      <c r="I26" s="48">
        <f t="shared" si="2"/>
        <v>0</v>
      </c>
      <c r="J26" s="1126"/>
      <c r="K26" s="1132">
        <f t="shared" si="3"/>
        <v>0</v>
      </c>
      <c r="L26" s="1133">
        <f t="shared" si="4"/>
        <v>0</v>
      </c>
      <c r="M26" s="59">
        <f t="shared" si="8"/>
        <v>0</v>
      </c>
      <c r="N26" s="1658"/>
      <c r="O26" s="1659"/>
      <c r="P26" s="59">
        <f t="shared" si="9"/>
        <v>0</v>
      </c>
      <c r="R26" s="1013">
        <f t="shared" si="5"/>
        <v>0</v>
      </c>
      <c r="S26" s="1014">
        <f t="shared" si="5"/>
        <v>0</v>
      </c>
    </row>
    <row r="27" spans="1:19" ht="15.75" thickBot="1">
      <c r="A27" s="1657"/>
      <c r="B27" s="45"/>
      <c r="C27" s="1660" t="s">
        <v>1154</v>
      </c>
      <c r="D27" s="1127">
        <f>SUM(D19:D26)</f>
        <v>28178.74</v>
      </c>
      <c r="E27" s="1128">
        <f>IF(SUM(E19:E26)='数据-基础表'!BA5,SUM(E19:E26),IF(F27="地上面积有误","面积有误","地下面积有误"))</f>
        <v>98312.17</v>
      </c>
      <c r="F27" s="1127">
        <f>IF(SUM(F19:F26)=E8,SUM(F19:F26),"地上面积有误")</f>
        <v>56128.46</v>
      </c>
      <c r="G27" s="1129">
        <f>SUM(G19:G26)</f>
        <v>42183.71</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28178.74</v>
      </c>
      <c r="S27" s="1013">
        <f>IF(SUM(S19:S26)=$E$3,SUM(S19:S26),SUM(S19:S26)&amp;"误差"&amp;ROUND(SUM(S19:S26)-E3,2))</f>
        <v>98312.17</v>
      </c>
    </row>
    <row r="28" spans="1:19">
      <c r="A28" s="1657"/>
      <c r="B28" s="47" t="s">
        <v>1155</v>
      </c>
      <c r="C28" s="1025"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57"/>
      <c r="B29" s="47" t="s">
        <v>1155</v>
      </c>
      <c r="C29" s="1661"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57"/>
      <c r="B30" s="47"/>
      <c r="C30" s="1662" t="s">
        <v>1154</v>
      </c>
      <c r="D30" s="1127">
        <f>SUM(D28:D29)</f>
        <v>0</v>
      </c>
      <c r="E30" s="1127">
        <f>SUM(E28:E29)</f>
        <v>0</v>
      </c>
      <c r="F30" s="1127">
        <f>SUM(F28:F29)</f>
        <v>0</v>
      </c>
      <c r="G30" s="1129">
        <f>SUM(G28:G29)</f>
        <v>0</v>
      </c>
      <c r="H30" s="2645"/>
      <c r="I30" s="2645"/>
      <c r="J30" s="2645"/>
      <c r="K30" s="2645"/>
      <c r="L30" s="2645"/>
      <c r="M30" s="2645"/>
      <c r="N30" s="2645"/>
      <c r="O30" s="2645"/>
      <c r="P30" s="2645"/>
    </row>
    <row r="31" spans="1:19" ht="15.75" thickBot="1">
      <c r="A31" s="1663"/>
      <c r="B31" s="1664"/>
      <c r="C31" s="822" t="s">
        <v>1158</v>
      </c>
      <c r="D31" s="663">
        <f>D27+D30</f>
        <v>28178.74</v>
      </c>
      <c r="E31" s="663">
        <f>E27+E30</f>
        <v>98312.17</v>
      </c>
      <c r="F31" s="664">
        <f>F27+F30</f>
        <v>56128.46</v>
      </c>
      <c r="G31" s="665">
        <f>G27+G30</f>
        <v>42183.71</v>
      </c>
      <c r="H31" s="2645"/>
      <c r="I31" s="2645"/>
      <c r="J31" s="2645"/>
      <c r="K31" s="2645"/>
      <c r="L31" s="2645"/>
      <c r="M31" s="2645"/>
      <c r="N31" s="2645"/>
      <c r="O31" s="2645"/>
      <c r="P31" s="2645"/>
    </row>
    <row r="32" spans="1:19">
      <c r="A32" s="1630"/>
      <c r="B32" s="1630" t="s">
        <v>1159</v>
      </c>
      <c r="C32" s="1630"/>
      <c r="D32" s="1630"/>
      <c r="E32" s="1040">
        <f>SUMIF(C19:C26,"*住宅*",E19:E26)</f>
        <v>0</v>
      </c>
      <c r="F32" s="1630"/>
      <c r="G32" s="1630"/>
      <c r="H32" s="2645"/>
      <c r="I32" s="2645"/>
      <c r="J32" s="2645"/>
      <c r="K32" s="2645"/>
      <c r="L32" s="2645"/>
      <c r="M32" s="2645"/>
      <c r="N32" s="2645"/>
      <c r="O32" s="2645"/>
      <c r="P32" s="2645"/>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32" customWidth="1"/>
    <col min="2" max="2" width="12" style="1669" customWidth="1"/>
    <col min="3" max="3" width="12.75" style="1669" customWidth="1"/>
    <col min="4" max="4" width="9.125" style="1733" customWidth="1"/>
    <col min="5" max="5" width="15" style="1669" bestFit="1" customWidth="1"/>
    <col min="6" max="10" width="8.875" style="1669" customWidth="1"/>
    <col min="11" max="12" width="12.375" style="1588" customWidth="1"/>
    <col min="13" max="13" width="8.625" style="1669" customWidth="1"/>
    <col min="14" max="14" width="11.875" style="1669" customWidth="1"/>
    <col min="15" max="15" width="8.5" style="1669" customWidth="1"/>
    <col min="16" max="17" width="10.875" style="1669" customWidth="1"/>
    <col min="18" max="19" width="12.5" style="1669" customWidth="1"/>
    <col min="20" max="20" width="12.125" style="1669" customWidth="1"/>
    <col min="21" max="21" width="7.5" style="1669" customWidth="1"/>
    <col min="22" max="22" width="6.375" style="1669" customWidth="1"/>
    <col min="23" max="30" width="6.75" style="1669" customWidth="1"/>
    <col min="31" max="31" width="8" style="1669" customWidth="1"/>
    <col min="32" max="34" width="7.25" style="1669" customWidth="1"/>
    <col min="35" max="39" width="8" style="1669" customWidth="1"/>
    <col min="40" max="40" width="13.75" style="1668"/>
    <col min="41" max="41" width="11.625" style="1668" customWidth="1"/>
    <col min="42" max="42" width="9.75" style="1668" customWidth="1"/>
    <col min="43" max="67" width="13.75" style="1668"/>
    <col min="68" max="16384" width="13.75" style="1669"/>
  </cols>
  <sheetData>
    <row r="1" spans="1:67" ht="19.5" thickBot="1">
      <c r="A1" s="1666" t="s">
        <v>1160</v>
      </c>
      <c r="B1" s="666"/>
      <c r="C1" s="1178"/>
      <c r="D1" s="1667"/>
      <c r="E1" s="1178"/>
      <c r="F1" s="1178"/>
      <c r="G1" s="1178"/>
      <c r="H1" s="1178"/>
      <c r="I1" s="1178"/>
      <c r="J1" s="1178"/>
      <c r="K1" s="149"/>
      <c r="L1" s="149"/>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56"/>
      <c r="AO1" s="2656"/>
      <c r="AP1" s="2656"/>
      <c r="AQ1" s="2656"/>
      <c r="AR1" s="2656"/>
    </row>
    <row r="2" spans="1:67" s="1546" customFormat="1" ht="15.75" thickBot="1">
      <c r="A2" s="1670" t="s">
        <v>1161</v>
      </c>
      <c r="B2" s="1032">
        <f>项目基本情况!D3</f>
        <v>45373</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58"/>
      <c r="AO2" s="2658"/>
      <c r="AP2" s="2658"/>
      <c r="AQ2" s="2658"/>
      <c r="AR2" s="2658"/>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5"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58"/>
      <c r="AO3" s="2658"/>
      <c r="AP3" s="2658"/>
      <c r="AQ3" s="2658"/>
      <c r="AR3" s="2658"/>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44"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58"/>
      <c r="AO4" s="2658"/>
      <c r="AP4" s="2658"/>
      <c r="AQ4" s="2658"/>
      <c r="AR4" s="2658"/>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42">
      <c r="A5" s="1682" t="s">
        <v>1168</v>
      </c>
      <c r="B5" s="1683" t="s">
        <v>1169</v>
      </c>
      <c r="C5" s="1684" t="s">
        <v>1170</v>
      </c>
      <c r="D5" s="1685" t="s">
        <v>1171</v>
      </c>
      <c r="E5" s="1034" t="s">
        <v>1172</v>
      </c>
      <c r="F5" s="1686" t="s">
        <v>1173</v>
      </c>
      <c r="G5" s="1034" t="s">
        <v>1174</v>
      </c>
      <c r="H5" s="1034" t="s">
        <v>1175</v>
      </c>
      <c r="I5" s="1034" t="s">
        <v>1176</v>
      </c>
      <c r="J5" s="1687" t="s">
        <v>1177</v>
      </c>
      <c r="K5" s="1688" t="s">
        <v>1178</v>
      </c>
      <c r="L5" s="1689" t="s">
        <v>1179</v>
      </c>
      <c r="M5" s="1690" t="s">
        <v>1180</v>
      </c>
      <c r="N5" s="1691" t="s">
        <v>3386</v>
      </c>
      <c r="O5" s="1689" t="s">
        <v>1181</v>
      </c>
      <c r="P5" s="1692" t="s">
        <v>1182</v>
      </c>
      <c r="Q5" s="61" t="s">
        <v>1183</v>
      </c>
      <c r="R5" s="1693" t="s">
        <v>1184</v>
      </c>
      <c r="S5" s="1694" t="s">
        <v>1185</v>
      </c>
      <c r="T5" s="1695" t="s">
        <v>1186</v>
      </c>
      <c r="U5" s="1033" t="s">
        <v>1187</v>
      </c>
      <c r="V5" s="1034" t="s">
        <v>1188</v>
      </c>
      <c r="W5" s="1034" t="s">
        <v>1189</v>
      </c>
      <c r="X5" s="63"/>
      <c r="Y5" s="62" t="s">
        <v>1190</v>
      </c>
      <c r="Z5" s="1696" t="s">
        <v>1187</v>
      </c>
      <c r="AA5" s="1034" t="s">
        <v>1188</v>
      </c>
      <c r="AB5" s="1034" t="s">
        <v>1189</v>
      </c>
      <c r="AC5" s="63"/>
      <c r="AD5" s="63" t="s">
        <v>1190</v>
      </c>
      <c r="AE5" s="1033" t="s">
        <v>1191</v>
      </c>
      <c r="AF5" s="1034" t="s">
        <v>1192</v>
      </c>
      <c r="AG5" s="62" t="s">
        <v>1193</v>
      </c>
      <c r="AH5" s="1033" t="s">
        <v>1194</v>
      </c>
      <c r="AI5" s="1696" t="s">
        <v>1195</v>
      </c>
      <c r="AJ5" s="1696" t="s">
        <v>1196</v>
      </c>
      <c r="AK5" s="1034" t="s">
        <v>1197</v>
      </c>
      <c r="AL5" s="1034" t="s">
        <v>1198</v>
      </c>
      <c r="AM5" s="62" t="s">
        <v>1199</v>
      </c>
      <c r="AN5" s="1697" t="s">
        <v>1200</v>
      </c>
      <c r="AO5" s="1549" t="s">
        <v>1201</v>
      </c>
      <c r="AP5" s="1015"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4.25">
      <c r="A6" s="1699" t="str">
        <f>'数据-汇总表'!C19</f>
        <v>酒店</v>
      </c>
      <c r="B6" s="1700" t="str">
        <f>IF(A6=0,"","经营性")</f>
        <v>经营性</v>
      </c>
      <c r="C6" s="1701" t="s">
        <v>673</v>
      </c>
      <c r="D6" s="845">
        <f>SUMIF(项目基本情况!C$12:I$12,C6,项目基本情况!C$14:I$14)</f>
        <v>40</v>
      </c>
      <c r="E6" s="844">
        <f>IF(B6="","",SUMIF(项目基本情况!C$12:I$12,C6,项目基本情况!C$13:I$13))</f>
        <v>51810</v>
      </c>
      <c r="F6" s="64">
        <f>SUMIF(项目基本情况!C$12:I$12,C6,项目基本情况!C$15:I$15)</f>
        <v>17.63</v>
      </c>
      <c r="G6" s="65">
        <f>IF(ISERROR(ROUND(POWER(1+H6,D6-F6)*(POWER(1+H6,F6)-1)/(POWER(1+H6,D6)-1),3)),0,ROUND(POWER(1+H6,D6-F6)*(POWER(1+H6,F6)-1)/(POWER(1+H6,D6)-1),3))</f>
        <v>0.65200000000000002</v>
      </c>
      <c r="H6" s="3426">
        <v>4.4999999999999998E-2</v>
      </c>
      <c r="I6" s="3426">
        <v>5.5E-2</v>
      </c>
      <c r="J6" s="3427">
        <v>7.0000000000000007E-2</v>
      </c>
      <c r="K6" s="1017">
        <f>SUMIF('数据-汇总表'!C$19:C$33,A6,'数据-汇总表'!E$19:E$33)</f>
        <v>98312.17</v>
      </c>
      <c r="L6" s="3455">
        <v>8000</v>
      </c>
      <c r="M6" s="67">
        <f t="shared" ref="M6:M14" si="0">ROUND(K6*L6/10000,0)</f>
        <v>78650</v>
      </c>
      <c r="N6" s="718">
        <f>取值过程!H29</f>
        <v>0.85</v>
      </c>
      <c r="O6" s="67" t="str">
        <f>IF($N$5="成新度","——",ROUND(M6*N6,0))</f>
        <v>——</v>
      </c>
      <c r="P6" s="68" t="str">
        <f>IF($N$5="成新度","——",M6-O6)</f>
        <v>——</v>
      </c>
      <c r="Q6" s="721">
        <v>0.2</v>
      </c>
      <c r="R6" s="69">
        <f ca="1">SUMIF('数据-汇总表'!C$19:C$33,A6,'数据-汇总表'!R$19:R$27)</f>
        <v>28178.74</v>
      </c>
      <c r="S6" s="51">
        <f>IF('数据-汇总表'!$I$17="按面积比例",SUMIF('数据-汇总表'!C$19:C$33,A6,'数据-汇总表'!K$19:K$33),SUMIF('数据-汇总表'!C$19:C$33,A6,'数据-汇总表'!N$19:N$33))</f>
        <v>0</v>
      </c>
      <c r="T6" s="1159">
        <f>ROUND($L$14*S6/10000,0)</f>
        <v>0</v>
      </c>
      <c r="U6" s="3405">
        <v>7.9</v>
      </c>
      <c r="V6" s="3452">
        <v>0.03</v>
      </c>
      <c r="W6" s="70">
        <v>0.1</v>
      </c>
      <c r="X6" s="1027"/>
      <c r="Y6" s="71">
        <f>N6</f>
        <v>0.85</v>
      </c>
      <c r="Z6" s="72"/>
      <c r="AA6" s="66"/>
      <c r="AB6" s="66"/>
      <c r="AC6" s="1027"/>
      <c r="AD6" s="73"/>
      <c r="AE6" s="1028">
        <f ca="1">IF(AN6="",0,SUMIF(INDIRECT("'"&amp;AN6&amp;"'"&amp;"!E:E"),$AE$5,INDIRECT("'"&amp;AN6&amp;"'"&amp;"!F:F")))</f>
        <v>17.63</v>
      </c>
      <c r="AF6" s="1335"/>
      <c r="AG6" s="128">
        <f>IF(AF6="",0,AE6-AF6)</f>
        <v>0</v>
      </c>
      <c r="AH6" s="74"/>
      <c r="AI6" s="76">
        <v>365</v>
      </c>
      <c r="AJ6" s="77"/>
      <c r="AK6" s="3454">
        <v>3.0000000000000001E-3</v>
      </c>
      <c r="AL6" s="79">
        <v>1E-3</v>
      </c>
      <c r="AM6" s="3453">
        <v>0.01</v>
      </c>
      <c r="AN6" s="1702" t="s">
        <v>3387</v>
      </c>
      <c r="AO6" s="52">
        <f ca="1">SUMIF(INDIRECT("'"&amp;AN6&amp;"'"&amp;"!A:A"),"总价",INDIRECT("'"&amp;AN6&amp;"'"&amp;"!B:B"))</f>
        <v>296311</v>
      </c>
      <c r="AP6" s="1703">
        <f>IF(C6="住宅",K6*L6,0)</f>
        <v>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4.25">
      <c r="A7" s="1699">
        <f>'数据-汇总表'!C20</f>
        <v>0</v>
      </c>
      <c r="B7" s="1700" t="str">
        <f t="shared" ref="B7:B13" si="1">IF(A7=0,"","经营性")</f>
        <v/>
      </c>
      <c r="C7" s="1701"/>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5"/>
      <c r="V7" s="70"/>
      <c r="W7" s="70"/>
      <c r="X7" s="1027"/>
      <c r="Y7" s="71"/>
      <c r="Z7" s="72"/>
      <c r="AA7" s="66"/>
      <c r="AB7" s="66"/>
      <c r="AC7" s="1027"/>
      <c r="AD7" s="73"/>
      <c r="AE7" s="1028">
        <f t="shared" ref="AE7:AE13" ca="1" si="6">IF(AN7="",0,SUMIF(INDIRECT("'"&amp;AN7&amp;"'"&amp;"!E:E"),$AE$5,INDIRECT("'"&amp;AN7&amp;"'"&amp;"!F:F")))</f>
        <v>0</v>
      </c>
      <c r="AF7" s="1335"/>
      <c r="AG7" s="128">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4.25">
      <c r="A8" s="1699">
        <f>'数据-汇总表'!C21</f>
        <v>0</v>
      </c>
      <c r="B8" s="1700" t="str">
        <f t="shared" si="1"/>
        <v/>
      </c>
      <c r="C8" s="1701"/>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6"/>
      <c r="V8" s="722"/>
      <c r="W8" s="722"/>
      <c r="X8" s="1027"/>
      <c r="Y8" s="71"/>
      <c r="Z8" s="72"/>
      <c r="AA8" s="66"/>
      <c r="AB8" s="66"/>
      <c r="AC8" s="1027"/>
      <c r="AD8" s="73"/>
      <c r="AE8" s="1028">
        <f t="shared" ca="1" si="6"/>
        <v>0</v>
      </c>
      <c r="AF8" s="1335"/>
      <c r="AG8" s="128">
        <f t="shared" si="7"/>
        <v>0</v>
      </c>
      <c r="AH8" s="723"/>
      <c r="AI8" s="76"/>
      <c r="AJ8" s="77"/>
      <c r="AK8" s="724"/>
      <c r="AL8" s="725"/>
      <c r="AM8" s="726"/>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4.25">
      <c r="A9" s="1699">
        <f>'数据-汇总表'!C22</f>
        <v>0</v>
      </c>
      <c r="B9" s="1700" t="str">
        <f t="shared" si="1"/>
        <v/>
      </c>
      <c r="C9" s="1701"/>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5"/>
      <c r="V9" s="70"/>
      <c r="W9" s="70"/>
      <c r="X9" s="1027"/>
      <c r="Y9" s="71"/>
      <c r="Z9" s="72"/>
      <c r="AA9" s="66"/>
      <c r="AB9" s="66"/>
      <c r="AC9" s="1027"/>
      <c r="AD9" s="73"/>
      <c r="AE9" s="1028">
        <f t="shared" ca="1" si="6"/>
        <v>0</v>
      </c>
      <c r="AF9" s="1335"/>
      <c r="AG9" s="128">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4.25">
      <c r="A10" s="1699">
        <f>'数据-汇总表'!C23</f>
        <v>0</v>
      </c>
      <c r="B10" s="1700" t="str">
        <f t="shared" si="1"/>
        <v/>
      </c>
      <c r="C10" s="1701"/>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5"/>
      <c r="V10" s="70"/>
      <c r="W10" s="70"/>
      <c r="X10" s="1027"/>
      <c r="Y10" s="71"/>
      <c r="Z10" s="72"/>
      <c r="AA10" s="66"/>
      <c r="AB10" s="66"/>
      <c r="AC10" s="1027"/>
      <c r="AD10" s="73"/>
      <c r="AE10" s="1028">
        <f t="shared" ca="1" si="6"/>
        <v>0</v>
      </c>
      <c r="AF10" s="1335"/>
      <c r="AG10" s="128">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4.25">
      <c r="A11" s="1699">
        <f>'数据-汇总表'!C24</f>
        <v>0</v>
      </c>
      <c r="B11" s="1700" t="str">
        <f t="shared" si="1"/>
        <v/>
      </c>
      <c r="C11" s="1701"/>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5"/>
      <c r="V11" s="66"/>
      <c r="W11" s="66"/>
      <c r="X11" s="1027"/>
      <c r="Y11" s="71"/>
      <c r="Z11" s="84"/>
      <c r="AA11" s="66"/>
      <c r="AB11" s="66"/>
      <c r="AC11" s="1027"/>
      <c r="AD11" s="73"/>
      <c r="AE11" s="1028">
        <f t="shared" ca="1" si="6"/>
        <v>0</v>
      </c>
      <c r="AF11" s="1335"/>
      <c r="AG11" s="128">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4.25">
      <c r="A12" s="1699">
        <f>'数据-汇总表'!C25</f>
        <v>0</v>
      </c>
      <c r="B12" s="1700" t="str">
        <f t="shared" si="1"/>
        <v/>
      </c>
      <c r="C12" s="1701"/>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5"/>
      <c r="V12" s="66"/>
      <c r="W12" s="66"/>
      <c r="X12" s="1027"/>
      <c r="Y12" s="71"/>
      <c r="Z12" s="84"/>
      <c r="AA12" s="66"/>
      <c r="AB12" s="66"/>
      <c r="AC12" s="1027"/>
      <c r="AD12" s="73"/>
      <c r="AE12" s="1028">
        <f t="shared" ca="1" si="6"/>
        <v>0</v>
      </c>
      <c r="AF12" s="1335"/>
      <c r="AG12" s="128">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4.25">
      <c r="A13" s="1699">
        <f>'数据-汇总表'!C26</f>
        <v>0</v>
      </c>
      <c r="B13" s="1700" t="str">
        <f t="shared" si="1"/>
        <v/>
      </c>
      <c r="C13" s="1701"/>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7"/>
      <c r="V13" s="70"/>
      <c r="W13" s="70"/>
      <c r="X13" s="1027"/>
      <c r="Y13" s="71"/>
      <c r="Z13" s="72"/>
      <c r="AA13" s="66"/>
      <c r="AB13" s="66"/>
      <c r="AC13" s="1027"/>
      <c r="AD13" s="73"/>
      <c r="AE13" s="1028">
        <f t="shared" ca="1" si="6"/>
        <v>0</v>
      </c>
      <c r="AF13" s="1335"/>
      <c r="AG13" s="128">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25">
      <c r="A14" s="1704" t="s">
        <v>1205</v>
      </c>
      <c r="B14" s="1700" t="s">
        <v>1206</v>
      </c>
      <c r="C14" s="1705"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4"/>
      <c r="AJ14" s="691"/>
      <c r="AK14" s="1029"/>
      <c r="AL14" s="1030"/>
      <c r="AM14" s="1031"/>
      <c r="AN14" s="2656"/>
      <c r="AO14" s="2658"/>
      <c r="AP14" s="2658"/>
      <c r="AQ14" s="2658"/>
      <c r="AR14" s="2658"/>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7">
      <c r="A15" s="1704" t="s">
        <v>1207</v>
      </c>
      <c r="B15" s="1700" t="s">
        <v>1206</v>
      </c>
      <c r="C15" s="1705"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4"/>
      <c r="AJ15" s="691"/>
      <c r="AK15" s="1029"/>
      <c r="AL15" s="1030"/>
      <c r="AM15" s="1031"/>
      <c r="AN15" s="2656"/>
      <c r="AO15" s="2658"/>
      <c r="AP15" s="2658"/>
      <c r="AQ15" s="2658"/>
      <c r="AR15" s="2658"/>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75" thickBot="1">
      <c r="A16" s="1706" t="s">
        <v>1209</v>
      </c>
      <c r="B16" s="88"/>
      <c r="C16" s="820"/>
      <c r="D16" s="1707"/>
      <c r="E16" s="88"/>
      <c r="F16" s="88"/>
      <c r="G16" s="89">
        <f>ROUND(SUMPRODUCT(G6:G13,K6:K13)/SUMPRODUCT((G6:G13&gt;0)*(K6:K13)),3)</f>
        <v>0.65200000000000002</v>
      </c>
      <c r="H16" s="90">
        <f>ROUND(SUMPRODUCT(H6:H13,K6:K13)/SUMPRODUCT((H6:H13&gt;0)*(K6:K13)),3)</f>
        <v>4.4999999999999998E-2</v>
      </c>
      <c r="I16" s="91"/>
      <c r="J16" s="91"/>
      <c r="K16" s="92">
        <f>SUM(K6:K15)</f>
        <v>98312.17</v>
      </c>
      <c r="L16" s="93">
        <f>ROUND(M16*10000/SUM(K6:K14),0)</f>
        <v>8000</v>
      </c>
      <c r="M16" s="93">
        <f>SUM(M6:M14)</f>
        <v>78650</v>
      </c>
      <c r="N16" s="94">
        <f>ROUND(SUMPRODUCT(M6:M14,N6:N14)/M16,3)</f>
        <v>0.85</v>
      </c>
      <c r="O16" s="93">
        <f>SUM(O6:O14)</f>
        <v>0</v>
      </c>
      <c r="P16" s="93">
        <f>SUM(P6:P14)</f>
        <v>0</v>
      </c>
      <c r="Q16" s="95">
        <f>ROUND(SUMPRODUCT(Q6:Q13,K6:K13)/SUMPRODUCT((Q6:Q13&gt;0)*(K6:K13)),2)</f>
        <v>0.2</v>
      </c>
      <c r="R16" s="1021">
        <f ca="1">SUM(R6:R13)</f>
        <v>28178.74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5" thickBot="1">
      <c r="A17" s="1708"/>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1210</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09" t="s">
        <v>1211</v>
      </c>
      <c r="B19" s="3479">
        <v>0</v>
      </c>
      <c r="C19" s="2783" t="s">
        <v>2300</v>
      </c>
      <c r="D19" s="2661"/>
      <c r="E19" s="2658"/>
      <c r="F19" s="2658"/>
      <c r="G19" s="2658"/>
      <c r="H19" s="2658"/>
      <c r="I19" s="2657"/>
      <c r="J19" s="3428"/>
      <c r="K19" s="3429"/>
      <c r="L19" s="3429"/>
      <c r="M19" s="2656"/>
      <c r="N19" s="3430"/>
      <c r="O19" s="2656"/>
      <c r="P19" s="3439"/>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10" t="s">
        <v>1212</v>
      </c>
      <c r="B20" s="3480">
        <v>3</v>
      </c>
      <c r="C20" s="2784" t="s">
        <v>2298</v>
      </c>
      <c r="D20" s="2661"/>
      <c r="E20" s="2658"/>
      <c r="F20" s="2658"/>
      <c r="G20" s="2658"/>
      <c r="H20" s="2658"/>
      <c r="I20" s="3431"/>
      <c r="J20" s="3432"/>
      <c r="K20" s="3433"/>
      <c r="L20" s="3433"/>
      <c r="M20" s="2656"/>
      <c r="N20" s="3434"/>
      <c r="O20" s="2656"/>
      <c r="P20" s="3439"/>
      <c r="Q20" s="3440"/>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11" t="s">
        <v>1213</v>
      </c>
      <c r="B21" s="3480">
        <f>B20</f>
        <v>3</v>
      </c>
      <c r="C21" s="2658"/>
      <c r="D21" s="2661"/>
      <c r="E21" s="2658"/>
      <c r="F21" s="2658"/>
      <c r="G21" s="2658"/>
      <c r="H21" s="2658"/>
      <c r="I21" s="3435"/>
      <c r="J21" s="3438"/>
      <c r="K21" s="3436"/>
      <c r="L21" s="3436"/>
      <c r="M21" s="2656"/>
      <c r="N21" s="2656"/>
      <c r="O21" s="2656"/>
      <c r="P21" s="3439"/>
      <c r="Q21" s="3434"/>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10" t="s">
        <v>1214</v>
      </c>
      <c r="B22" s="103">
        <f>B19+B20</f>
        <v>3</v>
      </c>
      <c r="C22" s="2658"/>
      <c r="D22" s="2661"/>
      <c r="E22" s="2658"/>
      <c r="F22" s="2658"/>
      <c r="G22" s="2658"/>
      <c r="H22" s="2658"/>
      <c r="I22" s="3435"/>
      <c r="J22" s="3436"/>
      <c r="K22" s="3436"/>
      <c r="L22" s="3436"/>
      <c r="M22" s="2656"/>
      <c r="N22" s="2656"/>
      <c r="O22" s="2656"/>
      <c r="P22" s="3439"/>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11" t="s">
        <v>1215</v>
      </c>
      <c r="B23" s="103">
        <f>B19+B21</f>
        <v>3</v>
      </c>
      <c r="C23" s="2658"/>
      <c r="D23" s="2661"/>
      <c r="E23" s="2658"/>
      <c r="F23" s="2658"/>
      <c r="G23" s="2658"/>
      <c r="H23" s="2658"/>
      <c r="I23" s="3431"/>
      <c r="J23" s="3432"/>
      <c r="K23" s="3433"/>
      <c r="L23" s="3433"/>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2" t="s">
        <v>1216</v>
      </c>
      <c r="B24" s="104">
        <f>B20-B21</f>
        <v>0</v>
      </c>
      <c r="C24" s="2658"/>
      <c r="D24" s="2661"/>
      <c r="E24" s="2658"/>
      <c r="F24" s="2658"/>
      <c r="G24" s="2658"/>
      <c r="H24" s="2658"/>
      <c r="I24" s="3431"/>
      <c r="J24" s="3432"/>
      <c r="K24" s="3433"/>
      <c r="L24" s="3433"/>
      <c r="M24" s="2656"/>
      <c r="N24" s="3434"/>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4"/>
      <c r="B25" s="1674"/>
      <c r="C25" s="2658"/>
      <c r="D25" s="2661"/>
      <c r="E25" s="2658"/>
      <c r="F25" s="2658"/>
      <c r="G25" s="2658"/>
      <c r="H25" s="2658"/>
      <c r="I25" s="3431"/>
      <c r="J25" s="3432"/>
      <c r="K25" s="3433"/>
      <c r="L25" s="3433"/>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0" t="s">
        <v>1217</v>
      </c>
      <c r="B26" s="1713" t="s">
        <v>1218</v>
      </c>
      <c r="C26" s="2662" t="s">
        <v>1219</v>
      </c>
      <c r="D26" s="2661"/>
      <c r="E26" s="2658"/>
      <c r="F26" s="2658"/>
      <c r="G26" s="2658"/>
      <c r="H26" s="2658"/>
      <c r="I26" s="3428"/>
      <c r="J26" s="2657"/>
      <c r="K26" s="3437"/>
      <c r="L26" s="3437"/>
      <c r="M26" s="2656"/>
      <c r="N26" s="3431"/>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5" customFormat="1" ht="27.75">
      <c r="A27" s="1714" t="s">
        <v>1220</v>
      </c>
      <c r="B27" s="3481">
        <v>160</v>
      </c>
      <c r="C27" s="2785" t="s">
        <v>2302</v>
      </c>
      <c r="D27" s="2664"/>
      <c r="E27" s="2647"/>
      <c r="F27" s="2647"/>
      <c r="G27" s="2658"/>
      <c r="H27" s="2658"/>
      <c r="I27" s="2658"/>
      <c r="J27" s="2658"/>
      <c r="K27" s="2658"/>
      <c r="L27" s="2658"/>
      <c r="M27" s="2658"/>
      <c r="N27" s="2658"/>
      <c r="O27" s="2658"/>
      <c r="P27" s="2658"/>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5" customFormat="1" ht="27.75">
      <c r="A28" s="1716" t="s">
        <v>1221</v>
      </c>
      <c r="B28" s="3444">
        <v>200</v>
      </c>
      <c r="C28" s="2665"/>
      <c r="D28" s="2664"/>
      <c r="E28" s="2647"/>
      <c r="F28" s="2647"/>
      <c r="G28" s="2658"/>
      <c r="H28" s="2658"/>
      <c r="I28" s="2658"/>
      <c r="J28" s="2658"/>
      <c r="K28" s="2658"/>
      <c r="L28" s="2658"/>
      <c r="M28" s="2658"/>
      <c r="N28" s="2658"/>
      <c r="O28" s="2658"/>
      <c r="P28" s="2658"/>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5" customFormat="1" ht="28.5" thickBot="1">
      <c r="A29" s="1717" t="s">
        <v>1222</v>
      </c>
      <c r="B29" s="3482">
        <f>[7]成本法!C10</f>
        <v>1966</v>
      </c>
      <c r="C29" s="2786" t="s">
        <v>2289</v>
      </c>
      <c r="D29" s="2664"/>
      <c r="E29" s="2647"/>
      <c r="F29" s="2647"/>
      <c r="G29" s="2658"/>
      <c r="H29" s="2658"/>
      <c r="I29" s="2658"/>
      <c r="J29" s="2658"/>
      <c r="K29" s="2658"/>
      <c r="L29" s="2658"/>
      <c r="M29" s="2658"/>
      <c r="N29" s="2658"/>
      <c r="O29" s="2658"/>
      <c r="P29" s="2658"/>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5" customFormat="1" ht="27">
      <c r="A30" s="1718" t="s">
        <v>1223</v>
      </c>
      <c r="B30" s="3441">
        <v>200</v>
      </c>
      <c r="C30" s="2665"/>
      <c r="D30" s="2664"/>
      <c r="E30" s="2647"/>
      <c r="F30" s="2647"/>
      <c r="G30" s="2658"/>
      <c r="H30" s="2658"/>
      <c r="I30" s="2658"/>
      <c r="J30" s="2658"/>
      <c r="K30" s="2658"/>
      <c r="L30" s="2658"/>
      <c r="M30" s="2658"/>
      <c r="N30" s="2658"/>
      <c r="O30" s="2658"/>
      <c r="P30" s="2658"/>
      <c r="Q30" s="781"/>
      <c r="R30" s="781"/>
      <c r="S30" s="781"/>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5" customFormat="1" ht="27">
      <c r="A31" s="1716" t="s">
        <v>1224</v>
      </c>
      <c r="B31" s="107">
        <f>B30-B32</f>
        <v>200</v>
      </c>
      <c r="C31" s="2663"/>
      <c r="D31" s="2664"/>
      <c r="E31" s="2647"/>
      <c r="F31" s="2647"/>
      <c r="G31" s="2658"/>
      <c r="H31" s="2658"/>
      <c r="I31" s="2658"/>
      <c r="J31" s="2658"/>
      <c r="K31" s="2658"/>
      <c r="L31" s="2658"/>
      <c r="M31" s="2658"/>
      <c r="N31" s="2658"/>
      <c r="O31" s="2658"/>
      <c r="P31" s="2658"/>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5" customFormat="1" ht="27.75" thickBot="1">
      <c r="A32" s="1719" t="s">
        <v>1225</v>
      </c>
      <c r="B32" s="3442">
        <v>0</v>
      </c>
      <c r="C32" s="2665"/>
      <c r="D32" s="2661"/>
      <c r="E32" s="2658"/>
      <c r="F32" s="2658"/>
      <c r="G32" s="2658"/>
      <c r="H32" s="2658"/>
      <c r="I32" s="2658"/>
      <c r="J32" s="2658"/>
      <c r="K32" s="2658"/>
      <c r="L32" s="2658"/>
      <c r="M32" s="2658"/>
      <c r="N32" s="2658"/>
      <c r="O32" s="2658"/>
      <c r="P32" s="2658"/>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5" customFormat="1" ht="14.25">
      <c r="A33" s="1714" t="s">
        <v>1226</v>
      </c>
      <c r="B33" s="3443">
        <v>0.05</v>
      </c>
      <c r="C33" s="2787" t="s">
        <v>2290</v>
      </c>
      <c r="D33" s="2661"/>
      <c r="E33" s="2658"/>
      <c r="F33" s="2658"/>
      <c r="G33" s="2658"/>
      <c r="H33" s="2658"/>
      <c r="I33" s="2658"/>
      <c r="J33" s="2658"/>
      <c r="K33" s="2658"/>
      <c r="L33" s="2658"/>
      <c r="M33" s="2658"/>
      <c r="N33" s="2658"/>
      <c r="O33" s="2658"/>
      <c r="P33" s="2658"/>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5" customFormat="1" ht="14.25">
      <c r="A34" s="1716" t="s">
        <v>1227</v>
      </c>
      <c r="B34" s="726">
        <v>0</v>
      </c>
      <c r="C34" s="2787" t="s">
        <v>2291</v>
      </c>
      <c r="D34" s="2669" t="s">
        <v>2299</v>
      </c>
      <c r="E34" s="2667"/>
      <c r="F34" s="2658"/>
      <c r="G34" s="2658"/>
      <c r="H34" s="2658"/>
      <c r="I34" s="2658"/>
      <c r="J34" s="2658"/>
      <c r="K34" s="2658"/>
      <c r="L34" s="2658"/>
      <c r="M34" s="2658"/>
      <c r="N34" s="2658"/>
      <c r="O34" s="2658"/>
      <c r="P34" s="2658"/>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5" customFormat="1" ht="14.25">
      <c r="A35" s="1716" t="s">
        <v>1228</v>
      </c>
      <c r="B35" s="3444">
        <f>B30</f>
        <v>200</v>
      </c>
      <c r="C35" s="2787" t="s">
        <v>2292</v>
      </c>
      <c r="D35" s="2664"/>
      <c r="E35" s="2647"/>
      <c r="F35" s="2647"/>
      <c r="G35" s="2658"/>
      <c r="H35" s="2658"/>
      <c r="I35" s="2658"/>
      <c r="J35" s="2658"/>
      <c r="K35" s="2658"/>
      <c r="L35" s="2658"/>
      <c r="M35" s="2658"/>
      <c r="N35" s="2658"/>
      <c r="O35" s="2658"/>
      <c r="P35" s="2658"/>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7" t="s">
        <v>1229</v>
      </c>
      <c r="B36" s="3445">
        <v>1.4999999999999999E-2</v>
      </c>
      <c r="C36" s="2787" t="s">
        <v>2293</v>
      </c>
      <c r="D36" s="2661"/>
      <c r="E36" s="2658"/>
      <c r="F36" s="2658"/>
      <c r="G36" s="2658"/>
      <c r="H36" s="2658"/>
      <c r="I36" s="2658"/>
      <c r="J36" s="2658"/>
      <c r="K36" s="2658"/>
      <c r="L36" s="2658"/>
      <c r="M36" s="2658"/>
      <c r="N36" s="2658"/>
      <c r="O36" s="2658"/>
      <c r="P36" s="2658"/>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18" t="s">
        <v>1230</v>
      </c>
      <c r="B37" s="3483">
        <v>0.02</v>
      </c>
      <c r="C37" s="2787" t="s">
        <v>2294</v>
      </c>
      <c r="D37" s="2661"/>
      <c r="E37" s="2658"/>
      <c r="F37" s="2658"/>
      <c r="G37" s="2658"/>
      <c r="H37" s="2658"/>
      <c r="I37" s="2658"/>
      <c r="J37" s="2658"/>
      <c r="K37" s="2658"/>
      <c r="L37" s="2658"/>
      <c r="M37" s="2658"/>
      <c r="N37" s="2658"/>
      <c r="O37" s="2658"/>
      <c r="P37" s="2658"/>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6" t="s">
        <v>1231</v>
      </c>
      <c r="B38" s="726">
        <v>0.02</v>
      </c>
      <c r="C38" s="2787" t="s">
        <v>2294</v>
      </c>
      <c r="D38" s="2661"/>
      <c r="E38" s="2658"/>
      <c r="F38" s="2658"/>
      <c r="G38" s="2658"/>
      <c r="H38" s="2658"/>
      <c r="I38" s="2658"/>
      <c r="J38" s="2658"/>
      <c r="K38" s="2658"/>
      <c r="L38" s="2658"/>
      <c r="M38" s="2658"/>
      <c r="N38" s="2658"/>
      <c r="O38" s="2658"/>
      <c r="P38" s="2658"/>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19" t="s">
        <v>1232</v>
      </c>
      <c r="B39" s="307">
        <f ca="1">存贷款利率!I1</f>
        <v>1.4999999999999999E-2</v>
      </c>
      <c r="C39" s="2666"/>
      <c r="D39" s="2661"/>
      <c r="E39" s="2658"/>
      <c r="F39" s="2658"/>
      <c r="G39" s="2658"/>
      <c r="H39" s="2658"/>
      <c r="I39" s="2658"/>
      <c r="J39" s="2658"/>
      <c r="K39" s="2658"/>
      <c r="L39" s="2658"/>
      <c r="M39" s="2658"/>
      <c r="N39" s="2658"/>
      <c r="O39" s="2658"/>
      <c r="P39" s="2658"/>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799" t="s">
        <v>2309</v>
      </c>
      <c r="B40" s="1065">
        <f ca="1">IF(A40="利息：取LPR",存贷款利率!G1,存贷款利率!G1+C40)</f>
        <v>3.4500000000000003E-2</v>
      </c>
      <c r="C40" s="2798">
        <v>5.0000000000000001E-3</v>
      </c>
      <c r="D40" s="2656"/>
      <c r="E40" s="2661"/>
      <c r="F40" s="2658"/>
      <c r="G40" s="2658"/>
      <c r="H40" s="2658"/>
      <c r="I40" s="2657"/>
      <c r="J40" s="3428"/>
      <c r="K40" s="3429"/>
      <c r="L40" s="3429"/>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4" t="s">
        <v>1233</v>
      </c>
      <c r="B41" s="108">
        <f>B42+B43</f>
        <v>5.6000000000000001E-2</v>
      </c>
      <c r="C41" s="2663"/>
      <c r="D41" s="2656"/>
      <c r="E41" s="2661"/>
      <c r="F41" s="2658"/>
      <c r="G41" s="2658"/>
      <c r="H41" s="2658"/>
      <c r="I41" s="3431"/>
      <c r="J41" s="3432"/>
      <c r="K41" s="3433"/>
      <c r="L41" s="3433"/>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0" t="s">
        <v>1234</v>
      </c>
      <c r="B42" s="109">
        <v>0.05</v>
      </c>
      <c r="C42" s="2668">
        <f>IF(B2&lt;DATE(2016,5,1),0,B42)</f>
        <v>0.05</v>
      </c>
      <c r="D42" s="2661"/>
      <c r="E42" s="2658"/>
      <c r="F42" s="2658"/>
      <c r="G42" s="2658"/>
      <c r="H42" s="2658"/>
      <c r="I42" s="3435"/>
      <c r="J42" s="3438"/>
      <c r="K42" s="3436"/>
      <c r="L42" s="3436"/>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0" t="s">
        <v>1235</v>
      </c>
      <c r="B43" s="110">
        <f>B42*(B44+B45+B46)+B47</f>
        <v>6.000000000000001E-3</v>
      </c>
      <c r="C43" s="2663"/>
      <c r="D43" s="2661"/>
      <c r="E43" s="2658"/>
      <c r="F43" s="2658"/>
      <c r="G43" s="2658"/>
      <c r="H43" s="2658"/>
      <c r="I43" s="3435"/>
      <c r="J43" s="3436"/>
      <c r="K43" s="3436"/>
      <c r="L43" s="3436"/>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1" t="s">
        <v>1236</v>
      </c>
      <c r="B44" s="111">
        <v>7.0000000000000007E-2</v>
      </c>
      <c r="C44" s="2787" t="s">
        <v>2303</v>
      </c>
      <c r="D44" s="2661"/>
      <c r="E44" s="2658"/>
      <c r="F44" s="2658"/>
      <c r="G44" s="2658"/>
      <c r="H44" s="2658"/>
      <c r="I44" s="3431"/>
      <c r="J44" s="3432"/>
      <c r="K44" s="3433"/>
      <c r="L44" s="3433"/>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1" t="s">
        <v>1237</v>
      </c>
      <c r="B45" s="3446">
        <v>0.03</v>
      </c>
      <c r="C45" s="2786" t="s">
        <v>2295</v>
      </c>
      <c r="D45" s="2661"/>
      <c r="E45" s="2658"/>
      <c r="F45" s="2658"/>
      <c r="G45" s="2658"/>
      <c r="H45" s="2658"/>
      <c r="I45" s="3431"/>
      <c r="J45" s="3432"/>
      <c r="K45" s="3433"/>
      <c r="L45" s="3433"/>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1" t="s">
        <v>1238</v>
      </c>
      <c r="B46" s="3446">
        <v>0.02</v>
      </c>
      <c r="C46" s="2786" t="s">
        <v>2296</v>
      </c>
      <c r="D46" s="2661"/>
      <c r="E46" s="2658"/>
      <c r="F46" s="2658"/>
      <c r="G46" s="2658"/>
      <c r="H46" s="2658"/>
      <c r="I46" s="3431"/>
      <c r="J46" s="3432"/>
      <c r="K46" s="3433"/>
      <c r="L46" s="3433"/>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2" t="s">
        <v>1239</v>
      </c>
      <c r="B47" s="3447"/>
      <c r="C47" s="2789" t="s">
        <v>2304</v>
      </c>
      <c r="D47" s="2661"/>
      <c r="E47" s="2658"/>
      <c r="F47" s="2658"/>
      <c r="G47" s="2658"/>
      <c r="H47" s="2658"/>
      <c r="I47" s="3428"/>
      <c r="J47" s="2657"/>
      <c r="K47" s="3437"/>
      <c r="L47" s="343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3" t="s">
        <v>1240</v>
      </c>
      <c r="B48" s="3448">
        <v>0.03</v>
      </c>
      <c r="C48" s="2786" t="s">
        <v>2295</v>
      </c>
      <c r="D48" s="2661"/>
      <c r="E48" s="2658"/>
      <c r="F48" s="2658"/>
      <c r="G48" s="2658"/>
      <c r="H48" s="2658"/>
      <c r="I48" s="3428"/>
      <c r="J48" s="3450"/>
      <c r="K48" s="2656"/>
      <c r="L48" s="2656"/>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19" t="s">
        <v>1241</v>
      </c>
      <c r="B49" s="3446">
        <v>5.0000000000000001E-4</v>
      </c>
      <c r="C49" s="2786" t="s">
        <v>2297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4" t="s">
        <v>1242</v>
      </c>
      <c r="B50" s="112">
        <v>1.2E-2</v>
      </c>
      <c r="C50" s="2647"/>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17" t="s">
        <v>1243</v>
      </c>
      <c r="B51" s="113">
        <v>0.12</v>
      </c>
      <c r="C51" s="2647"/>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4" t="s">
        <v>1244</v>
      </c>
      <c r="B52" s="114">
        <f>SUMIF(A54:A63,B53,B54:B63)</f>
        <v>12</v>
      </c>
      <c r="C52" s="2647"/>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6" t="s">
        <v>1245</v>
      </c>
      <c r="B53" s="1725" t="s">
        <v>110</v>
      </c>
      <c r="C53" s="2647" t="s">
        <v>1246</v>
      </c>
      <c r="D53" s="2788" t="s">
        <v>2301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6" t="s">
        <v>1247</v>
      </c>
      <c r="B54" s="75">
        <v>30</v>
      </c>
      <c r="C54" s="2647">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6" t="s">
        <v>1248</v>
      </c>
      <c r="B55" s="75">
        <v>24</v>
      </c>
      <c r="C55" s="2647">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6" t="s">
        <v>1249</v>
      </c>
      <c r="B56" s="75">
        <v>18</v>
      </c>
      <c r="C56" s="2647">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6" t="s">
        <v>1250</v>
      </c>
      <c r="B57" s="75">
        <v>12</v>
      </c>
      <c r="C57" s="2647">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6" t="s">
        <v>1251</v>
      </c>
      <c r="B58" s="75">
        <v>3</v>
      </c>
      <c r="C58" s="2647">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6" t="s">
        <v>1252</v>
      </c>
      <c r="B59" s="75">
        <v>1.5</v>
      </c>
      <c r="C59" s="2647">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6" t="s">
        <v>1253</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6" t="s">
        <v>1254</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6" t="s">
        <v>1255</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27" t="s">
        <v>1256</v>
      </c>
      <c r="B63" s="11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0" customFormat="1">
      <c r="A64" s="2650"/>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0" customFormat="1">
      <c r="A65" s="2650"/>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0" customFormat="1">
      <c r="A66" s="2650"/>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0" customFormat="1">
      <c r="A67" s="2650"/>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0" customFormat="1">
      <c r="A68" s="2650"/>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0" customFormat="1">
      <c r="A69" s="1728"/>
      <c r="D69" s="1729"/>
      <c r="K69" s="715"/>
      <c r="L69" s="715"/>
    </row>
    <row r="70" spans="1:44" s="780" customFormat="1">
      <c r="A70" s="1728"/>
      <c r="D70" s="1729"/>
      <c r="K70" s="715"/>
      <c r="L70" s="715"/>
    </row>
    <row r="71" spans="1:44" s="780" customFormat="1">
      <c r="A71" s="1728"/>
      <c r="D71" s="1729"/>
      <c r="K71" s="715"/>
      <c r="L71" s="715"/>
    </row>
    <row r="72" spans="1:44" s="780" customFormat="1">
      <c r="A72" s="1728"/>
      <c r="D72" s="1729"/>
      <c r="K72" s="715"/>
      <c r="L72" s="715"/>
    </row>
    <row r="73" spans="1:44" s="780" customFormat="1">
      <c r="A73" s="1728"/>
      <c r="D73" s="1729"/>
      <c r="K73" s="715"/>
      <c r="L73" s="715"/>
    </row>
    <row r="74" spans="1:44" s="780" customFormat="1">
      <c r="A74" s="1728"/>
      <c r="D74" s="1729"/>
      <c r="K74" s="715"/>
      <c r="L74" s="715"/>
    </row>
    <row r="75" spans="1:44" s="780" customFormat="1">
      <c r="A75" s="1728"/>
      <c r="D75" s="1729"/>
      <c r="K75" s="715"/>
      <c r="L75" s="715"/>
    </row>
    <row r="76" spans="1:44" s="780" customFormat="1">
      <c r="A76" s="1728"/>
      <c r="D76" s="1729"/>
      <c r="K76" s="715"/>
      <c r="L76" s="715"/>
    </row>
    <row r="77" spans="1:44" s="780" customFormat="1">
      <c r="A77" s="1728"/>
      <c r="D77" s="1729"/>
      <c r="K77" s="715"/>
      <c r="L77" s="715"/>
    </row>
    <row r="78" spans="1:44" s="780" customFormat="1">
      <c r="A78" s="1728"/>
      <c r="D78" s="1729"/>
      <c r="K78" s="715"/>
      <c r="L78" s="715"/>
    </row>
    <row r="79" spans="1:44" s="780" customFormat="1">
      <c r="A79" s="1728"/>
      <c r="D79" s="1729"/>
      <c r="K79" s="715"/>
      <c r="L79" s="715"/>
    </row>
    <row r="80" spans="1:44" s="780" customFormat="1">
      <c r="A80" s="1728"/>
      <c r="D80" s="1729"/>
      <c r="K80" s="715"/>
      <c r="L80" s="715"/>
    </row>
    <row r="81" spans="1:12" s="780" customFormat="1">
      <c r="A81" s="1728"/>
      <c r="D81" s="1729"/>
      <c r="K81" s="715"/>
      <c r="L81" s="715"/>
    </row>
    <row r="82" spans="1:12" s="780" customFormat="1">
      <c r="A82" s="1728"/>
      <c r="D82" s="1729"/>
      <c r="K82" s="715"/>
      <c r="L82" s="715"/>
    </row>
    <row r="83" spans="1:12" s="780" customFormat="1">
      <c r="A83" s="1728"/>
      <c r="D83" s="1729"/>
      <c r="K83" s="715"/>
      <c r="L83" s="715"/>
    </row>
    <row r="84" spans="1:12" s="780" customFormat="1">
      <c r="A84" s="1728"/>
      <c r="D84" s="1729"/>
      <c r="K84" s="715"/>
      <c r="L84" s="715"/>
    </row>
    <row r="85" spans="1:12" s="780" customFormat="1">
      <c r="A85" s="1728"/>
      <c r="D85" s="1729"/>
      <c r="K85" s="715"/>
      <c r="L85" s="715"/>
    </row>
    <row r="86" spans="1:12" s="780" customFormat="1">
      <c r="A86" s="1728"/>
      <c r="D86" s="1729"/>
      <c r="K86" s="715"/>
      <c r="L86" s="715"/>
    </row>
    <row r="87" spans="1:12" s="780" customFormat="1">
      <c r="A87" s="1728"/>
      <c r="D87" s="1729"/>
      <c r="K87" s="715"/>
      <c r="L87" s="715"/>
    </row>
    <row r="88" spans="1:12" s="780" customFormat="1">
      <c r="A88" s="1728"/>
      <c r="D88" s="1729"/>
      <c r="K88" s="715"/>
      <c r="L88" s="715"/>
    </row>
    <row r="89" spans="1:12" s="780" customFormat="1">
      <c r="A89" s="1728"/>
      <c r="D89" s="1729"/>
      <c r="K89" s="715"/>
      <c r="L89" s="715"/>
    </row>
    <row r="90" spans="1:12" s="780" customFormat="1">
      <c r="A90" s="1728"/>
      <c r="D90" s="1729"/>
      <c r="K90" s="715"/>
      <c r="L90" s="715"/>
    </row>
    <row r="91" spans="1:12" s="780" customFormat="1">
      <c r="A91" s="1728"/>
      <c r="D91" s="1729"/>
      <c r="K91" s="715"/>
      <c r="L91" s="715"/>
    </row>
    <row r="92" spans="1:12" s="780" customFormat="1">
      <c r="A92" s="1728"/>
      <c r="D92" s="1729"/>
      <c r="K92" s="715"/>
      <c r="L92" s="715"/>
    </row>
    <row r="93" spans="1:12" s="780" customFormat="1">
      <c r="A93" s="1728"/>
      <c r="D93" s="1729"/>
      <c r="K93" s="715"/>
      <c r="L93" s="715"/>
    </row>
    <row r="94" spans="1:12" s="780" customFormat="1">
      <c r="A94" s="1728"/>
      <c r="D94" s="1729"/>
      <c r="K94" s="715"/>
      <c r="L94" s="715"/>
    </row>
    <row r="95" spans="1:12" s="780" customFormat="1">
      <c r="A95" s="1728"/>
      <c r="D95" s="1729"/>
      <c r="K95" s="715"/>
      <c r="L95" s="715"/>
    </row>
    <row r="96" spans="1:12" s="780" customFormat="1">
      <c r="A96" s="1728"/>
      <c r="D96" s="1729"/>
      <c r="K96" s="715"/>
      <c r="L96" s="715"/>
    </row>
    <row r="97" spans="1:12" s="780" customFormat="1">
      <c r="A97" s="1728"/>
      <c r="D97" s="1729"/>
      <c r="K97" s="715"/>
      <c r="L97" s="715"/>
    </row>
    <row r="98" spans="1:12" s="780" customFormat="1">
      <c r="A98" s="1728"/>
      <c r="D98" s="1729"/>
      <c r="K98" s="715"/>
      <c r="L98" s="715"/>
    </row>
    <row r="99" spans="1:12" s="780" customFormat="1">
      <c r="A99" s="1728"/>
      <c r="D99" s="1729"/>
      <c r="K99" s="715"/>
      <c r="L99" s="715"/>
    </row>
    <row r="100" spans="1:12" s="780" customFormat="1">
      <c r="A100" s="1728"/>
      <c r="D100" s="1729"/>
      <c r="K100" s="715"/>
      <c r="L100" s="715"/>
    </row>
    <row r="101" spans="1:12" s="780" customFormat="1">
      <c r="A101" s="1728"/>
      <c r="D101" s="1729"/>
      <c r="K101" s="715"/>
      <c r="L101" s="715"/>
    </row>
    <row r="102" spans="1:12" s="780" customFormat="1">
      <c r="A102" s="1728"/>
      <c r="D102" s="1729"/>
      <c r="K102" s="715"/>
      <c r="L102" s="715"/>
    </row>
    <row r="103" spans="1:12" s="780" customFormat="1">
      <c r="A103" s="1728"/>
      <c r="D103" s="1729"/>
      <c r="K103" s="715"/>
      <c r="L103" s="715"/>
    </row>
    <row r="104" spans="1:12" s="780" customFormat="1">
      <c r="A104" s="1728"/>
      <c r="D104" s="1729"/>
      <c r="K104" s="715"/>
      <c r="L104" s="715"/>
    </row>
    <row r="105" spans="1:12" s="780" customFormat="1">
      <c r="A105" s="1728"/>
      <c r="D105" s="1729"/>
      <c r="K105" s="715"/>
      <c r="L105" s="715"/>
    </row>
    <row r="106" spans="1:12" s="780" customFormat="1">
      <c r="A106" s="1728"/>
      <c r="D106" s="1729"/>
      <c r="K106" s="715"/>
      <c r="L106" s="715"/>
    </row>
    <row r="107" spans="1:12" s="780" customFormat="1">
      <c r="A107" s="1728"/>
      <c r="D107" s="1729"/>
      <c r="K107" s="715"/>
      <c r="L107" s="715"/>
    </row>
    <row r="108" spans="1:12" s="780" customFormat="1">
      <c r="A108" s="1728"/>
      <c r="D108" s="1729"/>
      <c r="K108" s="715"/>
      <c r="L108" s="715"/>
    </row>
    <row r="109" spans="1:12" s="780" customFormat="1">
      <c r="A109" s="1728"/>
      <c r="D109" s="1729"/>
      <c r="K109" s="715"/>
      <c r="L109" s="715"/>
    </row>
    <row r="110" spans="1:12" s="780" customFormat="1">
      <c r="A110" s="1728"/>
      <c r="D110" s="1729"/>
      <c r="K110" s="715"/>
      <c r="L110" s="715"/>
    </row>
    <row r="111" spans="1:12" s="780" customFormat="1">
      <c r="A111" s="1728"/>
      <c r="D111" s="1729"/>
      <c r="K111" s="715"/>
      <c r="L111" s="715"/>
    </row>
    <row r="112" spans="1:12" s="780" customFormat="1">
      <c r="A112" s="1728"/>
      <c r="D112" s="1729"/>
      <c r="K112" s="715"/>
      <c r="L112" s="715"/>
    </row>
    <row r="113" spans="1:12" s="780" customFormat="1">
      <c r="A113" s="1728"/>
      <c r="D113" s="1729"/>
      <c r="K113" s="715"/>
      <c r="L113" s="715"/>
    </row>
    <row r="114" spans="1:12" s="780" customFormat="1">
      <c r="A114" s="1728"/>
      <c r="D114" s="1729"/>
      <c r="K114" s="715"/>
      <c r="L114" s="715"/>
    </row>
    <row r="115" spans="1:12" s="780" customFormat="1">
      <c r="A115" s="1728"/>
      <c r="D115" s="1729"/>
      <c r="K115" s="715"/>
      <c r="L115" s="715"/>
    </row>
    <row r="116" spans="1:12" s="780" customFormat="1">
      <c r="A116" s="1728"/>
      <c r="D116" s="1729"/>
      <c r="K116" s="715"/>
      <c r="L116" s="715"/>
    </row>
    <row r="117" spans="1:12" s="780" customFormat="1">
      <c r="A117" s="1728"/>
      <c r="D117" s="1729"/>
      <c r="K117" s="715"/>
      <c r="L117" s="715"/>
    </row>
    <row r="118" spans="1:12" s="780" customFormat="1">
      <c r="A118" s="1728"/>
      <c r="D118" s="1729"/>
      <c r="K118" s="715"/>
      <c r="L118" s="715"/>
    </row>
    <row r="119" spans="1:12" s="780" customFormat="1">
      <c r="A119" s="1728"/>
      <c r="D119" s="1729"/>
      <c r="K119" s="715"/>
      <c r="L119" s="715"/>
    </row>
    <row r="120" spans="1:12" s="780" customFormat="1">
      <c r="A120" s="1728"/>
      <c r="D120" s="1729"/>
      <c r="K120" s="715"/>
      <c r="L120" s="715"/>
    </row>
    <row r="121" spans="1:12" s="780" customFormat="1">
      <c r="A121" s="1728"/>
      <c r="D121" s="1729"/>
      <c r="K121" s="715"/>
      <c r="L121" s="715"/>
    </row>
    <row r="122" spans="1:12" s="780" customFormat="1">
      <c r="A122" s="1728"/>
      <c r="D122" s="1729"/>
      <c r="K122" s="715"/>
      <c r="L122" s="715"/>
    </row>
    <row r="123" spans="1:12" s="780" customFormat="1">
      <c r="A123" s="1728"/>
      <c r="D123" s="1729"/>
      <c r="K123" s="715"/>
      <c r="L123" s="715"/>
    </row>
    <row r="124" spans="1:12" s="780" customFormat="1">
      <c r="A124" s="1728"/>
      <c r="D124" s="1729"/>
      <c r="K124" s="715"/>
      <c r="L124" s="715"/>
    </row>
    <row r="125" spans="1:12" s="780" customFormat="1">
      <c r="A125" s="1728"/>
      <c r="D125" s="1729"/>
      <c r="K125" s="715"/>
      <c r="L125" s="715"/>
    </row>
    <row r="126" spans="1:12" s="780" customFormat="1">
      <c r="A126" s="1728"/>
      <c r="D126" s="1729"/>
      <c r="K126" s="715"/>
      <c r="L126" s="715"/>
    </row>
    <row r="127" spans="1:12" s="780" customFormat="1">
      <c r="A127" s="1728"/>
      <c r="D127" s="1729"/>
      <c r="K127" s="715"/>
      <c r="L127" s="715"/>
    </row>
    <row r="128" spans="1:12" s="780" customFormat="1">
      <c r="A128" s="1728"/>
      <c r="D128" s="1729"/>
      <c r="K128" s="715"/>
      <c r="L128" s="715"/>
    </row>
    <row r="129" spans="1:12" s="780" customFormat="1">
      <c r="A129" s="1728"/>
      <c r="D129" s="1729"/>
      <c r="K129" s="715"/>
      <c r="L129" s="715"/>
    </row>
    <row r="130" spans="1:12" s="780" customFormat="1">
      <c r="A130" s="1728"/>
      <c r="D130" s="1729"/>
      <c r="K130" s="715"/>
      <c r="L130" s="715"/>
    </row>
    <row r="131" spans="1:12" s="780" customFormat="1">
      <c r="A131" s="1728"/>
      <c r="D131" s="1729"/>
      <c r="K131" s="715"/>
      <c r="L131" s="715"/>
    </row>
    <row r="132" spans="1:12" s="780" customFormat="1">
      <c r="A132" s="1728"/>
      <c r="D132" s="1729"/>
      <c r="K132" s="715"/>
      <c r="L132" s="715"/>
    </row>
    <row r="133" spans="1:12" s="780" customFormat="1">
      <c r="A133" s="1728"/>
      <c r="D133" s="1729"/>
      <c r="K133" s="715"/>
      <c r="L133" s="715"/>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1" sqref="J11"/>
    </sheetView>
  </sheetViews>
  <sheetFormatPr defaultColWidth="9" defaultRowHeight="14.25"/>
  <cols>
    <col min="1" max="1" width="9.5" style="1673" customWidth="1"/>
    <col min="2" max="2" width="24.5" style="1559" customWidth="1"/>
    <col min="3" max="3" width="24.5" style="2497" customWidth="1"/>
    <col min="4" max="4" width="2.625" style="2497" customWidth="1"/>
    <col min="5" max="5" width="5.875" style="2497" customWidth="1"/>
    <col min="6" max="6" width="27" style="1559"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86"/>
    <col min="30" max="16384" width="9" style="1673"/>
  </cols>
  <sheetData>
    <row r="1" spans="1:29" s="2444" customFormat="1" ht="18.75" thickBot="1">
      <c r="A1" s="3604" t="s">
        <v>2281</v>
      </c>
      <c r="B1" s="3605"/>
      <c r="C1" s="3605"/>
      <c r="D1" s="3605"/>
      <c r="E1" s="3605"/>
      <c r="F1" s="3605"/>
      <c r="G1" s="3605"/>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2277</v>
      </c>
      <c r="D2" s="2448"/>
      <c r="E2" s="2445"/>
      <c r="F2" s="2449"/>
      <c r="G2" s="2447" t="s">
        <v>2278</v>
      </c>
      <c r="H2" s="786"/>
      <c r="I2" s="786"/>
      <c r="J2" s="786"/>
      <c r="K2" s="786"/>
      <c r="L2" s="786"/>
      <c r="M2" s="786"/>
      <c r="N2" s="786"/>
      <c r="O2" s="786"/>
      <c r="P2" s="786"/>
      <c r="Q2" s="786"/>
      <c r="R2" s="786"/>
    </row>
    <row r="3" spans="1:29" ht="25.5">
      <c r="A3" s="2428" t="s">
        <v>2279</v>
      </c>
      <c r="B3" s="2450" t="s">
        <v>2251</v>
      </c>
      <c r="C3" s="2451"/>
      <c r="D3" s="2452"/>
      <c r="E3" s="2429" t="s">
        <v>2279</v>
      </c>
      <c r="F3" s="2453" t="s">
        <v>2252</v>
      </c>
      <c r="G3" s="2454" t="s">
        <v>2280</v>
      </c>
      <c r="H3" s="786"/>
      <c r="I3" s="786"/>
      <c r="J3" s="786"/>
      <c r="K3" s="786"/>
      <c r="L3" s="786"/>
      <c r="M3" s="786"/>
      <c r="N3" s="786"/>
      <c r="O3" s="786"/>
      <c r="P3" s="786"/>
      <c r="Q3" s="786"/>
      <c r="R3" s="786"/>
    </row>
    <row r="4" spans="1:29" ht="51">
      <c r="A4" s="2429"/>
      <c r="B4" s="313" t="s">
        <v>2253</v>
      </c>
      <c r="C4" s="2455" t="s">
        <v>3461</v>
      </c>
      <c r="D4" s="2452"/>
      <c r="E4" s="2456"/>
      <c r="F4" s="1360" t="s">
        <v>2254</v>
      </c>
      <c r="G4" s="2457" t="s">
        <v>2255</v>
      </c>
      <c r="H4" s="786"/>
      <c r="I4" s="786"/>
      <c r="J4" s="786"/>
      <c r="K4" s="786"/>
      <c r="L4" s="786"/>
      <c r="M4" s="786"/>
      <c r="N4" s="786"/>
      <c r="O4" s="786"/>
      <c r="P4" s="786"/>
      <c r="Q4" s="786"/>
      <c r="R4" s="786"/>
    </row>
    <row r="5" spans="1:29" ht="24">
      <c r="A5" s="2429"/>
      <c r="B5" s="313" t="s">
        <v>2256</v>
      </c>
      <c r="C5" s="2455"/>
      <c r="D5" s="2452"/>
      <c r="E5" s="2456"/>
      <c r="F5" s="313" t="s">
        <v>2257</v>
      </c>
      <c r="G5" s="2457" t="s">
        <v>2258</v>
      </c>
      <c r="H5" s="786"/>
      <c r="I5" s="786"/>
      <c r="J5" s="786"/>
      <c r="K5" s="786"/>
      <c r="L5" s="786"/>
      <c r="M5" s="786"/>
      <c r="N5" s="786"/>
      <c r="O5" s="786"/>
      <c r="P5" s="786"/>
      <c r="Q5" s="786"/>
      <c r="R5" s="786"/>
    </row>
    <row r="6" spans="1:29" ht="38.25">
      <c r="A6" s="2429"/>
      <c r="B6" s="313" t="s">
        <v>2259</v>
      </c>
      <c r="C6" s="2457" t="s">
        <v>3462</v>
      </c>
      <c r="D6" s="2452"/>
      <c r="E6" s="2456"/>
      <c r="F6" s="313" t="s">
        <v>2260</v>
      </c>
      <c r="G6" s="2457" t="s">
        <v>2261</v>
      </c>
      <c r="H6" s="786"/>
      <c r="I6" s="786"/>
      <c r="J6" s="786"/>
      <c r="K6" s="786"/>
      <c r="L6" s="786"/>
      <c r="M6" s="786"/>
      <c r="N6" s="786"/>
      <c r="O6" s="786"/>
      <c r="P6" s="786"/>
      <c r="Q6" s="786"/>
      <c r="R6" s="786"/>
    </row>
    <row r="7" spans="1:29" ht="26.25" thickBot="1">
      <c r="A7" s="2429"/>
      <c r="B7" s="313" t="s">
        <v>2257</v>
      </c>
      <c r="C7" s="2457" t="s">
        <v>3463</v>
      </c>
      <c r="D7" s="2458"/>
      <c r="E7" s="2459"/>
      <c r="F7" s="2460" t="s">
        <v>2262</v>
      </c>
      <c r="G7" s="2461" t="s">
        <v>2263</v>
      </c>
      <c r="H7" s="786"/>
      <c r="I7" s="786"/>
      <c r="J7" s="786"/>
      <c r="K7" s="786"/>
      <c r="L7" s="786"/>
      <c r="M7" s="786"/>
      <c r="N7" s="786"/>
      <c r="O7" s="786"/>
      <c r="P7" s="786"/>
      <c r="Q7" s="786"/>
      <c r="R7" s="786"/>
    </row>
    <row r="8" spans="1:29">
      <c r="A8" s="2429"/>
      <c r="B8" s="313" t="s">
        <v>2260</v>
      </c>
      <c r="C8" s="2457" t="s">
        <v>3464</v>
      </c>
      <c r="D8" s="2458"/>
      <c r="E8" s="2458"/>
      <c r="F8" s="2462"/>
      <c r="G8" s="2462"/>
      <c r="H8" s="786"/>
      <c r="I8" s="786"/>
      <c r="J8" s="786"/>
      <c r="K8" s="786"/>
      <c r="L8" s="786"/>
      <c r="M8" s="786"/>
      <c r="N8" s="786"/>
      <c r="O8" s="786"/>
      <c r="P8" s="786"/>
      <c r="Q8" s="786"/>
      <c r="R8" s="786"/>
    </row>
    <row r="9" spans="1:29" ht="38.25">
      <c r="A9" s="2429"/>
      <c r="B9" s="313" t="s">
        <v>2264</v>
      </c>
      <c r="C9" s="2455" t="s">
        <v>3465</v>
      </c>
      <c r="D9" s="2452"/>
      <c r="E9" s="2458"/>
      <c r="F9" s="2462"/>
      <c r="G9" s="2462"/>
      <c r="H9" s="786"/>
      <c r="I9" s="786"/>
      <c r="J9" s="786"/>
      <c r="K9" s="786"/>
      <c r="L9" s="786"/>
      <c r="M9" s="786"/>
      <c r="N9" s="786"/>
      <c r="O9" s="786"/>
      <c r="P9" s="786"/>
      <c r="Q9" s="786"/>
      <c r="R9" s="786"/>
    </row>
    <row r="10" spans="1:29" s="2468" customFormat="1" ht="15" thickBot="1">
      <c r="A10" s="2430"/>
      <c r="B10" s="2463" t="s">
        <v>2265</v>
      </c>
      <c r="C10" s="2464" t="s">
        <v>3466</v>
      </c>
      <c r="D10" s="2452"/>
      <c r="E10" s="2452"/>
      <c r="F10" s="2462"/>
      <c r="G10" s="2462"/>
      <c r="H10" s="2465"/>
      <c r="I10" s="2466"/>
      <c r="J10" s="2467"/>
      <c r="K10" s="2465"/>
      <c r="L10" s="2466"/>
      <c r="M10" s="2467"/>
      <c r="N10" s="2465"/>
      <c r="O10" s="2466"/>
      <c r="P10" s="2467"/>
      <c r="Q10" s="2465"/>
      <c r="R10" s="2466"/>
      <c r="S10" s="786"/>
      <c r="T10" s="786"/>
      <c r="U10" s="786"/>
      <c r="V10" s="786"/>
      <c r="W10" s="786"/>
      <c r="X10" s="786"/>
      <c r="Y10" s="786"/>
      <c r="Z10" s="786"/>
      <c r="AA10" s="786"/>
      <c r="AB10" s="786"/>
      <c r="AC10" s="786"/>
    </row>
    <row r="11" spans="1:29" s="2468" customFormat="1">
      <c r="A11" s="2469"/>
      <c r="B11" s="2458"/>
      <c r="C11" s="2452"/>
      <c r="D11" s="2452"/>
      <c r="E11" s="2452"/>
      <c r="F11" s="2458"/>
      <c r="G11" s="2470"/>
      <c r="H11" s="2465"/>
      <c r="I11" s="2466"/>
      <c r="J11" s="2467"/>
      <c r="K11" s="2465"/>
      <c r="L11" s="2466"/>
      <c r="M11" s="2467"/>
      <c r="N11" s="2465"/>
      <c r="O11" s="2466"/>
      <c r="P11" s="2467"/>
      <c r="Q11" s="2465"/>
      <c r="R11" s="2466"/>
      <c r="S11" s="786"/>
      <c r="T11" s="786"/>
      <c r="U11" s="786"/>
      <c r="V11" s="786"/>
      <c r="W11" s="786"/>
      <c r="X11" s="786"/>
      <c r="Y11" s="786"/>
      <c r="Z11" s="786"/>
      <c r="AA11" s="786"/>
      <c r="AB11" s="786"/>
      <c r="AC11" s="786"/>
    </row>
    <row r="12" spans="1:29" s="2444" customFormat="1" ht="18">
      <c r="A12" s="2469"/>
      <c r="B12" s="2458"/>
      <c r="C12" s="2452"/>
      <c r="D12" s="2471"/>
      <c r="E12" s="2452"/>
      <c r="F12" s="2458"/>
      <c r="G12" s="2470"/>
      <c r="H12" s="2472"/>
      <c r="I12" s="2473"/>
      <c r="J12" s="2472"/>
      <c r="K12" s="2472"/>
      <c r="L12" s="2474"/>
      <c r="M12" s="2472"/>
      <c r="N12" s="2475"/>
      <c r="O12" s="2476"/>
      <c r="P12" s="2475"/>
      <c r="Q12" s="2475"/>
      <c r="R12" s="2442"/>
      <c r="S12" s="2443"/>
      <c r="T12" s="2443"/>
      <c r="U12" s="2443"/>
      <c r="V12" s="2443"/>
      <c r="W12" s="2443"/>
      <c r="X12" s="2443"/>
      <c r="Y12" s="2443"/>
      <c r="Z12" s="2443"/>
      <c r="AA12" s="2443"/>
      <c r="AB12" s="2443"/>
      <c r="AC12" s="2443"/>
    </row>
    <row r="13" spans="1:29" ht="15.75" thickBot="1">
      <c r="A13" s="2477" t="s">
        <v>2282</v>
      </c>
      <c r="B13" s="2471"/>
      <c r="C13" s="2471"/>
      <c r="D13" s="2469"/>
      <c r="E13" s="2471"/>
      <c r="F13" s="2471"/>
      <c r="G13" s="2471"/>
    </row>
    <row r="14" spans="1:29" ht="15" thickBot="1">
      <c r="A14" s="2481"/>
      <c r="B14" s="2481"/>
      <c r="C14" s="2482" t="s">
        <v>2266</v>
      </c>
      <c r="D14" s="2452"/>
      <c r="E14" s="2483"/>
      <c r="F14" s="2483"/>
      <c r="G14" s="2447" t="s">
        <v>2267</v>
      </c>
    </row>
    <row r="15" spans="1:29" ht="25.5">
      <c r="A15" s="2431" t="s">
        <v>2268</v>
      </c>
      <c r="B15" s="2484" t="s">
        <v>2251</v>
      </c>
      <c r="C15" s="2485">
        <f>C3</f>
        <v>0</v>
      </c>
      <c r="D15" s="2452"/>
      <c r="E15" s="2432" t="s">
        <v>2269</v>
      </c>
      <c r="F15" s="2484" t="s">
        <v>2270</v>
      </c>
      <c r="G15" s="2486" t="str">
        <f>G3</f>
        <v>估价对象位于XX开发区，园区建设成熟度XX，产业集聚程度XX</v>
      </c>
    </row>
    <row r="16" spans="1:29" ht="51">
      <c r="A16" s="2433"/>
      <c r="B16" s="2487" t="s">
        <v>2253</v>
      </c>
      <c r="C16" s="2488" t="str">
        <f>C4</f>
        <v>估价对象位于板井路，周边商业氛围较成熟，人流量较大，世纪金源购物中心等，商业繁华度较好</v>
      </c>
      <c r="D16" s="2452"/>
      <c r="E16" s="2434"/>
      <c r="F16" s="2489" t="s">
        <v>2254</v>
      </c>
      <c r="G16" s="2490" t="str">
        <f>G4</f>
        <v>估价对象周边道路状况、公共交通通达情况、停车便捷程度，综合评价交通便捷度较好</v>
      </c>
    </row>
    <row r="17" spans="1:18">
      <c r="A17" s="2433"/>
      <c r="B17" s="2487" t="s">
        <v>2256</v>
      </c>
      <c r="C17" s="2488">
        <f>C5</f>
        <v>0</v>
      </c>
      <c r="D17" s="2458"/>
      <c r="E17" s="2434"/>
      <c r="F17" s="2489" t="s">
        <v>2271</v>
      </c>
      <c r="G17" s="2491"/>
    </row>
    <row r="18" spans="1:18" ht="38.25">
      <c r="A18" s="2433"/>
      <c r="B18" s="2489" t="s">
        <v>2259</v>
      </c>
      <c r="C18" s="2490" t="str">
        <f>C6</f>
        <v>估价对象周边道路状况、公共交通通达情况、停车便捷程度，综合评价交通便捷度较好</v>
      </c>
      <c r="D18" s="2458"/>
      <c r="E18" s="2434"/>
      <c r="F18" s="2489" t="s">
        <v>2262</v>
      </c>
      <c r="G18" s="2490" t="str">
        <f>G7</f>
        <v>该园区内是否有污染型企业，绿化情况，卫生条件，整体环境状况判断</v>
      </c>
    </row>
    <row r="19" spans="1:18" ht="25.5">
      <c r="A19" s="2433"/>
      <c r="B19" s="2489" t="s">
        <v>2272</v>
      </c>
      <c r="C19" s="2491"/>
      <c r="D19" s="2452"/>
      <c r="E19" s="2434"/>
      <c r="F19" s="313" t="s">
        <v>2257</v>
      </c>
      <c r="G19" s="2490" t="str">
        <f>G5</f>
        <v>估价对象所在区域公共配套设施齐备情况</v>
      </c>
    </row>
    <row r="20" spans="1:18" ht="38.25">
      <c r="A20" s="2433"/>
      <c r="B20" s="2489" t="s">
        <v>2273</v>
      </c>
      <c r="C20" s="2488" t="str">
        <f>C9</f>
        <v>区域自然环境：蓝靛厂公园、四季曙光公园、南长河公园；人文环境；综合评价环境状况较好</v>
      </c>
      <c r="D20" s="2458"/>
      <c r="E20" s="2434"/>
      <c r="F20" s="313" t="s">
        <v>2260</v>
      </c>
      <c r="G20" s="2490" t="str">
        <f>G6</f>
        <v>估价对象所在区域基础设施水平</v>
      </c>
    </row>
    <row r="21" spans="1:18" ht="25.5">
      <c r="A21" s="2433"/>
      <c r="B21" s="313" t="s">
        <v>2257</v>
      </c>
      <c r="C21" s="2490" t="str">
        <f>C7</f>
        <v>估价对象所在区域公共配套设施齐备情况较好</v>
      </c>
      <c r="D21" s="2452"/>
      <c r="E21" s="2434"/>
      <c r="F21" s="2489" t="s">
        <v>2274</v>
      </c>
      <c r="G21" s="2492"/>
    </row>
    <row r="22" spans="1:18" ht="13.5" customHeight="1">
      <c r="A22" s="2433"/>
      <c r="B22" s="313" t="s">
        <v>2260</v>
      </c>
      <c r="C22" s="2490" t="str">
        <f>C8</f>
        <v>七通</v>
      </c>
      <c r="D22" s="2452"/>
      <c r="E22" s="2434"/>
      <c r="F22" s="2489" t="s">
        <v>2265</v>
      </c>
      <c r="G22" s="2491"/>
    </row>
    <row r="23" spans="1:18" s="786" customFormat="1" ht="15" thickBot="1">
      <c r="A23" s="2433"/>
      <c r="B23" s="2489" t="s">
        <v>2274</v>
      </c>
      <c r="C23" s="2492"/>
      <c r="D23" s="1728"/>
      <c r="E23" s="2435"/>
      <c r="F23" s="2493" t="s">
        <v>2275</v>
      </c>
      <c r="G23" s="2494"/>
      <c r="H23" s="2478"/>
      <c r="I23" s="2479"/>
      <c r="J23" s="2478"/>
      <c r="K23" s="2478"/>
      <c r="L23" s="2479"/>
      <c r="M23" s="2478"/>
      <c r="N23" s="2478"/>
      <c r="O23" s="2479"/>
      <c r="P23" s="2478"/>
      <c r="Q23" s="2478"/>
      <c r="R23" s="2480"/>
    </row>
    <row r="24" spans="1:18" s="786" customFormat="1" ht="15" thickBot="1">
      <c r="A24" s="2436"/>
      <c r="B24" s="2493" t="s">
        <v>2276</v>
      </c>
      <c r="C24" s="2495" t="str">
        <f>C10</f>
        <v>城市主干道-板井路</v>
      </c>
      <c r="D24" s="1728"/>
      <c r="E24" s="2426"/>
      <c r="F24" s="2426"/>
      <c r="G24" s="2496"/>
      <c r="H24" s="2478"/>
      <c r="I24" s="2479"/>
      <c r="J24" s="2478"/>
      <c r="K24" s="2478"/>
      <c r="L24" s="2479"/>
      <c r="M24" s="2478"/>
      <c r="N24" s="2478"/>
      <c r="O24" s="2479"/>
      <c r="P24" s="2478"/>
      <c r="Q24" s="2478"/>
      <c r="R24" s="2480"/>
    </row>
    <row r="25" spans="1:18" s="786" customFormat="1">
      <c r="B25" s="2478"/>
      <c r="C25" s="2478"/>
      <c r="D25" s="2478"/>
      <c r="H25" s="2478"/>
      <c r="I25" s="2479"/>
      <c r="J25" s="2478"/>
      <c r="K25" s="2478"/>
      <c r="L25" s="2479"/>
      <c r="M25" s="2478"/>
      <c r="N25" s="2478"/>
      <c r="O25" s="2479"/>
      <c r="P25" s="2478"/>
      <c r="Q25" s="2478"/>
      <c r="R25" s="2480"/>
    </row>
    <row r="26" spans="1:18" s="786" customFormat="1">
      <c r="B26" s="2478"/>
      <c r="C26" s="2478"/>
      <c r="D26" s="2478"/>
      <c r="H26" s="2478"/>
      <c r="I26" s="2479"/>
      <c r="J26" s="2478"/>
      <c r="K26" s="2478"/>
      <c r="L26" s="2479"/>
      <c r="M26" s="2478"/>
      <c r="N26" s="2478"/>
      <c r="O26" s="2479"/>
      <c r="P26" s="2478"/>
      <c r="Q26" s="2478"/>
      <c r="R26" s="2480"/>
    </row>
    <row r="27" spans="1:18" s="786" customFormat="1">
      <c r="B27" s="2478"/>
      <c r="C27" s="2478"/>
      <c r="D27" s="2478"/>
      <c r="H27" s="2478"/>
      <c r="I27" s="2479"/>
      <c r="J27" s="2478"/>
      <c r="K27" s="2478"/>
      <c r="L27" s="2479"/>
      <c r="M27" s="2478"/>
      <c r="N27" s="2478"/>
      <c r="O27" s="2479"/>
      <c r="P27" s="2478"/>
      <c r="Q27" s="2478"/>
      <c r="R27" s="2480"/>
    </row>
    <row r="28" spans="1:18" s="786" customFormat="1">
      <c r="B28" s="2478"/>
      <c r="C28" s="2478"/>
      <c r="D28" s="2478"/>
      <c r="H28" s="2478"/>
      <c r="I28" s="2479"/>
      <c r="J28" s="2478"/>
      <c r="K28" s="2478"/>
      <c r="L28" s="2479"/>
      <c r="M28" s="2478"/>
      <c r="N28" s="2478"/>
      <c r="O28" s="2479"/>
      <c r="P28" s="2478"/>
      <c r="Q28" s="2478"/>
      <c r="R28" s="2480"/>
    </row>
    <row r="29" spans="1:18" s="786" customFormat="1">
      <c r="B29" s="2478"/>
      <c r="C29" s="2478"/>
      <c r="D29" s="2478"/>
      <c r="H29" s="2478"/>
      <c r="I29" s="2479"/>
      <c r="J29" s="2478"/>
      <c r="K29" s="2478"/>
      <c r="L29" s="2479"/>
      <c r="M29" s="2478"/>
      <c r="N29" s="2478"/>
      <c r="O29" s="2479"/>
      <c r="P29" s="2478"/>
      <c r="Q29" s="2478"/>
      <c r="R29" s="2480"/>
    </row>
    <row r="30" spans="1:18" s="786" customFormat="1">
      <c r="B30" s="2478"/>
      <c r="C30" s="2478"/>
      <c r="D30" s="2478"/>
      <c r="H30" s="2478"/>
      <c r="I30" s="2479"/>
      <c r="J30" s="2478"/>
      <c r="K30" s="2478"/>
      <c r="L30" s="2479"/>
      <c r="M30" s="2478"/>
      <c r="N30" s="2478"/>
      <c r="O30" s="2479"/>
      <c r="P30" s="2478"/>
      <c r="Q30" s="2478"/>
      <c r="R30" s="2480"/>
    </row>
    <row r="31" spans="1:18" s="786" customFormat="1">
      <c r="B31" s="2478"/>
      <c r="C31" s="2478"/>
      <c r="D31" s="2478"/>
      <c r="H31" s="2478"/>
      <c r="I31" s="2479"/>
      <c r="J31" s="2478"/>
      <c r="K31" s="2478"/>
      <c r="L31" s="2479"/>
      <c r="M31" s="2478"/>
      <c r="N31" s="2478"/>
      <c r="O31" s="2479"/>
      <c r="P31" s="2478"/>
      <c r="Q31" s="2478"/>
      <c r="R31" s="2480"/>
    </row>
    <row r="32" spans="1:18" s="786" customFormat="1">
      <c r="B32" s="2478"/>
      <c r="C32" s="2478"/>
      <c r="D32" s="2478"/>
      <c r="H32" s="2478"/>
      <c r="I32" s="2479"/>
      <c r="J32" s="2478"/>
      <c r="K32" s="2478"/>
      <c r="L32" s="2479"/>
      <c r="M32" s="2478"/>
      <c r="N32" s="2478"/>
      <c r="O32" s="2479"/>
      <c r="P32" s="2478"/>
      <c r="Q32" s="2478"/>
      <c r="R32" s="2480"/>
    </row>
    <row r="33" spans="2:18" s="786" customFormat="1">
      <c r="B33" s="2478"/>
      <c r="C33" s="2478"/>
      <c r="D33" s="2478"/>
      <c r="H33" s="2478"/>
      <c r="I33" s="2479"/>
      <c r="J33" s="2478"/>
      <c r="K33" s="2478"/>
      <c r="L33" s="2479"/>
      <c r="M33" s="2478"/>
      <c r="N33" s="2478"/>
      <c r="O33" s="2479"/>
      <c r="P33" s="2478"/>
      <c r="Q33" s="2478"/>
      <c r="R33" s="2480"/>
    </row>
    <row r="34" spans="2:18" s="786" customFormat="1">
      <c r="B34" s="2478"/>
      <c r="C34" s="2478"/>
      <c r="D34" s="2478"/>
      <c r="H34" s="2478"/>
      <c r="I34" s="2479"/>
      <c r="J34" s="2478"/>
      <c r="K34" s="2478"/>
      <c r="L34" s="2479"/>
      <c r="M34" s="2478"/>
      <c r="N34" s="2478"/>
      <c r="O34" s="2479"/>
      <c r="P34" s="2478"/>
      <c r="Q34" s="2478"/>
      <c r="R34" s="2480"/>
    </row>
    <row r="35" spans="2:18" s="786" customFormat="1">
      <c r="B35" s="2478"/>
      <c r="C35" s="2478"/>
      <c r="D35" s="2478"/>
      <c r="H35" s="2478"/>
      <c r="I35" s="2479"/>
      <c r="J35" s="2478"/>
      <c r="K35" s="2478"/>
      <c r="L35" s="2479"/>
      <c r="M35" s="2478"/>
      <c r="N35" s="2478"/>
      <c r="O35" s="2479"/>
      <c r="P35" s="2478"/>
      <c r="Q35" s="2478"/>
      <c r="R35" s="2480"/>
    </row>
    <row r="36" spans="2:18" s="786" customFormat="1">
      <c r="B36" s="2478"/>
      <c r="C36" s="2478"/>
      <c r="D36" s="2478"/>
      <c r="H36" s="2478"/>
      <c r="I36" s="2479"/>
      <c r="J36" s="2478"/>
      <c r="K36" s="2478"/>
      <c r="L36" s="2479"/>
      <c r="M36" s="2478"/>
      <c r="N36" s="2478"/>
      <c r="O36" s="2479"/>
      <c r="P36" s="2478"/>
      <c r="Q36" s="2478"/>
      <c r="R36" s="2480"/>
    </row>
    <row r="37" spans="2:18" s="786" customFormat="1">
      <c r="B37" s="2478"/>
      <c r="C37" s="2478"/>
      <c r="D37" s="2478"/>
      <c r="H37" s="2478"/>
      <c r="I37" s="2479"/>
      <c r="J37" s="2478"/>
      <c r="K37" s="2478"/>
      <c r="L37" s="2479"/>
      <c r="M37" s="2478"/>
      <c r="N37" s="2478"/>
      <c r="O37" s="2479"/>
      <c r="P37" s="2478"/>
      <c r="Q37" s="2478"/>
      <c r="R37" s="2480"/>
    </row>
    <row r="38" spans="2:18" s="786" customFormat="1">
      <c r="B38" s="2478"/>
      <c r="C38" s="2478"/>
      <c r="D38" s="2478"/>
      <c r="E38" s="2478"/>
      <c r="F38" s="2478"/>
      <c r="G38" s="2479"/>
      <c r="H38" s="2478"/>
      <c r="I38" s="2479"/>
      <c r="J38" s="2478"/>
      <c r="K38" s="2478"/>
      <c r="L38" s="2479"/>
      <c r="M38" s="2478"/>
      <c r="N38" s="2478"/>
      <c r="O38" s="2479"/>
      <c r="P38" s="2478"/>
      <c r="Q38" s="2478"/>
      <c r="R38" s="2480"/>
    </row>
    <row r="39" spans="2:18" s="786" customFormat="1">
      <c r="B39" s="2478"/>
      <c r="C39" s="2478"/>
      <c r="D39" s="2478"/>
      <c r="E39" s="2478"/>
      <c r="F39" s="2478"/>
      <c r="G39" s="2479"/>
      <c r="H39" s="2478"/>
      <c r="I39" s="2479"/>
      <c r="J39" s="2478"/>
      <c r="K39" s="2478"/>
      <c r="L39" s="2479"/>
      <c r="M39" s="2478"/>
      <c r="N39" s="2478"/>
      <c r="O39" s="2479"/>
      <c r="P39" s="2478"/>
      <c r="Q39" s="2478"/>
      <c r="R39" s="2480"/>
    </row>
    <row r="40" spans="2:18" s="786" customFormat="1">
      <c r="B40" s="2478"/>
      <c r="C40" s="2478"/>
      <c r="D40" s="2478"/>
      <c r="E40" s="2478"/>
      <c r="F40" s="2478"/>
      <c r="G40" s="2479"/>
      <c r="H40" s="2478"/>
      <c r="I40" s="2479"/>
      <c r="J40" s="2478"/>
      <c r="K40" s="2478"/>
      <c r="L40" s="2479"/>
      <c r="M40" s="2478"/>
      <c r="N40" s="2478"/>
      <c r="O40" s="2479"/>
      <c r="P40" s="2478"/>
      <c r="Q40" s="2478"/>
      <c r="R40" s="2480"/>
    </row>
    <row r="41" spans="2:18" s="786" customFormat="1">
      <c r="B41" s="2478"/>
      <c r="C41" s="2478"/>
      <c r="D41" s="2478"/>
      <c r="E41" s="2478"/>
      <c r="F41" s="2478"/>
      <c r="G41" s="2479"/>
      <c r="H41" s="2478"/>
      <c r="I41" s="2479"/>
      <c r="J41" s="2478"/>
      <c r="K41" s="2478"/>
      <c r="L41" s="2479"/>
      <c r="M41" s="2478"/>
      <c r="N41" s="2478"/>
      <c r="O41" s="2479"/>
      <c r="P41" s="2478"/>
      <c r="Q41" s="2478"/>
      <c r="R41" s="2480"/>
    </row>
    <row r="42" spans="2:18" s="786" customFormat="1">
      <c r="B42" s="2478"/>
      <c r="C42" s="2478"/>
      <c r="D42" s="2478"/>
      <c r="E42" s="2478"/>
      <c r="F42" s="2478"/>
      <c r="G42" s="2479"/>
      <c r="H42" s="2478"/>
      <c r="I42" s="2479"/>
      <c r="J42" s="2478"/>
      <c r="K42" s="2478"/>
      <c r="L42" s="2479"/>
      <c r="M42" s="2478"/>
      <c r="N42" s="2478"/>
      <c r="O42" s="2479"/>
      <c r="P42" s="2478"/>
      <c r="Q42" s="2478"/>
      <c r="R42" s="2480"/>
    </row>
    <row r="43" spans="2:18" s="786" customFormat="1">
      <c r="B43" s="2478"/>
      <c r="C43" s="2478"/>
      <c r="D43" s="2478"/>
      <c r="E43" s="2478"/>
      <c r="F43" s="2478"/>
      <c r="G43" s="2479"/>
      <c r="H43" s="2478"/>
      <c r="I43" s="2479"/>
      <c r="J43" s="2478"/>
      <c r="K43" s="2478"/>
      <c r="L43" s="2479"/>
      <c r="M43" s="2478"/>
      <c r="N43" s="2478"/>
      <c r="O43" s="2479"/>
      <c r="P43" s="2478"/>
      <c r="Q43" s="2478"/>
      <c r="R43" s="2480"/>
    </row>
    <row r="44" spans="2:18" s="786" customFormat="1">
      <c r="B44" s="2478"/>
      <c r="C44" s="2478"/>
      <c r="D44" s="2478"/>
      <c r="E44" s="2478"/>
      <c r="F44" s="2478"/>
      <c r="G44" s="2479"/>
      <c r="H44" s="2478"/>
      <c r="I44" s="2479"/>
      <c r="J44" s="2478"/>
      <c r="K44" s="2478"/>
      <c r="L44" s="2479"/>
      <c r="M44" s="2478"/>
      <c r="N44" s="2478"/>
      <c r="O44" s="2479"/>
      <c r="P44" s="2478"/>
      <c r="Q44" s="2478"/>
      <c r="R44" s="2480"/>
    </row>
    <row r="45" spans="2:18" s="786" customFormat="1">
      <c r="B45" s="2478"/>
      <c r="C45" s="2478"/>
      <c r="D45" s="2478"/>
      <c r="E45" s="2478"/>
      <c r="F45" s="2478"/>
      <c r="G45" s="2479"/>
      <c r="H45" s="2478"/>
      <c r="I45" s="2479"/>
      <c r="J45" s="2478"/>
      <c r="K45" s="2478"/>
      <c r="L45" s="2479"/>
      <c r="M45" s="2478"/>
      <c r="N45" s="2478"/>
      <c r="O45" s="2479"/>
      <c r="P45" s="2478"/>
      <c r="Q45" s="2478"/>
      <c r="R45" s="2480"/>
    </row>
    <row r="46" spans="2:18" s="786" customFormat="1">
      <c r="B46" s="2478"/>
      <c r="C46" s="2478"/>
      <c r="D46" s="2478"/>
      <c r="E46" s="2478"/>
      <c r="F46" s="2478"/>
      <c r="G46" s="2479"/>
      <c r="H46" s="2478"/>
      <c r="I46" s="2479"/>
      <c r="J46" s="2478"/>
      <c r="K46" s="2478"/>
      <c r="L46" s="2479"/>
      <c r="M46" s="2478"/>
      <c r="N46" s="2478"/>
      <c r="O46" s="2479"/>
      <c r="P46" s="2478"/>
      <c r="Q46" s="2478"/>
      <c r="R46" s="2480"/>
    </row>
    <row r="47" spans="2:18" s="786" customFormat="1">
      <c r="B47" s="2478"/>
      <c r="C47" s="2478"/>
      <c r="D47" s="2478"/>
      <c r="E47" s="2478"/>
      <c r="F47" s="2478"/>
      <c r="G47" s="2479"/>
      <c r="H47" s="2478"/>
      <c r="I47" s="2479"/>
      <c r="J47" s="2478"/>
      <c r="K47" s="2478"/>
      <c r="L47" s="2479"/>
      <c r="M47" s="2478"/>
      <c r="N47" s="2478"/>
      <c r="O47" s="2479"/>
      <c r="P47" s="2478"/>
      <c r="Q47" s="2478"/>
      <c r="R47" s="2480"/>
    </row>
    <row r="48" spans="2:18" s="786" customFormat="1">
      <c r="B48" s="2478"/>
      <c r="C48" s="2478"/>
      <c r="D48" s="2478"/>
      <c r="E48" s="2478"/>
      <c r="F48" s="2478"/>
      <c r="G48" s="2479"/>
      <c r="H48" s="2478"/>
      <c r="I48" s="2479"/>
      <c r="J48" s="2478"/>
      <c r="K48" s="2478"/>
      <c r="L48" s="2479"/>
      <c r="M48" s="2478"/>
      <c r="N48" s="2478"/>
      <c r="O48" s="2479"/>
      <c r="P48" s="2478"/>
      <c r="Q48" s="2478"/>
      <c r="R48" s="2480"/>
    </row>
    <row r="49" spans="2:18" s="786" customFormat="1">
      <c r="B49" s="2478"/>
      <c r="C49" s="2478"/>
      <c r="D49" s="2478"/>
      <c r="E49" s="2478"/>
      <c r="F49" s="2478"/>
      <c r="G49" s="2479"/>
      <c r="H49" s="2478"/>
      <c r="I49" s="2479"/>
      <c r="J49" s="2478"/>
      <c r="K49" s="2478"/>
      <c r="L49" s="2479"/>
      <c r="M49" s="2478"/>
      <c r="N49" s="2478"/>
      <c r="O49" s="2479"/>
      <c r="P49" s="2478"/>
      <c r="Q49" s="2478"/>
      <c r="R49" s="2480"/>
    </row>
    <row r="50" spans="2:18" s="786" customFormat="1">
      <c r="B50" s="2478"/>
      <c r="C50" s="2478"/>
      <c r="D50" s="2478"/>
      <c r="E50" s="2478"/>
      <c r="F50" s="2478"/>
      <c r="G50" s="2479"/>
      <c r="H50" s="2478"/>
      <c r="I50" s="2479"/>
      <c r="J50" s="2478"/>
      <c r="K50" s="2478"/>
      <c r="L50" s="2479"/>
      <c r="M50" s="2478"/>
      <c r="N50" s="2478"/>
      <c r="O50" s="2479"/>
      <c r="P50" s="2478"/>
      <c r="Q50" s="2478"/>
      <c r="R50" s="2480"/>
    </row>
    <row r="51" spans="2:18" s="786" customFormat="1">
      <c r="B51" s="2478"/>
      <c r="C51" s="2478"/>
      <c r="D51" s="2478"/>
      <c r="E51" s="2478"/>
      <c r="F51" s="2478"/>
      <c r="G51" s="2479"/>
      <c r="H51" s="2478"/>
      <c r="I51" s="2479"/>
      <c r="J51" s="2478"/>
      <c r="K51" s="2478"/>
      <c r="L51" s="2479"/>
      <c r="M51" s="2478"/>
      <c r="N51" s="2478"/>
      <c r="O51" s="2479"/>
      <c r="P51" s="2478"/>
      <c r="Q51" s="2478"/>
      <c r="R51" s="2480"/>
    </row>
    <row r="52" spans="2:18" s="786" customFormat="1">
      <c r="B52" s="2478"/>
      <c r="C52" s="2478"/>
      <c r="D52" s="2478"/>
      <c r="E52" s="2478"/>
      <c r="F52" s="2478"/>
      <c r="G52" s="2479"/>
      <c r="H52" s="2478"/>
      <c r="I52" s="2479"/>
      <c r="J52" s="2478"/>
      <c r="K52" s="2478"/>
      <c r="L52" s="2479"/>
      <c r="M52" s="2478"/>
      <c r="N52" s="2478"/>
      <c r="O52" s="2479"/>
      <c r="P52" s="2478"/>
      <c r="Q52" s="2478"/>
      <c r="R52" s="2480"/>
    </row>
    <row r="53" spans="2:18" s="786" customFormat="1">
      <c r="B53" s="2478"/>
      <c r="C53" s="2478"/>
      <c r="D53" s="2478"/>
      <c r="E53" s="2478"/>
      <c r="F53" s="2478"/>
      <c r="G53" s="2479"/>
      <c r="H53" s="2478"/>
      <c r="I53" s="2479"/>
      <c r="J53" s="2478"/>
      <c r="K53" s="2478"/>
      <c r="L53" s="2479"/>
      <c r="M53" s="2478"/>
      <c r="N53" s="2478"/>
      <c r="O53" s="2479"/>
      <c r="P53" s="2478"/>
      <c r="Q53" s="2478"/>
      <c r="R53" s="2480"/>
    </row>
    <row r="54" spans="2:18" s="786" customFormat="1">
      <c r="B54" s="2478"/>
      <c r="C54" s="2478"/>
      <c r="D54" s="2478"/>
      <c r="E54" s="2478"/>
      <c r="F54" s="2478"/>
      <c r="G54" s="2479"/>
      <c r="H54" s="2478"/>
      <c r="I54" s="2479"/>
      <c r="J54" s="2478"/>
      <c r="K54" s="2478"/>
      <c r="L54" s="2479"/>
      <c r="M54" s="2478"/>
      <c r="N54" s="2478"/>
      <c r="O54" s="2479"/>
      <c r="P54" s="2478"/>
      <c r="Q54" s="2478"/>
      <c r="R54" s="2480"/>
    </row>
    <row r="55" spans="2:18" s="786" customFormat="1">
      <c r="B55" s="2478"/>
      <c r="C55" s="2478"/>
      <c r="D55" s="2478"/>
      <c r="E55" s="2478"/>
      <c r="F55" s="2478"/>
      <c r="G55" s="2479"/>
      <c r="H55" s="2478"/>
      <c r="I55" s="2479"/>
      <c r="J55" s="2478"/>
      <c r="K55" s="2478"/>
      <c r="L55" s="2479"/>
      <c r="M55" s="2478"/>
      <c r="N55" s="2478"/>
      <c r="O55" s="2479"/>
      <c r="P55" s="2478"/>
      <c r="Q55" s="2478"/>
      <c r="R55" s="2480"/>
    </row>
    <row r="56" spans="2:18" s="786" customFormat="1">
      <c r="B56" s="2478"/>
      <c r="C56" s="2478"/>
      <c r="D56" s="2478"/>
      <c r="E56" s="2478"/>
      <c r="F56" s="2478"/>
      <c r="G56" s="2479"/>
      <c r="H56" s="2478"/>
      <c r="I56" s="2479"/>
      <c r="J56" s="2478"/>
      <c r="K56" s="2478"/>
      <c r="L56" s="2479"/>
      <c r="M56" s="2478"/>
      <c r="N56" s="2478"/>
      <c r="O56" s="2479"/>
      <c r="P56" s="2478"/>
      <c r="Q56" s="2478"/>
      <c r="R56" s="2480"/>
    </row>
    <row r="57" spans="2:18" s="786" customFormat="1">
      <c r="B57" s="2478"/>
      <c r="C57" s="2478"/>
      <c r="D57" s="2478"/>
      <c r="E57" s="2478"/>
      <c r="F57" s="2478"/>
      <c r="G57" s="2479"/>
      <c r="H57" s="2478"/>
      <c r="I57" s="2479"/>
      <c r="J57" s="2478"/>
      <c r="K57" s="2478"/>
      <c r="L57" s="2479"/>
      <c r="M57" s="2478"/>
      <c r="N57" s="2478"/>
      <c r="O57" s="2479"/>
      <c r="P57" s="2478"/>
      <c r="Q57" s="2478"/>
      <c r="R57" s="2480"/>
    </row>
    <row r="58" spans="2:18" s="786" customFormat="1">
      <c r="B58" s="2478"/>
      <c r="C58" s="2478"/>
      <c r="D58" s="2478"/>
      <c r="E58" s="2478"/>
      <c r="F58" s="2478"/>
      <c r="G58" s="2479"/>
      <c r="H58" s="2478"/>
      <c r="I58" s="2479"/>
      <c r="J58" s="2478"/>
      <c r="K58" s="2478"/>
      <c r="L58" s="2479"/>
      <c r="M58" s="2478"/>
      <c r="N58" s="2478"/>
      <c r="O58" s="2479"/>
      <c r="P58" s="2478"/>
      <c r="Q58" s="2478"/>
      <c r="R58" s="2480"/>
    </row>
    <row r="59" spans="2:18" s="786" customFormat="1">
      <c r="B59" s="2478"/>
      <c r="C59" s="2478"/>
      <c r="D59" s="2478"/>
      <c r="E59" s="2478"/>
      <c r="F59" s="2478"/>
      <c r="G59" s="2479"/>
      <c r="H59" s="2478"/>
      <c r="I59" s="2479"/>
      <c r="J59" s="2478"/>
      <c r="K59" s="2478"/>
      <c r="L59" s="2479"/>
      <c r="M59" s="2478"/>
      <c r="N59" s="2478"/>
      <c r="O59" s="2479"/>
      <c r="P59" s="2478"/>
      <c r="Q59" s="2478"/>
      <c r="R59" s="2480"/>
    </row>
    <row r="60" spans="2:18" s="786" customFormat="1">
      <c r="B60" s="2478"/>
      <c r="C60" s="2478"/>
      <c r="D60" s="2478"/>
      <c r="E60" s="2478"/>
      <c r="F60" s="2478"/>
      <c r="G60" s="2479"/>
      <c r="H60" s="2478"/>
      <c r="I60" s="2479"/>
      <c r="J60" s="2478"/>
      <c r="K60" s="2478"/>
      <c r="L60" s="2479"/>
      <c r="M60" s="2478"/>
      <c r="N60" s="2478"/>
      <c r="O60" s="2479"/>
      <c r="P60" s="2478"/>
      <c r="Q60" s="2478"/>
      <c r="R60" s="2480"/>
    </row>
    <row r="61" spans="2:18" s="786" customFormat="1">
      <c r="B61" s="2478"/>
      <c r="C61" s="2478"/>
      <c r="D61" s="2478"/>
      <c r="E61" s="2478"/>
      <c r="F61" s="2478"/>
      <c r="G61" s="2479"/>
      <c r="H61" s="2478"/>
      <c r="I61" s="2479"/>
      <c r="J61" s="2478"/>
      <c r="K61" s="2478"/>
      <c r="L61" s="2479"/>
      <c r="M61" s="2478"/>
      <c r="N61" s="2478"/>
      <c r="O61" s="2479"/>
      <c r="P61" s="2478"/>
      <c r="Q61" s="2478"/>
      <c r="R61" s="2480"/>
    </row>
    <row r="62" spans="2:18" s="786" customFormat="1">
      <c r="B62" s="2478"/>
      <c r="C62" s="2478"/>
      <c r="D62" s="2478"/>
      <c r="E62" s="2478"/>
      <c r="F62" s="2478"/>
      <c r="G62" s="2479"/>
      <c r="H62" s="2478"/>
      <c r="I62" s="2479"/>
      <c r="J62" s="2478"/>
      <c r="K62" s="2478"/>
      <c r="L62" s="2479"/>
      <c r="M62" s="2478"/>
      <c r="N62" s="2478"/>
      <c r="O62" s="2479"/>
      <c r="P62" s="2478"/>
      <c r="Q62" s="2478"/>
      <c r="R62" s="2480"/>
    </row>
    <row r="63" spans="2:18" s="786" customFormat="1">
      <c r="B63" s="2478"/>
      <c r="C63" s="2478"/>
      <c r="D63" s="2478"/>
      <c r="E63" s="2478"/>
      <c r="F63" s="2478"/>
      <c r="G63" s="2479"/>
      <c r="H63" s="2478"/>
      <c r="I63" s="2479"/>
      <c r="J63" s="2478"/>
      <c r="K63" s="2478"/>
      <c r="L63" s="2479"/>
      <c r="M63" s="2478"/>
      <c r="N63" s="2478"/>
      <c r="O63" s="2479"/>
      <c r="P63" s="2478"/>
      <c r="Q63" s="2478"/>
      <c r="R63" s="2480"/>
    </row>
    <row r="64" spans="2:18" s="786" customFormat="1">
      <c r="B64" s="2478"/>
      <c r="C64" s="2478"/>
      <c r="D64" s="2478"/>
      <c r="E64" s="2478"/>
      <c r="F64" s="2478"/>
      <c r="G64" s="2479"/>
      <c r="H64" s="2478"/>
      <c r="I64" s="2479"/>
      <c r="J64" s="2478"/>
      <c r="K64" s="2478"/>
      <c r="L64" s="2479"/>
      <c r="M64" s="2478"/>
      <c r="N64" s="2478"/>
      <c r="O64" s="2479"/>
      <c r="P64" s="2478"/>
      <c r="Q64" s="2478"/>
      <c r="R64" s="2480"/>
    </row>
    <row r="65" spans="2:18" s="786" customFormat="1">
      <c r="B65" s="2478"/>
      <c r="C65" s="2478"/>
      <c r="D65" s="2478"/>
      <c r="E65" s="2478"/>
      <c r="F65" s="2478"/>
      <c r="G65" s="2479"/>
      <c r="H65" s="2478"/>
      <c r="I65" s="2479"/>
      <c r="J65" s="2478"/>
      <c r="K65" s="2478"/>
      <c r="L65" s="2479"/>
      <c r="M65" s="2478"/>
      <c r="N65" s="2478"/>
      <c r="O65" s="2479"/>
      <c r="P65" s="2478"/>
      <c r="Q65" s="2478"/>
      <c r="R65" s="2480"/>
    </row>
    <row r="66" spans="2:18" s="786" customFormat="1">
      <c r="B66" s="2478"/>
      <c r="C66" s="2478"/>
      <c r="D66" s="2478"/>
      <c r="E66" s="2478"/>
      <c r="F66" s="2478"/>
      <c r="G66" s="2479"/>
      <c r="H66" s="2478"/>
      <c r="I66" s="2479"/>
      <c r="J66" s="2478"/>
      <c r="K66" s="2478"/>
      <c r="L66" s="2479"/>
      <c r="M66" s="2478"/>
      <c r="N66" s="2478"/>
      <c r="O66" s="2479"/>
      <c r="P66" s="2478"/>
      <c r="Q66" s="2478"/>
      <c r="R66" s="2480"/>
    </row>
    <row r="67" spans="2:18" s="786" customFormat="1">
      <c r="B67" s="2478"/>
      <c r="C67" s="2478"/>
      <c r="D67" s="2478"/>
      <c r="E67" s="2478"/>
      <c r="F67" s="2478"/>
      <c r="G67" s="2479"/>
      <c r="H67" s="2478"/>
      <c r="I67" s="2479"/>
      <c r="J67" s="2478"/>
      <c r="K67" s="2478"/>
      <c r="L67" s="2479"/>
      <c r="M67" s="2478"/>
      <c r="N67" s="2478"/>
      <c r="O67" s="2479"/>
      <c r="P67" s="2478"/>
      <c r="Q67" s="2478"/>
      <c r="R67" s="2480"/>
    </row>
    <row r="68" spans="2:18" s="786" customFormat="1">
      <c r="B68" s="2478"/>
      <c r="C68" s="2478"/>
      <c r="D68" s="2478"/>
      <c r="E68" s="2478"/>
      <c r="F68" s="2478"/>
      <c r="G68" s="2479"/>
      <c r="H68" s="2478"/>
      <c r="I68" s="2479"/>
      <c r="J68" s="2478"/>
      <c r="K68" s="2478"/>
      <c r="L68" s="2479"/>
      <c r="M68" s="2478"/>
      <c r="N68" s="2478"/>
      <c r="O68" s="2479"/>
      <c r="P68" s="2478"/>
      <c r="Q68" s="2478"/>
      <c r="R68" s="2480"/>
    </row>
    <row r="69" spans="2:18" s="786" customFormat="1">
      <c r="B69" s="2478"/>
      <c r="C69" s="2478"/>
      <c r="D69" s="2478"/>
      <c r="E69" s="2478"/>
      <c r="F69" s="2478"/>
      <c r="G69" s="2479"/>
      <c r="H69" s="2478"/>
      <c r="I69" s="2479"/>
      <c r="J69" s="2478"/>
      <c r="K69" s="2478"/>
      <c r="L69" s="2479"/>
      <c r="M69" s="2478"/>
      <c r="N69" s="2478"/>
      <c r="O69" s="2479"/>
      <c r="P69" s="2478"/>
      <c r="Q69" s="2478"/>
      <c r="R69" s="2480"/>
    </row>
    <row r="70" spans="2:18" s="786" customFormat="1">
      <c r="B70" s="2478"/>
      <c r="C70" s="2478"/>
      <c r="D70" s="2478"/>
      <c r="E70" s="2478"/>
      <c r="F70" s="2478"/>
      <c r="G70" s="2479"/>
      <c r="H70" s="2478"/>
      <c r="I70" s="2479"/>
      <c r="J70" s="2478"/>
      <c r="K70" s="2478"/>
      <c r="L70" s="2479"/>
      <c r="M70" s="2478"/>
      <c r="N70" s="2478"/>
      <c r="O70" s="2479"/>
      <c r="P70" s="2478"/>
      <c r="Q70" s="2478"/>
      <c r="R70" s="2480"/>
    </row>
    <row r="71" spans="2:18" s="786" customFormat="1">
      <c r="B71" s="2478"/>
      <c r="C71" s="2478"/>
      <c r="D71" s="2478"/>
      <c r="E71" s="2478"/>
      <c r="F71" s="2478"/>
      <c r="G71" s="2479"/>
      <c r="H71" s="2478"/>
      <c r="I71" s="2479"/>
      <c r="J71" s="2478"/>
      <c r="K71" s="2478"/>
      <c r="L71" s="2479"/>
      <c r="M71" s="2478"/>
      <c r="N71" s="2478"/>
      <c r="O71" s="2479"/>
      <c r="P71" s="2478"/>
      <c r="Q71" s="2478"/>
      <c r="R71" s="2480"/>
    </row>
    <row r="72" spans="2:18" s="786" customFormat="1">
      <c r="B72" s="2478"/>
      <c r="C72" s="2478"/>
      <c r="D72" s="2478"/>
      <c r="E72" s="2478"/>
      <c r="F72" s="2478"/>
      <c r="G72" s="2479"/>
      <c r="H72" s="2478"/>
      <c r="I72" s="2479"/>
      <c r="J72" s="2478"/>
      <c r="K72" s="2478"/>
      <c r="L72" s="2479"/>
      <c r="M72" s="2478"/>
      <c r="N72" s="2478"/>
      <c r="O72" s="2479"/>
      <c r="P72" s="2478"/>
      <c r="Q72" s="2478"/>
      <c r="R72" s="2480"/>
    </row>
    <row r="73" spans="2:18" s="786" customFormat="1">
      <c r="B73" s="2478"/>
      <c r="C73" s="2478"/>
      <c r="D73" s="2478"/>
      <c r="E73" s="2478"/>
      <c r="F73" s="2478"/>
      <c r="G73" s="2479"/>
      <c r="H73" s="2478"/>
      <c r="I73" s="2479"/>
      <c r="J73" s="2478"/>
      <c r="K73" s="2478"/>
      <c r="L73" s="2479"/>
      <c r="M73" s="2478"/>
      <c r="N73" s="2478"/>
      <c r="O73" s="2479"/>
      <c r="P73" s="2478"/>
      <c r="Q73" s="2478"/>
      <c r="R73" s="2480"/>
    </row>
    <row r="74" spans="2:18" s="786" customFormat="1">
      <c r="B74" s="2478"/>
      <c r="C74" s="2478"/>
      <c r="D74" s="2478"/>
      <c r="E74" s="2478"/>
      <c r="F74" s="2478"/>
      <c r="G74" s="2479"/>
      <c r="H74" s="2478"/>
      <c r="I74" s="2479"/>
      <c r="J74" s="2478"/>
      <c r="K74" s="2478"/>
      <c r="L74" s="2479"/>
      <c r="M74" s="2478"/>
      <c r="N74" s="2478"/>
      <c r="O74" s="2479"/>
      <c r="P74" s="2478"/>
      <c r="Q74" s="2478"/>
      <c r="R74" s="2480"/>
    </row>
    <row r="75" spans="2:18" s="786" customFormat="1">
      <c r="B75" s="2478"/>
      <c r="C75" s="2478"/>
      <c r="D75" s="2478"/>
      <c r="E75" s="2478"/>
      <c r="F75" s="2478"/>
      <c r="G75" s="2479"/>
      <c r="H75" s="2478"/>
      <c r="I75" s="2479"/>
      <c r="J75" s="2478"/>
      <c r="K75" s="2478"/>
      <c r="L75" s="2479"/>
      <c r="M75" s="2478"/>
      <c r="N75" s="2478"/>
      <c r="O75" s="2479"/>
      <c r="P75" s="2478"/>
      <c r="Q75" s="2478"/>
      <c r="R75" s="2480"/>
    </row>
    <row r="76" spans="2:18" s="786" customFormat="1">
      <c r="B76" s="2478"/>
      <c r="C76" s="2478"/>
      <c r="D76" s="2478"/>
      <c r="E76" s="2478"/>
      <c r="F76" s="2478"/>
      <c r="G76" s="2479"/>
      <c r="H76" s="2478"/>
      <c r="I76" s="2479"/>
      <c r="J76" s="2478"/>
      <c r="K76" s="2478"/>
      <c r="L76" s="2479"/>
      <c r="M76" s="2478"/>
      <c r="N76" s="2478"/>
      <c r="O76" s="2479"/>
      <c r="P76" s="2478"/>
      <c r="Q76" s="2478"/>
      <c r="R76" s="2480"/>
    </row>
    <row r="77" spans="2:18" s="786" customFormat="1">
      <c r="B77" s="2478"/>
      <c r="C77" s="2478"/>
      <c r="D77" s="2478"/>
      <c r="E77" s="2478"/>
      <c r="F77" s="2478"/>
      <c r="G77" s="2479"/>
      <c r="H77" s="2478"/>
      <c r="I77" s="2479"/>
      <c r="J77" s="2478"/>
      <c r="K77" s="2478"/>
      <c r="L77" s="2479"/>
      <c r="M77" s="2478"/>
      <c r="N77" s="2478"/>
      <c r="O77" s="2479"/>
      <c r="P77" s="2478"/>
      <c r="Q77" s="2478"/>
      <c r="R77" s="2480"/>
    </row>
    <row r="78" spans="2:18" s="786" customFormat="1">
      <c r="B78" s="2478"/>
      <c r="C78" s="2478"/>
      <c r="D78" s="2478"/>
      <c r="E78" s="2478"/>
      <c r="F78" s="2478"/>
      <c r="G78" s="2479"/>
      <c r="H78" s="2478"/>
      <c r="I78" s="2479"/>
      <c r="J78" s="2478"/>
      <c r="K78" s="2478"/>
      <c r="L78" s="2479"/>
      <c r="M78" s="2478"/>
      <c r="N78" s="2478"/>
      <c r="O78" s="2479"/>
      <c r="P78" s="2478"/>
      <c r="Q78" s="2478"/>
      <c r="R78" s="2480"/>
    </row>
    <row r="79" spans="2:18" s="786" customFormat="1">
      <c r="B79" s="2478"/>
      <c r="C79" s="2478"/>
      <c r="D79" s="2478"/>
      <c r="E79" s="2478"/>
      <c r="F79" s="2478"/>
      <c r="G79" s="2479"/>
      <c r="H79" s="2478"/>
      <c r="I79" s="2479"/>
      <c r="J79" s="2478"/>
      <c r="K79" s="2478"/>
      <c r="L79" s="2479"/>
      <c r="M79" s="2478"/>
      <c r="N79" s="2478"/>
      <c r="O79" s="2479"/>
      <c r="P79" s="2478"/>
      <c r="Q79" s="2478"/>
      <c r="R79" s="2480"/>
    </row>
    <row r="80" spans="2:18" s="786" customFormat="1">
      <c r="B80" s="2478"/>
      <c r="C80" s="2478"/>
      <c r="D80" s="2478"/>
      <c r="E80" s="2478"/>
      <c r="F80" s="2478"/>
      <c r="G80" s="2479"/>
      <c r="H80" s="2478"/>
      <c r="I80" s="2479"/>
      <c r="J80" s="2478"/>
      <c r="K80" s="2478"/>
      <c r="L80" s="2479"/>
      <c r="M80" s="2478"/>
      <c r="N80" s="2478"/>
      <c r="O80" s="2479"/>
      <c r="P80" s="2478"/>
      <c r="Q80" s="2478"/>
      <c r="R80" s="2480"/>
    </row>
    <row r="81" spans="2:18" s="786" customFormat="1">
      <c r="B81" s="2478"/>
      <c r="C81" s="2478"/>
      <c r="D81" s="2478"/>
      <c r="E81" s="2478"/>
      <c r="F81" s="2478"/>
      <c r="G81" s="2479"/>
      <c r="H81" s="2478"/>
      <c r="I81" s="2479"/>
      <c r="J81" s="2478"/>
      <c r="K81" s="2478"/>
      <c r="L81" s="2479"/>
      <c r="M81" s="2478"/>
      <c r="N81" s="2478"/>
      <c r="O81" s="2479"/>
      <c r="P81" s="2478"/>
      <c r="Q81" s="2478"/>
      <c r="R81" s="2480"/>
    </row>
    <row r="82" spans="2:18" s="786" customFormat="1">
      <c r="B82" s="2478"/>
      <c r="C82" s="2478"/>
      <c r="D82" s="2478"/>
      <c r="E82" s="2478"/>
      <c r="F82" s="2478"/>
      <c r="G82" s="2479"/>
      <c r="H82" s="2478"/>
      <c r="I82" s="2479"/>
      <c r="J82" s="2478"/>
      <c r="K82" s="2478"/>
      <c r="L82" s="2479"/>
      <c r="M82" s="2478"/>
      <c r="N82" s="2478"/>
      <c r="O82" s="2479"/>
      <c r="P82" s="2478"/>
      <c r="Q82" s="2478"/>
      <c r="R82" s="2480"/>
    </row>
    <row r="83" spans="2:18" s="786" customFormat="1">
      <c r="B83" s="2478"/>
      <c r="C83" s="2478"/>
      <c r="D83" s="2478"/>
      <c r="E83" s="2478"/>
      <c r="F83" s="2478"/>
      <c r="G83" s="2479"/>
      <c r="H83" s="2478"/>
      <c r="I83" s="2479"/>
      <c r="J83" s="2478"/>
      <c r="K83" s="2478"/>
      <c r="L83" s="2479"/>
      <c r="M83" s="2478"/>
      <c r="N83" s="2478"/>
      <c r="O83" s="2479"/>
      <c r="P83" s="2478"/>
      <c r="Q83" s="2478"/>
      <c r="R83" s="2480"/>
    </row>
    <row r="84" spans="2:18" s="786" customFormat="1">
      <c r="B84" s="2478"/>
      <c r="C84" s="2478"/>
      <c r="D84" s="2478"/>
      <c r="E84" s="2478"/>
      <c r="F84" s="2478"/>
      <c r="G84" s="2479"/>
      <c r="H84" s="2478"/>
      <c r="I84" s="2479"/>
      <c r="J84" s="2478"/>
      <c r="K84" s="2478"/>
      <c r="L84" s="2479"/>
      <c r="M84" s="2478"/>
      <c r="N84" s="2478"/>
      <c r="O84" s="2479"/>
      <c r="P84" s="2478"/>
      <c r="Q84" s="2478"/>
      <c r="R84" s="2480"/>
    </row>
    <row r="85" spans="2:18" s="786" customFormat="1">
      <c r="B85" s="2478"/>
      <c r="C85" s="2478"/>
      <c r="D85" s="2478"/>
      <c r="E85" s="2478"/>
      <c r="F85" s="2478"/>
      <c r="G85" s="2479"/>
      <c r="H85" s="2478"/>
      <c r="I85" s="2479"/>
      <c r="J85" s="2478"/>
      <c r="K85" s="2478"/>
      <c r="L85" s="2479"/>
      <c r="M85" s="2478"/>
      <c r="N85" s="2478"/>
      <c r="O85" s="2479"/>
      <c r="P85" s="2478"/>
      <c r="Q85" s="2478"/>
      <c r="R85" s="2480"/>
    </row>
    <row r="86" spans="2:18" s="786" customFormat="1">
      <c r="B86" s="2478"/>
      <c r="C86" s="2478"/>
      <c r="D86" s="2478"/>
      <c r="E86" s="2478"/>
      <c r="F86" s="2478"/>
      <c r="G86" s="2479"/>
      <c r="H86" s="2478"/>
      <c r="I86" s="2479"/>
      <c r="J86" s="2478"/>
      <c r="K86" s="2478"/>
      <c r="L86" s="2479"/>
      <c r="M86" s="2478"/>
      <c r="N86" s="2478"/>
      <c r="O86" s="2479"/>
      <c r="P86" s="2478"/>
      <c r="Q86" s="2478"/>
      <c r="R86" s="2480"/>
    </row>
    <row r="87" spans="2:18" s="786" customFormat="1">
      <c r="B87" s="2478"/>
      <c r="C87" s="2478"/>
      <c r="D87" s="2478"/>
      <c r="E87" s="2478"/>
      <c r="F87" s="2478"/>
      <c r="G87" s="2479"/>
      <c r="H87" s="2478"/>
      <c r="I87" s="2479"/>
      <c r="J87" s="2478"/>
      <c r="K87" s="2478"/>
      <c r="L87" s="2479"/>
      <c r="M87" s="2478"/>
      <c r="N87" s="2478"/>
      <c r="O87" s="2479"/>
      <c r="P87" s="2478"/>
      <c r="Q87" s="2478"/>
      <c r="R87" s="2480"/>
    </row>
    <row r="88" spans="2:18" s="786" customFormat="1">
      <c r="B88" s="2478"/>
      <c r="C88" s="2478"/>
      <c r="D88" s="2478"/>
      <c r="E88" s="2478"/>
      <c r="F88" s="2478"/>
      <c r="G88" s="2479"/>
      <c r="H88" s="2478"/>
      <c r="I88" s="2479"/>
      <c r="J88" s="2478"/>
      <c r="K88" s="2478"/>
      <c r="L88" s="2479"/>
      <c r="M88" s="2478"/>
      <c r="N88" s="2478"/>
      <c r="O88" s="2479"/>
      <c r="P88" s="2478"/>
      <c r="Q88" s="2478"/>
      <c r="R88" s="2480"/>
    </row>
    <row r="89" spans="2:18" s="786" customFormat="1">
      <c r="B89" s="2478"/>
      <c r="C89" s="2478"/>
      <c r="D89" s="2478"/>
      <c r="E89" s="2478"/>
      <c r="F89" s="2478"/>
      <c r="G89" s="2479"/>
      <c r="H89" s="2478"/>
      <c r="I89" s="2479"/>
      <c r="J89" s="2478"/>
      <c r="K89" s="2478"/>
      <c r="L89" s="2479"/>
      <c r="M89" s="2478"/>
      <c r="N89" s="2478"/>
      <c r="O89" s="2479"/>
      <c r="P89" s="2478"/>
      <c r="Q89" s="2478"/>
      <c r="R89" s="2480"/>
    </row>
    <row r="90" spans="2:18" s="786" customFormat="1">
      <c r="B90" s="2478"/>
      <c r="C90" s="2478"/>
      <c r="D90" s="2478"/>
      <c r="E90" s="2478"/>
      <c r="F90" s="2478"/>
      <c r="G90" s="2479"/>
      <c r="H90" s="2478"/>
      <c r="I90" s="2479"/>
      <c r="J90" s="2478"/>
      <c r="K90" s="2478"/>
      <c r="L90" s="2479"/>
      <c r="M90" s="2478"/>
      <c r="N90" s="2478"/>
      <c r="O90" s="2479"/>
      <c r="P90" s="2478"/>
      <c r="Q90" s="2478"/>
      <c r="R90" s="2480"/>
    </row>
    <row r="91" spans="2:18" s="786" customFormat="1">
      <c r="B91" s="2478"/>
      <c r="C91" s="2478"/>
      <c r="D91" s="2478"/>
      <c r="E91" s="2478"/>
      <c r="F91" s="2478"/>
      <c r="G91" s="2479"/>
      <c r="H91" s="2478"/>
      <c r="I91" s="2479"/>
      <c r="J91" s="2478"/>
      <c r="K91" s="2478"/>
      <c r="L91" s="2479"/>
      <c r="M91" s="2478"/>
      <c r="N91" s="2478"/>
      <c r="O91" s="2479"/>
      <c r="P91" s="2478"/>
      <c r="Q91" s="2478"/>
      <c r="R91" s="2480"/>
    </row>
    <row r="92" spans="2:18" s="786" customFormat="1">
      <c r="B92" s="2478"/>
      <c r="C92" s="2478"/>
      <c r="D92" s="2478"/>
      <c r="E92" s="2478"/>
      <c r="F92" s="2478"/>
      <c r="G92" s="2479"/>
      <c r="H92" s="2478"/>
      <c r="I92" s="2479"/>
      <c r="J92" s="2478"/>
      <c r="K92" s="2478"/>
      <c r="L92" s="2479"/>
      <c r="M92" s="2478"/>
      <c r="N92" s="2478"/>
      <c r="O92" s="2479"/>
      <c r="P92" s="2478"/>
      <c r="Q92" s="2478"/>
      <c r="R92" s="2480"/>
    </row>
    <row r="93" spans="2:18" s="786" customFormat="1">
      <c r="B93" s="2478"/>
      <c r="C93" s="2478"/>
      <c r="D93" s="2478"/>
      <c r="E93" s="2478"/>
      <c r="F93" s="2478"/>
      <c r="G93" s="2479"/>
      <c r="H93" s="2478"/>
      <c r="I93" s="2479"/>
      <c r="J93" s="2478"/>
      <c r="K93" s="2478"/>
      <c r="L93" s="2479"/>
      <c r="M93" s="2478"/>
      <c r="N93" s="2478"/>
      <c r="O93" s="2479"/>
      <c r="P93" s="2478"/>
      <c r="Q93" s="2478"/>
      <c r="R93" s="2480"/>
    </row>
    <row r="94" spans="2:18" s="786" customFormat="1">
      <c r="B94" s="2478"/>
      <c r="C94" s="2478"/>
      <c r="D94" s="2478"/>
      <c r="E94" s="2478"/>
      <c r="F94" s="2478"/>
      <c r="G94" s="2479"/>
      <c r="H94" s="2478"/>
      <c r="I94" s="2479"/>
      <c r="J94" s="2478"/>
      <c r="K94" s="2478"/>
      <c r="L94" s="2479"/>
      <c r="M94" s="2478"/>
      <c r="N94" s="2478"/>
      <c r="O94" s="2479"/>
      <c r="P94" s="2478"/>
      <c r="Q94" s="2478"/>
      <c r="R94" s="2480"/>
    </row>
    <row r="95" spans="2:18" s="786" customFormat="1">
      <c r="B95" s="2478"/>
      <c r="C95" s="2478"/>
      <c r="D95" s="2478"/>
      <c r="E95" s="2478"/>
      <c r="F95" s="2478"/>
      <c r="G95" s="2479"/>
      <c r="H95" s="2478"/>
      <c r="I95" s="2479"/>
      <c r="J95" s="2478"/>
      <c r="K95" s="2478"/>
      <c r="L95" s="2479"/>
      <c r="M95" s="2478"/>
      <c r="N95" s="2478"/>
      <c r="O95" s="2479"/>
      <c r="P95" s="2478"/>
      <c r="Q95" s="2478"/>
      <c r="R95" s="2480"/>
    </row>
    <row r="96" spans="2:18" s="786" customFormat="1">
      <c r="B96" s="2478"/>
      <c r="C96" s="2478"/>
      <c r="D96" s="2478"/>
      <c r="E96" s="2478"/>
      <c r="F96" s="2478"/>
      <c r="G96" s="2479"/>
      <c r="H96" s="2478"/>
      <c r="I96" s="2479"/>
      <c r="J96" s="2478"/>
      <c r="K96" s="2478"/>
      <c r="L96" s="2479"/>
      <c r="M96" s="2478"/>
      <c r="N96" s="2478"/>
      <c r="O96" s="2479"/>
      <c r="P96" s="2478"/>
      <c r="Q96" s="2478"/>
      <c r="R96" s="2480"/>
    </row>
    <row r="97" spans="2:18" s="786" customFormat="1">
      <c r="B97" s="2478"/>
      <c r="C97" s="2478"/>
      <c r="D97" s="2478"/>
      <c r="E97" s="2478"/>
      <c r="F97" s="2478"/>
      <c r="G97" s="2479"/>
      <c r="H97" s="2478"/>
      <c r="I97" s="2479"/>
      <c r="J97" s="2478"/>
      <c r="K97" s="2478"/>
      <c r="L97" s="2479"/>
      <c r="M97" s="2478"/>
      <c r="N97" s="2478"/>
      <c r="O97" s="2479"/>
      <c r="P97" s="2478"/>
      <c r="Q97" s="2478"/>
      <c r="R97" s="2480"/>
    </row>
    <row r="98" spans="2:18" s="786" customFormat="1">
      <c r="B98" s="2478"/>
      <c r="C98" s="2478"/>
      <c r="D98" s="2478"/>
      <c r="E98" s="2478"/>
      <c r="F98" s="2478"/>
      <c r="G98" s="2479"/>
      <c r="H98" s="2478"/>
      <c r="I98" s="2479"/>
      <c r="J98" s="2478"/>
      <c r="K98" s="2478"/>
      <c r="L98" s="2479"/>
      <c r="M98" s="2478"/>
      <c r="N98" s="2478"/>
      <c r="O98" s="2479"/>
      <c r="P98" s="2478"/>
      <c r="Q98" s="2478"/>
      <c r="R98" s="2480"/>
    </row>
    <row r="99" spans="2:18" s="786" customFormat="1">
      <c r="B99" s="2478"/>
      <c r="C99" s="2478"/>
      <c r="D99" s="2478"/>
      <c r="E99" s="2478"/>
      <c r="F99" s="2478"/>
      <c r="G99" s="2479"/>
      <c r="H99" s="2478"/>
      <c r="I99" s="2479"/>
      <c r="J99" s="2478"/>
      <c r="K99" s="2478"/>
      <c r="L99" s="2479"/>
      <c r="M99" s="2478"/>
      <c r="N99" s="2478"/>
      <c r="O99" s="2479"/>
      <c r="P99" s="2478"/>
      <c r="Q99" s="2478"/>
      <c r="R99" s="2480"/>
    </row>
    <row r="100" spans="2:18" s="786" customFormat="1">
      <c r="B100" s="2478"/>
      <c r="C100" s="2478"/>
      <c r="D100" s="2478"/>
      <c r="E100" s="2478"/>
      <c r="F100" s="2478"/>
      <c r="G100" s="2479"/>
      <c r="H100" s="2478"/>
      <c r="I100" s="2479"/>
      <c r="J100" s="2478"/>
      <c r="K100" s="2478"/>
      <c r="L100" s="2479"/>
      <c r="M100" s="2478"/>
      <c r="N100" s="2478"/>
      <c r="O100" s="2479"/>
      <c r="P100" s="2478"/>
      <c r="Q100" s="2478"/>
      <c r="R100" s="2480"/>
    </row>
    <row r="101" spans="2:18" s="786" customFormat="1">
      <c r="B101" s="2478"/>
      <c r="C101" s="2478"/>
      <c r="D101" s="2478"/>
      <c r="E101" s="2478"/>
      <c r="F101" s="2478"/>
      <c r="G101" s="2479"/>
      <c r="H101" s="2478"/>
      <c r="I101" s="2479"/>
      <c r="J101" s="2478"/>
      <c r="K101" s="2478"/>
      <c r="L101" s="2479"/>
      <c r="M101" s="2478"/>
      <c r="N101" s="2478"/>
      <c r="O101" s="2479"/>
      <c r="P101" s="2478"/>
      <c r="Q101" s="2478"/>
      <c r="R101" s="2480"/>
    </row>
    <row r="102" spans="2:18" s="786" customFormat="1">
      <c r="B102" s="2478"/>
      <c r="C102" s="2478"/>
      <c r="D102" s="2478"/>
      <c r="E102" s="2478"/>
      <c r="F102" s="2478"/>
      <c r="G102" s="2479"/>
      <c r="H102" s="2478"/>
      <c r="I102" s="2479"/>
      <c r="J102" s="2478"/>
      <c r="K102" s="2478"/>
      <c r="L102" s="2479"/>
      <c r="M102" s="2478"/>
      <c r="N102" s="2478"/>
      <c r="O102" s="2479"/>
      <c r="P102" s="2478"/>
      <c r="Q102" s="2478"/>
      <c r="R102" s="2480"/>
    </row>
    <row r="103" spans="2:18" s="786" customFormat="1">
      <c r="B103" s="2478"/>
      <c r="C103" s="2478"/>
      <c r="D103" s="2478"/>
      <c r="E103" s="2478"/>
      <c r="F103" s="2478"/>
      <c r="G103" s="2479"/>
      <c r="H103" s="2478"/>
      <c r="I103" s="2479"/>
      <c r="J103" s="2478"/>
      <c r="K103" s="2478"/>
      <c r="L103" s="2479"/>
      <c r="M103" s="2478"/>
      <c r="N103" s="2478"/>
      <c r="O103" s="2479"/>
      <c r="P103" s="2478"/>
      <c r="Q103" s="2478"/>
      <c r="R103" s="2480"/>
    </row>
    <row r="104" spans="2:18" s="786" customFormat="1">
      <c r="B104" s="2478"/>
      <c r="C104" s="2478"/>
      <c r="D104" s="2478"/>
      <c r="E104" s="2478"/>
      <c r="F104" s="2478"/>
      <c r="G104" s="2479"/>
      <c r="H104" s="2478"/>
      <c r="I104" s="2479"/>
      <c r="J104" s="2478"/>
      <c r="K104" s="2478"/>
      <c r="L104" s="2479"/>
      <c r="M104" s="2478"/>
      <c r="N104" s="2478"/>
      <c r="O104" s="2479"/>
      <c r="P104" s="2478"/>
      <c r="Q104" s="2478"/>
      <c r="R104" s="2480"/>
    </row>
    <row r="105" spans="2:18" s="786" customFormat="1">
      <c r="B105" s="2478"/>
      <c r="C105" s="2478"/>
      <c r="D105" s="2478"/>
      <c r="E105" s="2478"/>
      <c r="F105" s="2478"/>
      <c r="G105" s="2479"/>
      <c r="H105" s="2478"/>
      <c r="I105" s="2479"/>
      <c r="J105" s="2478"/>
      <c r="K105" s="2478"/>
      <c r="L105" s="2479"/>
      <c r="M105" s="2478"/>
      <c r="N105" s="2478"/>
      <c r="O105" s="2479"/>
      <c r="P105" s="2478"/>
      <c r="Q105" s="2478"/>
      <c r="R105" s="2480"/>
    </row>
    <row r="106" spans="2:18" s="786" customFormat="1">
      <c r="B106" s="2478"/>
      <c r="C106" s="2478"/>
      <c r="D106" s="2478"/>
      <c r="E106" s="2478"/>
      <c r="F106" s="2478"/>
      <c r="G106" s="2479"/>
      <c r="H106" s="2478"/>
      <c r="I106" s="2479"/>
      <c r="J106" s="2478"/>
      <c r="K106" s="2478"/>
      <c r="L106" s="2479"/>
      <c r="M106" s="2478"/>
      <c r="N106" s="2478"/>
      <c r="O106" s="2479"/>
      <c r="P106" s="2478"/>
      <c r="Q106" s="2478"/>
      <c r="R106" s="2480"/>
    </row>
    <row r="107" spans="2:18" s="786" customFormat="1">
      <c r="B107" s="2478"/>
      <c r="C107" s="2478"/>
      <c r="D107" s="2478"/>
      <c r="E107" s="2478"/>
      <c r="F107" s="2478"/>
      <c r="G107" s="2479"/>
      <c r="H107" s="2478"/>
      <c r="I107" s="2479"/>
      <c r="J107" s="2478"/>
      <c r="K107" s="2478"/>
      <c r="L107" s="2479"/>
      <c r="M107" s="2478"/>
      <c r="N107" s="2478"/>
      <c r="O107" s="2479"/>
      <c r="P107" s="2478"/>
      <c r="Q107" s="2478"/>
      <c r="R107" s="2480"/>
    </row>
    <row r="108" spans="2:18" s="786" customFormat="1">
      <c r="B108" s="2478"/>
      <c r="C108" s="2478"/>
      <c r="D108" s="2478"/>
      <c r="E108" s="2478"/>
      <c r="F108" s="2478"/>
      <c r="G108" s="2479"/>
      <c r="H108" s="2478"/>
      <c r="I108" s="2479"/>
      <c r="J108" s="2478"/>
      <c r="K108" s="2478"/>
      <c r="L108" s="2479"/>
      <c r="M108" s="2478"/>
      <c r="N108" s="2478"/>
      <c r="O108" s="2479"/>
      <c r="P108" s="2478"/>
      <c r="Q108" s="2478"/>
      <c r="R108" s="2480"/>
    </row>
    <row r="109" spans="2:18" s="786" customFormat="1">
      <c r="B109" s="2478"/>
      <c r="C109" s="2478"/>
      <c r="D109" s="2478"/>
      <c r="E109" s="2478"/>
      <c r="F109" s="2478"/>
      <c r="G109" s="2479"/>
      <c r="H109" s="2478"/>
      <c r="I109" s="2479"/>
      <c r="J109" s="2478"/>
      <c r="K109" s="2478"/>
      <c r="L109" s="2479"/>
      <c r="M109" s="2478"/>
      <c r="N109" s="2478"/>
      <c r="O109" s="2479"/>
      <c r="P109" s="2478"/>
      <c r="Q109" s="2478"/>
      <c r="R109" s="2480"/>
    </row>
    <row r="110" spans="2:18" s="786" customFormat="1">
      <c r="B110" s="2478"/>
      <c r="C110" s="2478"/>
      <c r="D110" s="2478"/>
      <c r="E110" s="2478"/>
      <c r="F110" s="2478"/>
      <c r="G110" s="2479"/>
      <c r="H110" s="2478"/>
      <c r="I110" s="2479"/>
      <c r="J110" s="2478"/>
      <c r="K110" s="2478"/>
      <c r="L110" s="2479"/>
      <c r="M110" s="2478"/>
      <c r="N110" s="2478"/>
      <c r="O110" s="2479"/>
      <c r="P110" s="2478"/>
      <c r="Q110" s="2478"/>
      <c r="R110" s="2480"/>
    </row>
    <row r="111" spans="2:18" s="786" customFormat="1">
      <c r="B111" s="2478"/>
      <c r="C111" s="2478"/>
      <c r="D111" s="2478"/>
      <c r="E111" s="2478"/>
      <c r="F111" s="2478"/>
      <c r="G111" s="2479"/>
      <c r="H111" s="2478"/>
      <c r="I111" s="2479"/>
      <c r="J111" s="2478"/>
      <c r="K111" s="2478"/>
      <c r="L111" s="2479"/>
      <c r="M111" s="2478"/>
      <c r="N111" s="2478"/>
      <c r="O111" s="2479"/>
      <c r="P111" s="2478"/>
      <c r="Q111" s="2478"/>
      <c r="R111" s="2480"/>
    </row>
    <row r="112" spans="2:18" s="786" customFormat="1">
      <c r="B112" s="2478"/>
      <c r="C112" s="2478"/>
      <c r="D112" s="2478"/>
      <c r="E112" s="2478"/>
      <c r="F112" s="2478"/>
      <c r="G112" s="2479"/>
      <c r="H112" s="2478"/>
      <c r="I112" s="2479"/>
      <c r="J112" s="2478"/>
      <c r="K112" s="2478"/>
      <c r="L112" s="2479"/>
      <c r="M112" s="2478"/>
      <c r="N112" s="2478"/>
      <c r="O112" s="2479"/>
      <c r="P112" s="2478"/>
      <c r="Q112" s="2478"/>
      <c r="R112" s="2480"/>
    </row>
    <row r="113" spans="2:18" s="786" customFormat="1">
      <c r="B113" s="2478"/>
      <c r="C113" s="2478"/>
      <c r="D113" s="2478"/>
      <c r="E113" s="2478"/>
      <c r="F113" s="2478"/>
      <c r="G113" s="2479"/>
      <c r="H113" s="2478"/>
      <c r="I113" s="2479"/>
      <c r="J113" s="2478"/>
      <c r="K113" s="2478"/>
      <c r="L113" s="2479"/>
      <c r="M113" s="2478"/>
      <c r="N113" s="2478"/>
      <c r="O113" s="2479"/>
      <c r="P113" s="2478"/>
      <c r="Q113" s="2478"/>
      <c r="R113" s="2480"/>
    </row>
    <row r="114" spans="2:18" s="786" customFormat="1">
      <c r="B114" s="2478"/>
      <c r="C114" s="2478"/>
      <c r="D114" s="2478"/>
      <c r="E114" s="2478"/>
      <c r="F114" s="2478"/>
      <c r="G114" s="2479"/>
      <c r="H114" s="2478"/>
      <c r="I114" s="2479"/>
      <c r="J114" s="2478"/>
      <c r="K114" s="2478"/>
      <c r="L114" s="2479"/>
      <c r="M114" s="2478"/>
      <c r="N114" s="2478"/>
      <c r="O114" s="2479"/>
      <c r="P114" s="2478"/>
      <c r="Q114" s="2478"/>
      <c r="R114" s="2480"/>
    </row>
    <row r="115" spans="2:18" s="786" customFormat="1">
      <c r="B115" s="2478"/>
      <c r="C115" s="2478"/>
      <c r="D115" s="2478"/>
      <c r="E115" s="2478"/>
      <c r="F115" s="2478"/>
      <c r="G115" s="2479"/>
      <c r="H115" s="2478"/>
      <c r="I115" s="2479"/>
      <c r="J115" s="2478"/>
      <c r="K115" s="2478"/>
      <c r="L115" s="2479"/>
      <c r="M115" s="2478"/>
      <c r="N115" s="2478"/>
      <c r="O115" s="2479"/>
      <c r="P115" s="2478"/>
      <c r="Q115" s="2478"/>
      <c r="R115" s="2480"/>
    </row>
    <row r="116" spans="2:18" s="786" customFormat="1">
      <c r="B116" s="2478"/>
      <c r="C116" s="2478"/>
      <c r="D116" s="2478"/>
      <c r="E116" s="2478"/>
      <c r="F116" s="2478"/>
      <c r="G116" s="2479"/>
      <c r="H116" s="2478"/>
      <c r="I116" s="2479"/>
      <c r="J116" s="2478"/>
      <c r="K116" s="2478"/>
      <c r="L116" s="2479"/>
      <c r="M116" s="2478"/>
      <c r="N116" s="2478"/>
      <c r="O116" s="2479"/>
      <c r="P116" s="2478"/>
      <c r="Q116" s="2478"/>
      <c r="R116" s="2480"/>
    </row>
    <row r="117" spans="2:18" s="786" customFormat="1">
      <c r="B117" s="2478"/>
      <c r="C117" s="2478"/>
      <c r="D117" s="2478"/>
      <c r="E117" s="2478"/>
      <c r="F117" s="2478"/>
      <c r="G117" s="2479"/>
      <c r="H117" s="2478"/>
      <c r="I117" s="2479"/>
      <c r="J117" s="2478"/>
      <c r="K117" s="2478"/>
      <c r="L117" s="2479"/>
      <c r="M117" s="2478"/>
      <c r="N117" s="2478"/>
      <c r="O117" s="2479"/>
      <c r="P117" s="2478"/>
      <c r="Q117" s="2478"/>
      <c r="R117" s="2480"/>
    </row>
    <row r="118" spans="2:18" s="786" customFormat="1">
      <c r="B118" s="2478"/>
      <c r="C118" s="2478"/>
      <c r="D118" s="2478"/>
      <c r="E118" s="2478"/>
      <c r="F118" s="2478"/>
      <c r="G118" s="2479"/>
      <c r="H118" s="2478"/>
      <c r="I118" s="2479"/>
      <c r="J118" s="2478"/>
      <c r="K118" s="2478"/>
      <c r="L118" s="2479"/>
      <c r="M118" s="2478"/>
      <c r="N118" s="2478"/>
      <c r="O118" s="2479"/>
      <c r="P118" s="2478"/>
      <c r="Q118" s="2478"/>
      <c r="R118" s="2480"/>
    </row>
    <row r="119" spans="2:18" s="786" customFormat="1">
      <c r="B119" s="2478"/>
      <c r="C119" s="2478"/>
      <c r="D119" s="2478"/>
      <c r="E119" s="2478"/>
      <c r="F119" s="2478"/>
      <c r="G119" s="2479"/>
      <c r="H119" s="2478"/>
      <c r="I119" s="2479"/>
      <c r="J119" s="2478"/>
      <c r="K119" s="2478"/>
      <c r="L119" s="2479"/>
      <c r="M119" s="2478"/>
      <c r="N119" s="2478"/>
      <c r="O119" s="2479"/>
      <c r="P119" s="2478"/>
      <c r="Q119" s="2478"/>
      <c r="R119" s="2480"/>
    </row>
    <row r="120" spans="2:18" s="786" customFormat="1">
      <c r="B120" s="2478"/>
      <c r="C120" s="2478"/>
      <c r="D120" s="2478"/>
      <c r="E120" s="2478"/>
      <c r="F120" s="2478"/>
      <c r="G120" s="2479"/>
      <c r="H120" s="2478"/>
      <c r="I120" s="2479"/>
      <c r="J120" s="2478"/>
      <c r="K120" s="2478"/>
      <c r="L120" s="2479"/>
      <c r="M120" s="2478"/>
      <c r="N120" s="2478"/>
      <c r="O120" s="2479"/>
      <c r="P120" s="2478"/>
      <c r="Q120" s="2478"/>
      <c r="R120" s="2480"/>
    </row>
    <row r="121" spans="2:18" s="786" customFormat="1">
      <c r="B121" s="2478"/>
      <c r="C121" s="2478"/>
      <c r="D121" s="2478"/>
      <c r="E121" s="2478"/>
      <c r="F121" s="2478"/>
      <c r="G121" s="2479"/>
      <c r="H121" s="2478"/>
      <c r="I121" s="2479"/>
      <c r="J121" s="2478"/>
      <c r="K121" s="2478"/>
      <c r="L121" s="2479"/>
      <c r="M121" s="2478"/>
      <c r="N121" s="2478"/>
      <c r="O121" s="2479"/>
      <c r="P121" s="2478"/>
      <c r="Q121" s="2478"/>
      <c r="R121" s="2480"/>
    </row>
    <row r="122" spans="2:18" s="786" customFormat="1">
      <c r="B122" s="2478"/>
      <c r="C122" s="2478"/>
      <c r="D122" s="2478"/>
      <c r="E122" s="2478"/>
      <c r="F122" s="2478"/>
      <c r="G122" s="2479"/>
      <c r="H122" s="2478"/>
      <c r="I122" s="2479"/>
      <c r="J122" s="2478"/>
      <c r="K122" s="2478"/>
      <c r="L122" s="2479"/>
      <c r="M122" s="2478"/>
      <c r="N122" s="2478"/>
      <c r="O122" s="2479"/>
      <c r="P122" s="2478"/>
      <c r="Q122" s="2478"/>
      <c r="R122" s="2480"/>
    </row>
    <row r="123" spans="2:18" s="786" customFormat="1">
      <c r="B123" s="2478"/>
      <c r="C123" s="2478"/>
      <c r="D123" s="2478"/>
      <c r="E123" s="2478"/>
      <c r="F123" s="2478"/>
      <c r="G123" s="2479"/>
      <c r="H123" s="2478"/>
      <c r="I123" s="2479"/>
      <c r="J123" s="2478"/>
      <c r="K123" s="2478"/>
      <c r="L123" s="2479"/>
      <c r="M123" s="2478"/>
      <c r="N123" s="2478"/>
      <c r="O123" s="2479"/>
      <c r="P123" s="2478"/>
      <c r="Q123" s="2478"/>
      <c r="R123" s="2480"/>
    </row>
    <row r="124" spans="2:18" s="786" customFormat="1">
      <c r="B124" s="2478"/>
      <c r="C124" s="2478"/>
      <c r="D124" s="2478"/>
      <c r="E124" s="2478"/>
      <c r="F124" s="2478"/>
      <c r="G124" s="2479"/>
      <c r="H124" s="2478"/>
      <c r="I124" s="2479"/>
      <c r="J124" s="2478"/>
      <c r="K124" s="2478"/>
      <c r="L124" s="2479"/>
      <c r="M124" s="2478"/>
      <c r="N124" s="2478"/>
      <c r="O124" s="2479"/>
      <c r="P124" s="2478"/>
      <c r="Q124" s="2478"/>
      <c r="R124" s="2480"/>
    </row>
    <row r="125" spans="2:18" s="786" customFormat="1">
      <c r="B125" s="2478"/>
      <c r="C125" s="2478"/>
      <c r="D125" s="2478"/>
      <c r="E125" s="2478"/>
      <c r="F125" s="2478"/>
      <c r="G125" s="2479"/>
      <c r="H125" s="2478"/>
      <c r="I125" s="2479"/>
      <c r="J125" s="2478"/>
      <c r="K125" s="2478"/>
      <c r="L125" s="2479"/>
      <c r="M125" s="2478"/>
      <c r="N125" s="2478"/>
      <c r="O125" s="2479"/>
      <c r="P125" s="2478"/>
      <c r="Q125" s="2478"/>
      <c r="R125" s="2480"/>
    </row>
    <row r="126" spans="2:18" s="786" customFormat="1">
      <c r="B126" s="2478"/>
      <c r="C126" s="2478"/>
      <c r="D126" s="2478"/>
      <c r="E126" s="2478"/>
      <c r="F126" s="2478"/>
      <c r="G126" s="2479"/>
      <c r="H126" s="2478"/>
      <c r="I126" s="2479"/>
      <c r="J126" s="2478"/>
      <c r="K126" s="2478"/>
      <c r="L126" s="2479"/>
      <c r="M126" s="2478"/>
      <c r="N126" s="2478"/>
      <c r="O126" s="2479"/>
      <c r="P126" s="2478"/>
      <c r="Q126" s="2478"/>
      <c r="R126" s="2480"/>
    </row>
    <row r="127" spans="2:18" s="786" customFormat="1">
      <c r="B127" s="2478"/>
      <c r="C127" s="2478"/>
      <c r="D127" s="2478"/>
      <c r="E127" s="2478"/>
      <c r="F127" s="2478"/>
      <c r="G127" s="2479"/>
      <c r="H127" s="2478"/>
      <c r="I127" s="2479"/>
      <c r="J127" s="2478"/>
      <c r="K127" s="2478"/>
      <c r="L127" s="2479"/>
      <c r="M127" s="2478"/>
      <c r="N127" s="2478"/>
      <c r="O127" s="2479"/>
      <c r="P127" s="2478"/>
      <c r="Q127" s="2478"/>
      <c r="R127" s="2480"/>
    </row>
    <row r="128" spans="2:18" s="786" customFormat="1">
      <c r="B128" s="2478"/>
      <c r="C128" s="2478"/>
      <c r="D128" s="2478"/>
      <c r="E128" s="2478"/>
      <c r="F128" s="2478"/>
      <c r="G128" s="2479"/>
      <c r="H128" s="2478"/>
      <c r="I128" s="2479"/>
      <c r="J128" s="2478"/>
      <c r="K128" s="2478"/>
      <c r="L128" s="2479"/>
      <c r="M128" s="2478"/>
      <c r="N128" s="2478"/>
      <c r="O128" s="2479"/>
      <c r="P128" s="2478"/>
      <c r="Q128" s="2478"/>
      <c r="R128" s="2480"/>
    </row>
    <row r="129" spans="2:18" s="786" customFormat="1">
      <c r="B129" s="2478"/>
      <c r="C129" s="2478"/>
      <c r="D129" s="2478"/>
      <c r="E129" s="2478"/>
      <c r="F129" s="2478"/>
      <c r="G129" s="2479"/>
      <c r="H129" s="2478"/>
      <c r="I129" s="2479"/>
      <c r="J129" s="2478"/>
      <c r="K129" s="2478"/>
      <c r="L129" s="2479"/>
      <c r="M129" s="2478"/>
      <c r="N129" s="2478"/>
      <c r="O129" s="2479"/>
      <c r="P129" s="2478"/>
      <c r="Q129" s="2478"/>
      <c r="R129" s="2480"/>
    </row>
    <row r="130" spans="2:18" s="786" customFormat="1">
      <c r="B130" s="2478"/>
      <c r="C130" s="2478"/>
      <c r="D130" s="2478"/>
      <c r="E130" s="2478"/>
      <c r="F130" s="2478"/>
      <c r="G130" s="2479"/>
      <c r="H130" s="2478"/>
      <c r="I130" s="2479"/>
      <c r="J130" s="2478"/>
      <c r="K130" s="2478"/>
      <c r="L130" s="2479"/>
      <c r="M130" s="2478"/>
      <c r="N130" s="2478"/>
      <c r="O130" s="2479"/>
      <c r="P130" s="2478"/>
      <c r="Q130" s="2478"/>
      <c r="R130" s="2480"/>
    </row>
    <row r="131" spans="2:18" s="786" customFormat="1">
      <c r="B131" s="2478"/>
      <c r="C131" s="2478"/>
      <c r="D131" s="2478"/>
      <c r="E131" s="2478"/>
      <c r="F131" s="2478"/>
      <c r="G131" s="2479"/>
      <c r="H131" s="2478"/>
      <c r="I131" s="2479"/>
      <c r="J131" s="2478"/>
      <c r="K131" s="2478"/>
      <c r="L131" s="2479"/>
      <c r="M131" s="2478"/>
      <c r="N131" s="2478"/>
      <c r="O131" s="2479"/>
      <c r="P131" s="2478"/>
      <c r="Q131" s="2478"/>
      <c r="R131" s="2480"/>
    </row>
    <row r="132" spans="2:18" s="786" customFormat="1">
      <c r="B132" s="2478"/>
      <c r="C132" s="2478"/>
      <c r="D132" s="2478"/>
      <c r="E132" s="2478"/>
      <c r="F132" s="2478"/>
      <c r="G132" s="2479"/>
      <c r="H132" s="2478"/>
      <c r="I132" s="2479"/>
      <c r="J132" s="2478"/>
      <c r="K132" s="2478"/>
      <c r="L132" s="2479"/>
      <c r="M132" s="2478"/>
      <c r="N132" s="2478"/>
      <c r="O132" s="2479"/>
      <c r="P132" s="2478"/>
      <c r="Q132" s="2478"/>
      <c r="R132" s="2480"/>
    </row>
    <row r="133" spans="2:18" s="786" customFormat="1">
      <c r="B133" s="2478"/>
      <c r="C133" s="2478"/>
      <c r="D133" s="2478"/>
      <c r="E133" s="2478"/>
      <c r="F133" s="2478"/>
      <c r="G133" s="2479"/>
      <c r="H133" s="2478"/>
      <c r="I133" s="2479"/>
      <c r="J133" s="2478"/>
      <c r="K133" s="2478"/>
      <c r="L133" s="2479"/>
      <c r="M133" s="2478"/>
      <c r="N133" s="2478"/>
      <c r="O133" s="2479"/>
      <c r="P133" s="2478"/>
      <c r="Q133" s="2478"/>
      <c r="R133" s="2480"/>
    </row>
    <row r="134" spans="2:18" s="786" customFormat="1">
      <c r="B134" s="2478"/>
      <c r="C134" s="2478"/>
      <c r="D134" s="2478"/>
      <c r="E134" s="2478"/>
      <c r="F134" s="2478"/>
      <c r="G134" s="2479"/>
      <c r="H134" s="2478"/>
      <c r="I134" s="2479"/>
      <c r="J134" s="2478"/>
      <c r="K134" s="2478"/>
      <c r="L134" s="2479"/>
      <c r="M134" s="2478"/>
      <c r="N134" s="2478"/>
      <c r="O134" s="2479"/>
      <c r="P134" s="2478"/>
      <c r="Q134" s="2478"/>
      <c r="R134" s="2480"/>
    </row>
    <row r="135" spans="2:18" s="786" customFormat="1">
      <c r="B135" s="2478"/>
      <c r="C135" s="2478"/>
      <c r="D135" s="2478"/>
      <c r="E135" s="2478"/>
      <c r="F135" s="2478"/>
      <c r="G135" s="2479"/>
      <c r="H135" s="2478"/>
      <c r="I135" s="2479"/>
      <c r="J135" s="2478"/>
      <c r="K135" s="2478"/>
      <c r="L135" s="2479"/>
      <c r="M135" s="2478"/>
      <c r="N135" s="2478"/>
      <c r="O135" s="2479"/>
      <c r="P135" s="2478"/>
      <c r="Q135" s="2478"/>
      <c r="R135" s="2480"/>
    </row>
    <row r="136" spans="2:18" s="786" customFormat="1">
      <c r="B136" s="2478"/>
      <c r="C136" s="2478"/>
      <c r="D136" s="2478"/>
      <c r="E136" s="2478"/>
      <c r="F136" s="2478"/>
      <c r="G136" s="2479"/>
      <c r="H136" s="2478"/>
      <c r="I136" s="2479"/>
      <c r="J136" s="2478"/>
      <c r="K136" s="2478"/>
      <c r="L136" s="2479"/>
      <c r="M136" s="2478"/>
      <c r="N136" s="2478"/>
      <c r="O136" s="2479"/>
      <c r="P136" s="2478"/>
      <c r="Q136" s="2478"/>
      <c r="R136" s="2480"/>
    </row>
    <row r="137" spans="2:18" s="786" customFormat="1">
      <c r="B137" s="2478"/>
      <c r="C137" s="2478"/>
      <c r="D137" s="2478"/>
      <c r="E137" s="2478"/>
      <c r="F137" s="2478"/>
      <c r="G137" s="2479"/>
      <c r="H137" s="2478"/>
      <c r="I137" s="2479"/>
      <c r="J137" s="2478"/>
      <c r="K137" s="2478"/>
      <c r="L137" s="2479"/>
      <c r="M137" s="2478"/>
      <c r="N137" s="2478"/>
      <c r="O137" s="2479"/>
      <c r="P137" s="2478"/>
      <c r="Q137" s="2478"/>
      <c r="R137" s="2480"/>
    </row>
    <row r="138" spans="2:18" s="786" customFormat="1">
      <c r="B138" s="2478"/>
      <c r="C138" s="2478"/>
      <c r="D138" s="2478"/>
      <c r="E138" s="2478"/>
      <c r="F138" s="2478"/>
      <c r="G138" s="2479"/>
      <c r="H138" s="2478"/>
      <c r="I138" s="2479"/>
      <c r="J138" s="2478"/>
      <c r="K138" s="2478"/>
      <c r="L138" s="2479"/>
      <c r="M138" s="2478"/>
      <c r="N138" s="2478"/>
      <c r="O138" s="2479"/>
      <c r="P138" s="2478"/>
      <c r="Q138" s="2478"/>
      <c r="R138" s="2480"/>
    </row>
    <row r="139" spans="2:18" s="786" customFormat="1">
      <c r="B139" s="2478"/>
      <c r="C139" s="2478"/>
      <c r="D139" s="2478"/>
      <c r="E139" s="2478"/>
      <c r="F139" s="2478"/>
      <c r="G139" s="2479"/>
      <c r="H139" s="2478"/>
      <c r="I139" s="2479"/>
      <c r="J139" s="2478"/>
      <c r="K139" s="2478"/>
      <c r="L139" s="2479"/>
      <c r="M139" s="2478"/>
      <c r="N139" s="2478"/>
      <c r="O139" s="2479"/>
      <c r="P139" s="2478"/>
      <c r="Q139" s="2478"/>
      <c r="R139" s="2480"/>
    </row>
    <row r="140" spans="2:18" s="786" customFormat="1">
      <c r="B140" s="2478"/>
      <c r="C140" s="2478"/>
      <c r="D140" s="2478"/>
      <c r="E140" s="2478"/>
      <c r="F140" s="2478"/>
      <c r="G140" s="2479"/>
      <c r="H140" s="2478"/>
      <c r="I140" s="2479"/>
      <c r="J140" s="2478"/>
      <c r="K140" s="2478"/>
      <c r="L140" s="2479"/>
      <c r="M140" s="2478"/>
      <c r="N140" s="2478"/>
      <c r="O140" s="2479"/>
      <c r="P140" s="2478"/>
      <c r="Q140" s="2478"/>
      <c r="R140" s="2480"/>
    </row>
    <row r="141" spans="2:18" s="786" customFormat="1">
      <c r="B141" s="2478"/>
      <c r="C141" s="2478"/>
      <c r="D141" s="2478"/>
      <c r="E141" s="2478"/>
      <c r="F141" s="2478"/>
      <c r="G141" s="2479"/>
      <c r="H141" s="2478"/>
      <c r="I141" s="2479"/>
      <c r="J141" s="2478"/>
      <c r="K141" s="2478"/>
      <c r="L141" s="2479"/>
      <c r="M141" s="2478"/>
      <c r="N141" s="2478"/>
      <c r="O141" s="2479"/>
      <c r="P141" s="2478"/>
      <c r="Q141" s="2478"/>
      <c r="R141" s="2480"/>
    </row>
    <row r="142" spans="2:18" s="786" customFormat="1">
      <c r="B142" s="2478"/>
      <c r="C142" s="2478"/>
      <c r="D142" s="2478"/>
      <c r="E142" s="2478"/>
      <c r="F142" s="2478"/>
      <c r="G142" s="2479"/>
      <c r="H142" s="2478"/>
      <c r="I142" s="2479"/>
      <c r="J142" s="2478"/>
      <c r="K142" s="2478"/>
      <c r="L142" s="2479"/>
      <c r="M142" s="2478"/>
      <c r="N142" s="2478"/>
      <c r="O142" s="2479"/>
      <c r="P142" s="2478"/>
      <c r="Q142" s="2478"/>
      <c r="R142" s="2480"/>
    </row>
    <row r="143" spans="2:18" s="786" customFormat="1">
      <c r="B143" s="2478"/>
      <c r="C143" s="2478"/>
      <c r="D143" s="2478"/>
      <c r="E143" s="2478"/>
      <c r="F143" s="2478"/>
      <c r="G143" s="2479"/>
      <c r="H143" s="2478"/>
      <c r="I143" s="2479"/>
      <c r="J143" s="2478"/>
      <c r="K143" s="2478"/>
      <c r="L143" s="2479"/>
      <c r="M143" s="2478"/>
      <c r="N143" s="2478"/>
      <c r="O143" s="2479"/>
      <c r="P143" s="2478"/>
      <c r="Q143" s="2478"/>
      <c r="R143" s="2480"/>
    </row>
    <row r="144" spans="2:18" s="786" customFormat="1">
      <c r="B144" s="2478"/>
      <c r="C144" s="2478"/>
      <c r="D144" s="2478"/>
      <c r="E144" s="2478"/>
      <c r="F144" s="2478"/>
      <c r="G144" s="2479"/>
      <c r="H144" s="2478"/>
      <c r="I144" s="2479"/>
      <c r="J144" s="2478"/>
      <c r="K144" s="2478"/>
      <c r="L144" s="2479"/>
      <c r="M144" s="2478"/>
      <c r="N144" s="2478"/>
      <c r="O144" s="2479"/>
      <c r="P144" s="2478"/>
      <c r="Q144" s="2478"/>
      <c r="R144" s="2480"/>
    </row>
    <row r="145" spans="2:18" s="786" customFormat="1">
      <c r="B145" s="2478"/>
      <c r="C145" s="2478"/>
      <c r="D145" s="2478"/>
      <c r="E145" s="2478"/>
      <c r="F145" s="2478"/>
      <c r="G145" s="2479"/>
      <c r="H145" s="2478"/>
      <c r="I145" s="2479"/>
      <c r="J145" s="2478"/>
      <c r="K145" s="2478"/>
      <c r="L145" s="2479"/>
      <c r="M145" s="2478"/>
      <c r="N145" s="2478"/>
      <c r="O145" s="2479"/>
      <c r="P145" s="2478"/>
      <c r="Q145" s="2478"/>
      <c r="R145" s="2480"/>
    </row>
    <row r="146" spans="2:18" s="786" customFormat="1">
      <c r="B146" s="2478"/>
      <c r="C146" s="2478"/>
      <c r="D146" s="2478"/>
      <c r="E146" s="2478"/>
      <c r="F146" s="2478"/>
      <c r="G146" s="2479"/>
      <c r="H146" s="2478"/>
      <c r="I146" s="2479"/>
      <c r="J146" s="2478"/>
      <c r="K146" s="2478"/>
      <c r="L146" s="2479"/>
      <c r="M146" s="2478"/>
      <c r="N146" s="2478"/>
      <c r="O146" s="2479"/>
      <c r="P146" s="2478"/>
      <c r="Q146" s="2478"/>
      <c r="R146" s="2480"/>
    </row>
    <row r="147" spans="2:18" s="786" customFormat="1">
      <c r="B147" s="2478"/>
      <c r="C147" s="2478"/>
      <c r="D147" s="2478"/>
      <c r="E147" s="2478"/>
      <c r="F147" s="2478"/>
      <c r="G147" s="2479"/>
      <c r="H147" s="2478"/>
      <c r="I147" s="2479"/>
      <c r="J147" s="2478"/>
      <c r="K147" s="2478"/>
      <c r="L147" s="2479"/>
      <c r="M147" s="2478"/>
      <c r="N147" s="2478"/>
      <c r="O147" s="2479"/>
      <c r="P147" s="2478"/>
      <c r="Q147" s="2478"/>
      <c r="R147" s="2480"/>
    </row>
    <row r="148" spans="2:18" s="786" customFormat="1">
      <c r="B148" s="2478"/>
      <c r="C148" s="2478"/>
      <c r="D148" s="2478"/>
      <c r="E148" s="2478"/>
      <c r="F148" s="2478"/>
      <c r="G148" s="2479"/>
      <c r="H148" s="2478"/>
      <c r="I148" s="2479"/>
      <c r="J148" s="2478"/>
      <c r="K148" s="2478"/>
      <c r="L148" s="2479"/>
      <c r="M148" s="2478"/>
      <c r="N148" s="2478"/>
      <c r="O148" s="2479"/>
      <c r="P148" s="2478"/>
      <c r="Q148" s="2478"/>
      <c r="R148" s="2480"/>
    </row>
    <row r="149" spans="2:18" s="786" customFormat="1">
      <c r="B149" s="2478"/>
      <c r="C149" s="2478"/>
      <c r="D149" s="2478"/>
      <c r="E149" s="2478"/>
      <c r="F149" s="2478"/>
      <c r="G149" s="2479"/>
      <c r="H149" s="2478"/>
      <c r="I149" s="2479"/>
      <c r="J149" s="2478"/>
      <c r="K149" s="2478"/>
      <c r="L149" s="2479"/>
      <c r="M149" s="2478"/>
      <c r="N149" s="2478"/>
      <c r="O149" s="2479"/>
      <c r="P149" s="2478"/>
      <c r="Q149" s="2478"/>
      <c r="R149" s="2480"/>
    </row>
    <row r="150" spans="2:18" s="786" customFormat="1">
      <c r="B150" s="2478"/>
      <c r="C150" s="2478"/>
      <c r="D150" s="2478"/>
      <c r="E150" s="2478"/>
      <c r="F150" s="2478"/>
      <c r="G150" s="2479"/>
      <c r="H150" s="2478"/>
      <c r="I150" s="2479"/>
      <c r="J150" s="2478"/>
      <c r="K150" s="2478"/>
      <c r="L150" s="2479"/>
      <c r="M150" s="2478"/>
      <c r="N150" s="2478"/>
      <c r="O150" s="2479"/>
      <c r="P150" s="2478"/>
      <c r="Q150" s="2478"/>
      <c r="R150" s="2480"/>
    </row>
    <row r="151" spans="2:18" s="786" customFormat="1">
      <c r="B151" s="2478"/>
      <c r="C151" s="2478"/>
      <c r="D151" s="2478"/>
      <c r="E151" s="2478"/>
      <c r="F151" s="2478"/>
      <c r="G151" s="2479"/>
      <c r="H151" s="2478"/>
      <c r="I151" s="2479"/>
      <c r="J151" s="2478"/>
      <c r="K151" s="2478"/>
      <c r="L151" s="2479"/>
      <c r="M151" s="2478"/>
      <c r="N151" s="2478"/>
      <c r="O151" s="2479"/>
      <c r="P151" s="2478"/>
      <c r="Q151" s="2478"/>
      <c r="R151" s="2480"/>
    </row>
    <row r="152" spans="2:18" s="786" customFormat="1">
      <c r="B152" s="2478"/>
      <c r="C152" s="2478"/>
      <c r="D152" s="2478"/>
      <c r="E152" s="2478"/>
      <c r="F152" s="2478"/>
      <c r="G152" s="2479"/>
      <c r="H152" s="2478"/>
      <c r="I152" s="2479"/>
      <c r="J152" s="2478"/>
      <c r="K152" s="2478"/>
      <c r="L152" s="2479"/>
      <c r="M152" s="2478"/>
      <c r="N152" s="2478"/>
      <c r="O152" s="2479"/>
      <c r="P152" s="2478"/>
      <c r="Q152" s="2478"/>
      <c r="R152" s="2480"/>
    </row>
    <row r="153" spans="2:18" s="786" customFormat="1">
      <c r="B153" s="2478"/>
      <c r="C153" s="2478"/>
      <c r="D153" s="2478"/>
      <c r="E153" s="2478"/>
      <c r="F153" s="2478"/>
      <c r="G153" s="2479"/>
      <c r="H153" s="2478"/>
      <c r="I153" s="2479"/>
      <c r="J153" s="2478"/>
      <c r="K153" s="2478"/>
      <c r="L153" s="2479"/>
      <c r="M153" s="2478"/>
      <c r="N153" s="2478"/>
      <c r="O153" s="2479"/>
      <c r="P153" s="2478"/>
      <c r="Q153" s="2478"/>
      <c r="R153" s="2480"/>
    </row>
    <row r="154" spans="2:18" s="786" customFormat="1">
      <c r="B154" s="2478"/>
      <c r="C154" s="2478"/>
      <c r="D154" s="2478"/>
      <c r="E154" s="2478"/>
      <c r="F154" s="2478"/>
      <c r="G154" s="2479"/>
      <c r="H154" s="2478"/>
      <c r="I154" s="2479"/>
      <c r="J154" s="2478"/>
      <c r="K154" s="2478"/>
      <c r="L154" s="2479"/>
      <c r="M154" s="2478"/>
      <c r="N154" s="2478"/>
      <c r="O154" s="2479"/>
      <c r="P154" s="2478"/>
      <c r="Q154" s="2478"/>
      <c r="R154" s="2480"/>
    </row>
    <row r="155" spans="2:18" s="786" customFormat="1">
      <c r="B155" s="2478"/>
      <c r="C155" s="2478"/>
      <c r="D155" s="2478"/>
      <c r="E155" s="2478"/>
      <c r="F155" s="2478"/>
      <c r="G155" s="2479"/>
      <c r="H155" s="2478"/>
      <c r="I155" s="2479"/>
      <c r="J155" s="2478"/>
      <c r="K155" s="2478"/>
      <c r="L155" s="2479"/>
      <c r="M155" s="2478"/>
      <c r="N155" s="2478"/>
      <c r="O155" s="2479"/>
      <c r="P155" s="2478"/>
      <c r="Q155" s="2478"/>
      <c r="R155" s="2480"/>
    </row>
    <row r="156" spans="2:18" s="786" customFormat="1">
      <c r="B156" s="2478"/>
      <c r="C156" s="2478"/>
      <c r="D156" s="2478"/>
      <c r="E156" s="2478"/>
      <c r="F156" s="2478"/>
      <c r="G156" s="2479"/>
      <c r="H156" s="2478"/>
      <c r="I156" s="2479"/>
      <c r="J156" s="2478"/>
      <c r="K156" s="2478"/>
      <c r="L156" s="2479"/>
      <c r="M156" s="2478"/>
      <c r="N156" s="2478"/>
      <c r="O156" s="2479"/>
      <c r="P156" s="2478"/>
      <c r="Q156" s="2478"/>
      <c r="R156" s="2480"/>
    </row>
    <row r="157" spans="2:18" s="786" customFormat="1">
      <c r="B157" s="2478"/>
      <c r="C157" s="2478"/>
      <c r="D157" s="2478"/>
      <c r="E157" s="2478"/>
      <c r="F157" s="2478"/>
      <c r="G157" s="2479"/>
      <c r="H157" s="2478"/>
      <c r="I157" s="2479"/>
      <c r="J157" s="2478"/>
      <c r="K157" s="2478"/>
      <c r="L157" s="2479"/>
      <c r="M157" s="2478"/>
      <c r="N157" s="2478"/>
      <c r="O157" s="2479"/>
      <c r="P157" s="2478"/>
      <c r="Q157" s="2478"/>
      <c r="R157" s="2480"/>
    </row>
    <row r="158" spans="2:18" s="786" customFormat="1">
      <c r="B158" s="2478"/>
      <c r="C158" s="2478"/>
      <c r="D158" s="2478"/>
      <c r="E158" s="2478"/>
      <c r="F158" s="2478"/>
      <c r="G158" s="2479"/>
      <c r="H158" s="2478"/>
      <c r="I158" s="2479"/>
      <c r="J158" s="2478"/>
      <c r="K158" s="2478"/>
      <c r="L158" s="2479"/>
      <c r="M158" s="2478"/>
      <c r="N158" s="2478"/>
      <c r="O158" s="2479"/>
      <c r="P158" s="2478"/>
      <c r="Q158" s="2478"/>
      <c r="R158" s="2480"/>
    </row>
    <row r="159" spans="2:18" s="786" customFormat="1">
      <c r="B159" s="2478"/>
      <c r="C159" s="2478"/>
      <c r="D159" s="2478"/>
      <c r="E159" s="2478"/>
      <c r="F159" s="2478"/>
      <c r="G159" s="2479"/>
      <c r="H159" s="2478"/>
      <c r="I159" s="2479"/>
      <c r="J159" s="2478"/>
      <c r="K159" s="2478"/>
      <c r="L159" s="2479"/>
      <c r="M159" s="2478"/>
      <c r="N159" s="2478"/>
      <c r="O159" s="2479"/>
      <c r="P159" s="2478"/>
      <c r="Q159" s="2478"/>
      <c r="R159" s="2480"/>
    </row>
    <row r="160" spans="2:18" s="786" customFormat="1">
      <c r="B160" s="2478"/>
      <c r="C160" s="2478"/>
      <c r="D160" s="2478"/>
      <c r="E160" s="2478"/>
      <c r="F160" s="2478"/>
      <c r="G160" s="2479"/>
      <c r="H160" s="2478"/>
      <c r="I160" s="2479"/>
      <c r="J160" s="2478"/>
      <c r="K160" s="2478"/>
      <c r="L160" s="2479"/>
      <c r="M160" s="2478"/>
      <c r="N160" s="2478"/>
      <c r="O160" s="2479"/>
      <c r="P160" s="2478"/>
      <c r="Q160" s="2478"/>
      <c r="R160" s="2480"/>
    </row>
    <row r="161" spans="2:18" s="786" customFormat="1">
      <c r="B161" s="2478"/>
      <c r="C161" s="2478"/>
      <c r="D161" s="2478"/>
      <c r="E161" s="2478"/>
      <c r="F161" s="2478"/>
      <c r="G161" s="2479"/>
      <c r="H161" s="2478"/>
      <c r="I161" s="2479"/>
      <c r="J161" s="2478"/>
      <c r="K161" s="2478"/>
      <c r="L161" s="2479"/>
      <c r="M161" s="2478"/>
      <c r="N161" s="2478"/>
      <c r="O161" s="2479"/>
      <c r="P161" s="2478"/>
      <c r="Q161" s="2478"/>
      <c r="R161" s="2480"/>
    </row>
    <row r="162" spans="2:18" s="786" customFormat="1">
      <c r="B162" s="2478"/>
      <c r="C162" s="2478"/>
      <c r="D162" s="2478"/>
      <c r="E162" s="2478"/>
      <c r="F162" s="2478"/>
      <c r="G162" s="2479"/>
      <c r="H162" s="2478"/>
      <c r="I162" s="2479"/>
      <c r="J162" s="2478"/>
      <c r="K162" s="2478"/>
      <c r="L162" s="2479"/>
      <c r="M162" s="2478"/>
      <c r="N162" s="2478"/>
      <c r="O162" s="2479"/>
      <c r="P162" s="2478"/>
      <c r="Q162" s="2478"/>
      <c r="R162" s="2480"/>
    </row>
    <row r="163" spans="2:18" s="786" customFormat="1">
      <c r="B163" s="2478"/>
      <c r="C163" s="2478"/>
      <c r="D163" s="2478"/>
      <c r="E163" s="2478"/>
      <c r="F163" s="2478"/>
      <c r="G163" s="2479"/>
      <c r="H163" s="2478"/>
      <c r="I163" s="2479"/>
      <c r="J163" s="2478"/>
      <c r="K163" s="2478"/>
      <c r="L163" s="2479"/>
      <c r="M163" s="2478"/>
      <c r="N163" s="2478"/>
      <c r="O163" s="2479"/>
      <c r="P163" s="2478"/>
      <c r="Q163" s="2478"/>
      <c r="R163" s="2480"/>
    </row>
    <row r="164" spans="2:18" s="786" customFormat="1">
      <c r="B164" s="2478"/>
      <c r="C164" s="2478"/>
      <c r="D164" s="2478"/>
      <c r="E164" s="2478"/>
      <c r="F164" s="2478"/>
      <c r="G164" s="2479"/>
      <c r="H164" s="2478"/>
      <c r="I164" s="2479"/>
      <c r="J164" s="2478"/>
      <c r="K164" s="2478"/>
      <c r="L164" s="2479"/>
      <c r="M164" s="2478"/>
      <c r="N164" s="2478"/>
      <c r="O164" s="2479"/>
      <c r="P164" s="2478"/>
      <c r="Q164" s="2478"/>
      <c r="R164" s="2480"/>
    </row>
    <row r="165" spans="2:18" s="786" customFormat="1">
      <c r="B165" s="2478"/>
      <c r="C165" s="2478"/>
      <c r="D165" s="2478"/>
      <c r="E165" s="2478"/>
      <c r="F165" s="2478"/>
      <c r="G165" s="2479"/>
      <c r="H165" s="2478"/>
      <c r="I165" s="2479"/>
      <c r="J165" s="2478"/>
      <c r="K165" s="2478"/>
      <c r="L165" s="2479"/>
      <c r="M165" s="2478"/>
      <c r="N165" s="2478"/>
      <c r="O165" s="2479"/>
      <c r="P165" s="2478"/>
      <c r="Q165" s="2478"/>
      <c r="R165" s="2480"/>
    </row>
    <row r="166" spans="2:18" s="786" customFormat="1">
      <c r="B166" s="2478"/>
      <c r="C166" s="2478"/>
      <c r="D166" s="2478"/>
      <c r="E166" s="2478"/>
      <c r="F166" s="2478"/>
      <c r="G166" s="2479"/>
      <c r="H166" s="2478"/>
      <c r="I166" s="2479"/>
      <c r="J166" s="2478"/>
      <c r="K166" s="2478"/>
      <c r="L166" s="2479"/>
      <c r="M166" s="2478"/>
      <c r="N166" s="2478"/>
      <c r="O166" s="2479"/>
      <c r="P166" s="2478"/>
      <c r="Q166" s="2478"/>
      <c r="R166" s="2480"/>
    </row>
    <row r="167" spans="2:18" s="786" customFormat="1">
      <c r="B167" s="2478"/>
      <c r="C167" s="2478"/>
      <c r="D167" s="2478"/>
      <c r="E167" s="2478"/>
      <c r="F167" s="2478"/>
      <c r="G167" s="2479"/>
      <c r="H167" s="2478"/>
      <c r="I167" s="2479"/>
      <c r="J167" s="2478"/>
      <c r="K167" s="2478"/>
      <c r="L167" s="2479"/>
      <c r="M167" s="2478"/>
      <c r="N167" s="2478"/>
      <c r="O167" s="2479"/>
      <c r="P167" s="2478"/>
      <c r="Q167" s="2478"/>
      <c r="R167" s="2480"/>
    </row>
    <row r="168" spans="2:18" s="786" customFormat="1">
      <c r="B168" s="2478"/>
      <c r="C168" s="2478"/>
      <c r="D168" s="2478"/>
      <c r="E168" s="2478"/>
      <c r="F168" s="2478"/>
      <c r="G168" s="2479"/>
      <c r="H168" s="2478"/>
      <c r="I168" s="2479"/>
      <c r="J168" s="2478"/>
      <c r="K168" s="2478"/>
      <c r="L168" s="2479"/>
      <c r="M168" s="2478"/>
      <c r="N168" s="2478"/>
      <c r="O168" s="2479"/>
      <c r="P168" s="2478"/>
      <c r="Q168" s="2478"/>
      <c r="R168" s="2480"/>
    </row>
    <row r="169" spans="2:18" s="786" customFormat="1">
      <c r="B169" s="2478"/>
      <c r="C169" s="2478"/>
      <c r="D169" s="2478"/>
      <c r="E169" s="2478"/>
      <c r="F169" s="2478"/>
      <c r="G169" s="2479"/>
      <c r="H169" s="2478"/>
      <c r="I169" s="2479"/>
      <c r="J169" s="2478"/>
      <c r="K169" s="2478"/>
      <c r="L169" s="2479"/>
      <c r="M169" s="2478"/>
      <c r="N169" s="2478"/>
      <c r="O169" s="2479"/>
      <c r="P169" s="2478"/>
      <c r="Q169" s="2478"/>
      <c r="R169" s="2480"/>
    </row>
    <row r="170" spans="2:18" s="786" customFormat="1">
      <c r="B170" s="2478"/>
      <c r="C170" s="2478"/>
      <c r="D170" s="2478"/>
      <c r="E170" s="2478"/>
      <c r="F170" s="2478"/>
      <c r="G170" s="2479"/>
      <c r="H170" s="2478"/>
      <c r="I170" s="2479"/>
      <c r="J170" s="2478"/>
      <c r="K170" s="2478"/>
      <c r="L170" s="2479"/>
      <c r="M170" s="2478"/>
      <c r="N170" s="2478"/>
      <c r="O170" s="2479"/>
      <c r="P170" s="2478"/>
      <c r="Q170" s="2478"/>
      <c r="R170" s="2480"/>
    </row>
    <row r="171" spans="2:18" s="786" customFormat="1">
      <c r="B171" s="2478"/>
      <c r="C171" s="2478"/>
      <c r="D171" s="2478"/>
      <c r="E171" s="2478"/>
      <c r="F171" s="2478"/>
      <c r="G171" s="2479"/>
      <c r="H171" s="2478"/>
      <c r="I171" s="2479"/>
      <c r="J171" s="2478"/>
      <c r="K171" s="2478"/>
      <c r="L171" s="2479"/>
      <c r="M171" s="2478"/>
      <c r="N171" s="2478"/>
      <c r="O171" s="2479"/>
      <c r="P171" s="2478"/>
      <c r="Q171" s="2478"/>
      <c r="R171" s="2480"/>
    </row>
    <row r="172" spans="2:18" s="786" customFormat="1">
      <c r="B172" s="2478"/>
      <c r="C172" s="2478"/>
      <c r="D172" s="2478"/>
      <c r="E172" s="2478"/>
      <c r="F172" s="2478"/>
      <c r="G172" s="2479"/>
      <c r="H172" s="2478"/>
      <c r="I172" s="2479"/>
      <c r="J172" s="2478"/>
      <c r="K172" s="2478"/>
      <c r="L172" s="2479"/>
      <c r="M172" s="2478"/>
      <c r="N172" s="2478"/>
      <c r="O172" s="2479"/>
      <c r="P172" s="2478"/>
      <c r="Q172" s="2478"/>
      <c r="R172" s="2480"/>
    </row>
    <row r="173" spans="2:18" s="786" customFormat="1">
      <c r="B173" s="2478"/>
      <c r="C173" s="2478"/>
      <c r="D173" s="2478"/>
      <c r="E173" s="2478"/>
      <c r="F173" s="2478"/>
      <c r="G173" s="2479"/>
      <c r="H173" s="2478"/>
      <c r="I173" s="2479"/>
      <c r="J173" s="2478"/>
      <c r="K173" s="2478"/>
      <c r="L173" s="2479"/>
      <c r="M173" s="2478"/>
      <c r="N173" s="2478"/>
      <c r="O173" s="2479"/>
      <c r="P173" s="2478"/>
      <c r="Q173" s="2478"/>
      <c r="R173" s="2480"/>
    </row>
    <row r="174" spans="2:18" s="786" customFormat="1">
      <c r="B174" s="2478"/>
      <c r="C174" s="2478"/>
      <c r="D174" s="2478"/>
      <c r="E174" s="2478"/>
      <c r="F174" s="2478"/>
      <c r="G174" s="2479"/>
      <c r="H174" s="2478"/>
      <c r="I174" s="2479"/>
      <c r="J174" s="2478"/>
      <c r="K174" s="2478"/>
      <c r="L174" s="2479"/>
      <c r="M174" s="2478"/>
      <c r="N174" s="2478"/>
      <c r="O174" s="2479"/>
      <c r="P174" s="2478"/>
      <c r="Q174" s="2478"/>
      <c r="R174" s="2480"/>
    </row>
    <row r="175" spans="2:18" s="786" customFormat="1">
      <c r="B175" s="2478"/>
      <c r="C175" s="2478"/>
      <c r="D175" s="2478"/>
      <c r="E175" s="2478"/>
      <c r="F175" s="2478"/>
      <c r="G175" s="2479"/>
      <c r="H175" s="2478"/>
      <c r="I175" s="2479"/>
      <c r="J175" s="2478"/>
      <c r="K175" s="2478"/>
      <c r="L175" s="2479"/>
      <c r="M175" s="2478"/>
      <c r="N175" s="2478"/>
      <c r="O175" s="2479"/>
      <c r="P175" s="2478"/>
      <c r="Q175" s="2478"/>
      <c r="R175" s="2480"/>
    </row>
    <row r="176" spans="2:18" s="786" customFormat="1">
      <c r="B176" s="2478"/>
      <c r="C176" s="2478"/>
      <c r="D176" s="2478"/>
      <c r="E176" s="2478"/>
      <c r="F176" s="2478"/>
      <c r="G176" s="2479"/>
      <c r="H176" s="2478"/>
      <c r="I176" s="2479"/>
      <c r="J176" s="2478"/>
      <c r="K176" s="2478"/>
      <c r="L176" s="2479"/>
      <c r="M176" s="2478"/>
      <c r="N176" s="2478"/>
      <c r="O176" s="2479"/>
      <c r="P176" s="2478"/>
      <c r="Q176" s="2478"/>
      <c r="R176" s="2480"/>
    </row>
    <row r="177" spans="1:18" s="786" customFormat="1">
      <c r="B177" s="2478"/>
      <c r="C177" s="2478"/>
      <c r="D177" s="2478"/>
      <c r="E177" s="2478"/>
      <c r="F177" s="2478"/>
      <c r="G177" s="2479"/>
      <c r="H177" s="2478"/>
      <c r="I177" s="2479"/>
      <c r="J177" s="2478"/>
      <c r="K177" s="2478"/>
      <c r="L177" s="2479"/>
      <c r="M177" s="2478"/>
      <c r="N177" s="2478"/>
      <c r="O177" s="2479"/>
      <c r="P177" s="2478"/>
      <c r="Q177" s="2478"/>
      <c r="R177" s="2480"/>
    </row>
    <row r="178" spans="1:18" s="786" customFormat="1">
      <c r="B178" s="2478"/>
      <c r="C178" s="2478"/>
      <c r="D178" s="2478"/>
      <c r="E178" s="2478"/>
      <c r="F178" s="2478"/>
      <c r="G178" s="2479"/>
      <c r="H178" s="2478"/>
      <c r="I178" s="2479"/>
      <c r="J178" s="2478"/>
      <c r="K178" s="2478"/>
      <c r="L178" s="2479"/>
      <c r="M178" s="2478"/>
      <c r="N178" s="2478"/>
      <c r="O178" s="2479"/>
      <c r="P178" s="2478"/>
      <c r="Q178" s="2478"/>
      <c r="R178" s="2480"/>
    </row>
    <row r="179" spans="1:18" s="786" customFormat="1">
      <c r="B179" s="2478"/>
      <c r="C179" s="2478"/>
      <c r="D179" s="2478"/>
      <c r="E179" s="2478"/>
      <c r="F179" s="2478"/>
      <c r="G179" s="2479"/>
      <c r="H179" s="2478"/>
      <c r="I179" s="2479"/>
      <c r="J179" s="2478"/>
      <c r="K179" s="2478"/>
      <c r="L179" s="2479"/>
      <c r="M179" s="2478"/>
      <c r="N179" s="2478"/>
      <c r="O179" s="2479"/>
      <c r="P179" s="2478"/>
      <c r="Q179" s="2478"/>
      <c r="R179" s="2480"/>
    </row>
    <row r="180" spans="1:18" s="786" customFormat="1">
      <c r="B180" s="2478"/>
      <c r="C180" s="2478"/>
      <c r="D180" s="2478"/>
      <c r="E180" s="2478"/>
      <c r="F180" s="2478"/>
      <c r="G180" s="2479"/>
      <c r="H180" s="2478"/>
      <c r="I180" s="2479"/>
      <c r="J180" s="2478"/>
      <c r="K180" s="2478"/>
      <c r="L180" s="2479"/>
      <c r="M180" s="2478"/>
      <c r="N180" s="2478"/>
      <c r="O180" s="2479"/>
      <c r="P180" s="2478"/>
      <c r="Q180" s="2478"/>
      <c r="R180" s="2480"/>
    </row>
    <row r="181" spans="1:18" s="786" customFormat="1">
      <c r="B181" s="2478"/>
      <c r="C181" s="2478"/>
      <c r="D181" s="2478"/>
      <c r="E181" s="2478"/>
      <c r="F181" s="2478"/>
      <c r="G181" s="2479"/>
      <c r="H181" s="2478"/>
      <c r="I181" s="2479"/>
      <c r="J181" s="2478"/>
      <c r="K181" s="2478"/>
      <c r="L181" s="2479"/>
      <c r="M181" s="2478"/>
      <c r="N181" s="2478"/>
      <c r="O181" s="2479"/>
      <c r="P181" s="2478"/>
      <c r="Q181" s="2478"/>
      <c r="R181" s="2480"/>
    </row>
    <row r="182" spans="1:18" s="786" customFormat="1">
      <c r="B182" s="2478"/>
      <c r="C182" s="2478"/>
      <c r="D182" s="2478"/>
      <c r="E182" s="2478"/>
      <c r="F182" s="2478"/>
      <c r="G182" s="2479"/>
      <c r="H182" s="2478"/>
      <c r="I182" s="2479"/>
      <c r="J182" s="2478"/>
      <c r="K182" s="2478"/>
      <c r="L182" s="2479"/>
      <c r="M182" s="2478"/>
      <c r="N182" s="2478"/>
      <c r="O182" s="2479"/>
      <c r="P182" s="2478"/>
      <c r="Q182" s="2478"/>
      <c r="R182" s="2480"/>
    </row>
    <row r="183" spans="1:18" s="786" customFormat="1">
      <c r="B183" s="2478"/>
      <c r="C183" s="2478"/>
      <c r="D183" s="2478"/>
      <c r="E183" s="2478"/>
      <c r="F183" s="2478"/>
      <c r="G183" s="2479"/>
      <c r="H183" s="2478"/>
      <c r="I183" s="2479"/>
      <c r="J183" s="2478"/>
      <c r="K183" s="2478"/>
      <c r="L183" s="2479"/>
      <c r="M183" s="2478"/>
      <c r="N183" s="2478"/>
      <c r="O183" s="2479"/>
      <c r="P183" s="2478"/>
      <c r="Q183" s="2478"/>
      <c r="R183" s="2480"/>
    </row>
    <row r="184" spans="1:18" s="786" customFormat="1">
      <c r="B184" s="2478"/>
      <c r="C184" s="2478"/>
      <c r="D184" s="2478"/>
      <c r="E184" s="2478"/>
      <c r="F184" s="2478"/>
      <c r="G184" s="2479"/>
      <c r="H184" s="2478"/>
      <c r="I184" s="2479"/>
      <c r="J184" s="2478"/>
      <c r="K184" s="2478"/>
      <c r="L184" s="2479"/>
      <c r="M184" s="2478"/>
      <c r="N184" s="2478"/>
      <c r="O184" s="2479"/>
      <c r="P184" s="2478"/>
      <c r="Q184" s="2478"/>
      <c r="R184" s="2480"/>
    </row>
    <row r="185" spans="1:18" s="786"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86"/>
      <c r="B186" s="2478"/>
      <c r="C186" s="2478"/>
      <c r="E186" s="2478"/>
      <c r="F186" s="2478"/>
      <c r="G186" s="2479"/>
    </row>
    <row r="187" spans="1:18">
      <c r="A187" s="786"/>
      <c r="B187" s="2478"/>
      <c r="C187" s="2478"/>
      <c r="E187" s="2478"/>
      <c r="F187" s="2478"/>
      <c r="G187" s="247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98312.17</v>
      </c>
      <c r="C1" s="2671"/>
      <c r="D1" s="2671"/>
      <c r="E1" s="2671"/>
      <c r="F1" s="2671"/>
      <c r="G1" s="2672"/>
      <c r="H1" s="2673"/>
      <c r="I1" s="2673"/>
      <c r="J1" s="2673"/>
      <c r="K1" s="2673"/>
    </row>
    <row r="2" spans="1:11" ht="16.5">
      <c r="A2" s="2499" t="s">
        <v>653</v>
      </c>
      <c r="B2" s="2499">
        <f>SUM(C14:C23)</f>
        <v>28178.74</v>
      </c>
      <c r="C2" s="2671"/>
      <c r="D2" s="2671"/>
      <c r="E2" s="2671"/>
      <c r="F2" s="2671"/>
      <c r="G2" s="2672"/>
      <c r="H2" s="2673"/>
      <c r="I2" s="2673"/>
      <c r="J2" s="2673"/>
      <c r="K2" s="2673"/>
    </row>
    <row r="3" spans="1:11" ht="16.5">
      <c r="A3" s="2499" t="s">
        <v>662</v>
      </c>
      <c r="B3" s="2501">
        <f>项目基本情况!D3</f>
        <v>45373</v>
      </c>
      <c r="C3" s="2671"/>
      <c r="D3" s="2671"/>
      <c r="E3" s="2671"/>
      <c r="F3" s="2671"/>
      <c r="G3" s="2672"/>
      <c r="H3" s="2673"/>
      <c r="I3" s="2673"/>
      <c r="J3" s="2673"/>
      <c r="K3" s="2673"/>
    </row>
    <row r="4" spans="1:11" ht="33">
      <c r="A4" s="2499" t="s">
        <v>661</v>
      </c>
      <c r="B4" s="2499" t="s">
        <v>660</v>
      </c>
      <c r="C4" s="2499" t="s">
        <v>659</v>
      </c>
      <c r="D4" s="2499" t="s">
        <v>658</v>
      </c>
      <c r="E4" s="2671"/>
      <c r="F4" s="2672"/>
      <c r="G4" s="2672"/>
      <c r="H4" s="2673"/>
      <c r="I4" s="2673"/>
      <c r="J4" s="2673"/>
      <c r="K4" s="2673"/>
    </row>
    <row r="5" spans="1:11" ht="16.5">
      <c r="A5" s="2499" t="s">
        <v>657</v>
      </c>
      <c r="B5" s="2499">
        <f ca="1">SUM(D14:D23)</f>
        <v>336444</v>
      </c>
      <c r="C5" s="2499">
        <f ca="1">IF(B5=D14,结果表!H102,ROUND(B5*10000/$B$1,0))</f>
        <v>34222</v>
      </c>
      <c r="D5" s="2499">
        <f ca="1">ROUND(B5*10000/$B$2,0)</f>
        <v>119396</v>
      </c>
      <c r="E5" s="2671"/>
      <c r="F5" s="2672"/>
      <c r="G5" s="2672"/>
      <c r="H5" s="2673"/>
      <c r="I5" s="2673"/>
      <c r="J5" s="2673"/>
      <c r="K5" s="2673"/>
    </row>
    <row r="6" spans="1:11" ht="16.5">
      <c r="A6" s="2499" t="s">
        <v>656</v>
      </c>
      <c r="B6" s="2499">
        <f ca="1">SUM(G14:G23)</f>
        <v>336444</v>
      </c>
      <c r="C6" s="2499">
        <f ca="1">IF(B6=G14,结果表!H108,ROUND(B6*10000/$B$1,0))</f>
        <v>34222</v>
      </c>
      <c r="D6" s="2499">
        <f ca="1">ROUND(B6*10000/$B$2,0)</f>
        <v>119396</v>
      </c>
      <c r="E6" s="2671"/>
      <c r="F6" s="2672"/>
      <c r="G6" s="2672"/>
      <c r="H6" s="2673"/>
      <c r="I6" s="2673"/>
      <c r="J6" s="2673"/>
      <c r="K6" s="2673"/>
    </row>
    <row r="7" spans="1:11" ht="16.5">
      <c r="A7" s="2499" t="s">
        <v>664</v>
      </c>
      <c r="B7" s="2499">
        <f>SUM(H14:H23)</f>
        <v>0</v>
      </c>
      <c r="C7" s="2499" t="str">
        <f>IF(B7=H14,结果表!H110,ROUND(B7*10000/$B$1,0))</f>
        <v>——</v>
      </c>
      <c r="D7" s="2499">
        <f>ROUND(B7*10000/$B$2,0)</f>
        <v>0</v>
      </c>
      <c r="E7" s="2671"/>
      <c r="F7" s="2672"/>
      <c r="G7" s="2672"/>
      <c r="H7" s="2673"/>
      <c r="I7" s="2673"/>
      <c r="J7" s="2673"/>
      <c r="K7" s="2673"/>
    </row>
    <row r="8" spans="1:11" ht="16.5">
      <c r="A8" s="2499" t="s">
        <v>587</v>
      </c>
      <c r="B8" s="2499">
        <f>SUM(I14:I23)</f>
        <v>0</v>
      </c>
      <c r="C8" s="2499">
        <f ca="1">IF(B8=I14,结果表!H112,ROUND(B8*10000/$B$1,0))</f>
        <v>28807</v>
      </c>
      <c r="D8" s="2499">
        <f>ROUND(B8*10000/$B$2,0)</f>
        <v>0</v>
      </c>
      <c r="E8" s="2671"/>
      <c r="F8" s="2672"/>
      <c r="G8" s="2672"/>
      <c r="H8" s="2673"/>
      <c r="I8" s="2673"/>
      <c r="J8" s="2673"/>
      <c r="K8" s="2673"/>
    </row>
    <row r="9" spans="1:11" ht="16.5">
      <c r="A9" s="2499" t="s">
        <v>655</v>
      </c>
      <c r="B9" s="2507"/>
      <c r="C9" s="2671"/>
      <c r="D9" s="2671"/>
      <c r="E9" s="2671"/>
      <c r="F9" s="2672"/>
      <c r="G9" s="2672"/>
      <c r="H9" s="2673"/>
      <c r="I9" s="2673"/>
      <c r="J9" s="2673"/>
      <c r="K9" s="2673"/>
    </row>
    <row r="10" spans="1:11" ht="16.5">
      <c r="A10" s="2499" t="s">
        <v>654</v>
      </c>
      <c r="B10" s="2499">
        <f>IF(E10="",0,ROUND(B1*(E10*365/G10)/10000,0))</f>
        <v>0</v>
      </c>
      <c r="C10" s="2499" t="s">
        <v>3351</v>
      </c>
      <c r="D10" s="2499" t="s">
        <v>3352</v>
      </c>
      <c r="E10" s="3418"/>
      <c r="F10" s="3422" t="s">
        <v>3353</v>
      </c>
      <c r="G10" s="3419"/>
      <c r="H10" s="2673"/>
      <c r="I10" s="2673"/>
      <c r="J10" s="2673"/>
      <c r="K10" s="2673"/>
    </row>
    <row r="11" spans="1:11" ht="16.5">
      <c r="A11" s="2499" t="s">
        <v>670</v>
      </c>
      <c r="B11" s="2507"/>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2" t="s">
        <v>669</v>
      </c>
      <c r="B13" s="2503" t="s">
        <v>666</v>
      </c>
      <c r="C13" s="2503" t="s">
        <v>668</v>
      </c>
      <c r="D13" s="2503" t="s">
        <v>667</v>
      </c>
      <c r="E13" s="2499" t="s">
        <v>659</v>
      </c>
      <c r="F13" s="2499" t="s">
        <v>658</v>
      </c>
      <c r="G13" s="2503" t="s">
        <v>652</v>
      </c>
      <c r="H13" s="2503" t="s">
        <v>663</v>
      </c>
      <c r="I13" s="2503" t="s">
        <v>651</v>
      </c>
      <c r="J13" s="2672"/>
      <c r="K13" s="2673"/>
    </row>
    <row r="14" spans="1:11" ht="16.5">
      <c r="A14" s="2504" t="s">
        <v>650</v>
      </c>
      <c r="B14" s="2505">
        <f>结果表!B118</f>
        <v>98312.17</v>
      </c>
      <c r="C14" s="2505">
        <f>结果表!C118</f>
        <v>28178.74</v>
      </c>
      <c r="D14" s="2505">
        <f ca="1">结果表!H118</f>
        <v>336444</v>
      </c>
      <c r="E14" s="2505">
        <f ca="1">ROUND(D14*10000/B14,0)</f>
        <v>34222</v>
      </c>
      <c r="F14" s="2505">
        <f ca="1">ROUND(D14*10000/C14,0)</f>
        <v>119396</v>
      </c>
      <c r="G14" s="2505">
        <f ca="1">D14</f>
        <v>336444</v>
      </c>
      <c r="H14" s="2505"/>
      <c r="I14" s="2505"/>
      <c r="J14" s="2672"/>
      <c r="K14" s="2673"/>
    </row>
    <row r="15" spans="1:11" ht="16.5">
      <c r="A15" s="2504" t="s">
        <v>649</v>
      </c>
      <c r="B15" s="2506"/>
      <c r="C15" s="2506"/>
      <c r="D15" s="2506"/>
      <c r="E15" s="2505" t="e">
        <f t="shared" ref="E15:E23" si="0">ROUND(D15*10000/B15,0)</f>
        <v>#DIV/0!</v>
      </c>
      <c r="F15" s="2505" t="e">
        <f t="shared" ref="F15:F23" si="1">ROUND(D15*10000/C15,0)</f>
        <v>#DIV/0!</v>
      </c>
      <c r="G15" s="1318"/>
      <c r="H15" s="1318"/>
      <c r="I15" s="2506"/>
      <c r="J15" s="2672"/>
      <c r="K15" s="2673"/>
    </row>
    <row r="16" spans="1:11" ht="16.5">
      <c r="A16" s="2504" t="s">
        <v>648</v>
      </c>
      <c r="B16" s="2506"/>
      <c r="C16" s="2506"/>
      <c r="D16" s="2506"/>
      <c r="E16" s="2505" t="e">
        <f t="shared" si="0"/>
        <v>#DIV/0!</v>
      </c>
      <c r="F16" s="2505" t="e">
        <f t="shared" si="1"/>
        <v>#DIV/0!</v>
      </c>
      <c r="G16" s="1318"/>
      <c r="H16" s="1318"/>
      <c r="I16" s="2506"/>
      <c r="J16" s="2673"/>
      <c r="K16" s="2673"/>
    </row>
    <row r="17" spans="1:11" ht="16.5">
      <c r="A17" s="2504" t="s">
        <v>647</v>
      </c>
      <c r="B17" s="2506"/>
      <c r="C17" s="2506"/>
      <c r="D17" s="2506"/>
      <c r="E17" s="2505" t="e">
        <f t="shared" si="0"/>
        <v>#DIV/0!</v>
      </c>
      <c r="F17" s="2505" t="e">
        <f t="shared" si="1"/>
        <v>#DIV/0!</v>
      </c>
      <c r="G17" s="1318"/>
      <c r="H17" s="1318"/>
      <c r="I17" s="2506"/>
      <c r="J17" s="2673"/>
      <c r="K17" s="2673"/>
    </row>
    <row r="18" spans="1:11" ht="16.5">
      <c r="A18" s="2504" t="s">
        <v>646</v>
      </c>
      <c r="B18" s="2506"/>
      <c r="C18" s="2506"/>
      <c r="D18" s="2506"/>
      <c r="E18" s="2505" t="e">
        <f t="shared" si="0"/>
        <v>#DIV/0!</v>
      </c>
      <c r="F18" s="2505" t="e">
        <f t="shared" si="1"/>
        <v>#DIV/0!</v>
      </c>
      <c r="G18" s="2506"/>
      <c r="H18" s="2506"/>
      <c r="I18" s="2506"/>
      <c r="J18" s="2673"/>
      <c r="K18" s="2673"/>
    </row>
    <row r="19" spans="1:11" ht="16.5">
      <c r="A19" s="2504" t="s">
        <v>645</v>
      </c>
      <c r="B19" s="2506"/>
      <c r="C19" s="2506"/>
      <c r="D19" s="2506"/>
      <c r="E19" s="2505" t="e">
        <f t="shared" si="0"/>
        <v>#DIV/0!</v>
      </c>
      <c r="F19" s="2505" t="e">
        <f t="shared" si="1"/>
        <v>#DIV/0!</v>
      </c>
      <c r="G19" s="2506"/>
      <c r="H19" s="2506"/>
      <c r="I19" s="2506"/>
      <c r="J19" s="2673"/>
      <c r="K19" s="2673"/>
    </row>
    <row r="20" spans="1:11" ht="16.5">
      <c r="A20" s="2504" t="s">
        <v>644</v>
      </c>
      <c r="B20" s="2506"/>
      <c r="C20" s="2506"/>
      <c r="D20" s="2506"/>
      <c r="E20" s="2505" t="e">
        <f t="shared" si="0"/>
        <v>#DIV/0!</v>
      </c>
      <c r="F20" s="2505" t="e">
        <f t="shared" si="1"/>
        <v>#DIV/0!</v>
      </c>
      <c r="G20" s="2506"/>
      <c r="H20" s="2506"/>
      <c r="I20" s="2506"/>
      <c r="J20" s="2673"/>
      <c r="K20" s="2673"/>
    </row>
    <row r="21" spans="1:11" ht="16.5">
      <c r="A21" s="2504" t="s">
        <v>643</v>
      </c>
      <c r="B21" s="2506"/>
      <c r="C21" s="2506"/>
      <c r="D21" s="2506"/>
      <c r="E21" s="2505" t="e">
        <f t="shared" si="0"/>
        <v>#DIV/0!</v>
      </c>
      <c r="F21" s="2505" t="e">
        <f t="shared" si="1"/>
        <v>#DIV/0!</v>
      </c>
      <c r="G21" s="2506"/>
      <c r="H21" s="2506"/>
      <c r="I21" s="2506"/>
      <c r="J21" s="2673"/>
      <c r="K21" s="2673"/>
    </row>
    <row r="22" spans="1:11" ht="16.5">
      <c r="A22" s="2504" t="s">
        <v>642</v>
      </c>
      <c r="B22" s="2506"/>
      <c r="C22" s="2506"/>
      <c r="D22" s="2506"/>
      <c r="E22" s="2505" t="e">
        <f t="shared" si="0"/>
        <v>#DIV/0!</v>
      </c>
      <c r="F22" s="2505" t="e">
        <f t="shared" si="1"/>
        <v>#DIV/0!</v>
      </c>
      <c r="G22" s="2506"/>
      <c r="H22" s="2506"/>
      <c r="I22" s="2506"/>
      <c r="J22" s="2673"/>
      <c r="K22" s="2673"/>
    </row>
    <row r="23" spans="1:11" ht="16.5">
      <c r="A23" s="2504" t="s">
        <v>641</v>
      </c>
      <c r="B23" s="2506"/>
      <c r="C23" s="2506"/>
      <c r="D23" s="2506"/>
      <c r="E23" s="2507" t="e">
        <f t="shared" si="0"/>
        <v>#DIV/0!</v>
      </c>
      <c r="F23" s="2507" t="e">
        <f t="shared" si="1"/>
        <v>#DIV/0!</v>
      </c>
      <c r="G23" s="2506"/>
      <c r="H23" s="2506"/>
      <c r="I23" s="2506"/>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6" zoomScaleNormal="100" zoomScaleSheetLayoutView="100" zoomScalePageLayoutView="80" workbookViewId="0">
      <selection activeCell="I64" sqref="I64"/>
    </sheetView>
  </sheetViews>
  <sheetFormatPr defaultColWidth="12.625" defaultRowHeight="21.75" customHeight="1"/>
  <cols>
    <col min="1" max="2" width="12.625" style="1740"/>
    <col min="3" max="4" width="12.625" style="1740" customWidth="1"/>
    <col min="5" max="9" width="12.625" style="1740"/>
    <col min="10" max="11" width="12.625" style="712" customWidth="1"/>
    <col min="12" max="12" width="12.625" style="712"/>
    <col min="13" max="13" width="14.125" style="712" bestFit="1" customWidth="1"/>
    <col min="14" max="26" width="12.625" style="712"/>
    <col min="27" max="35" width="12.625" style="1739"/>
    <col min="36" max="16384" width="12.625" style="1740"/>
  </cols>
  <sheetData>
    <row r="1" spans="1:12" ht="21.75" customHeight="1" thickBot="1">
      <c r="A1" s="1624" t="s">
        <v>1262</v>
      </c>
      <c r="B1" s="1734"/>
      <c r="C1" s="1735" t="s">
        <v>3422</v>
      </c>
      <c r="D1" s="1734"/>
      <c r="E1" s="1734"/>
      <c r="F1" s="1736" t="s">
        <v>1263</v>
      </c>
      <c r="G1" s="1548" t="s">
        <v>3395</v>
      </c>
      <c r="H1" s="1737" t="str">
        <f>IF(G1="现房","——","估价对象范围")</f>
        <v>——</v>
      </c>
      <c r="I1" s="1738" t="s">
        <v>3396</v>
      </c>
    </row>
    <row r="2" spans="1:12" ht="21.75" customHeight="1" thickBot="1">
      <c r="A2" s="3640" t="str">
        <f>项目基本情况!S2</f>
        <v>北京市海淀区板井路69号世纪金源大饭店房地产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41" t="s">
        <v>1265</v>
      </c>
      <c r="B4" s="1742" t="s">
        <v>1266</v>
      </c>
      <c r="C4" s="1743" t="s">
        <v>3823</v>
      </c>
      <c r="D4" s="1743" t="s">
        <v>3822</v>
      </c>
      <c r="E4" s="3646" t="s">
        <v>1267</v>
      </c>
      <c r="F4" s="3647"/>
      <c r="G4" s="3647"/>
      <c r="H4" s="3647"/>
      <c r="I4" s="3648"/>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620" t="s">
        <v>1268</v>
      </c>
      <c r="B5" s="3607">
        <v>25</v>
      </c>
      <c r="C5" s="3623"/>
      <c r="D5" s="3643"/>
      <c r="E5" s="121" t="s">
        <v>1269</v>
      </c>
      <c r="F5" s="1744"/>
      <c r="G5" s="1744"/>
      <c r="H5" s="1744"/>
      <c r="I5" s="1360"/>
    </row>
    <row r="6" spans="1:12" ht="12.75">
      <c r="A6" s="3620"/>
      <c r="B6" s="3607"/>
      <c r="C6" s="3624"/>
      <c r="D6" s="3643"/>
      <c r="E6" s="121" t="s">
        <v>1270</v>
      </c>
      <c r="F6" s="1744"/>
      <c r="G6" s="1744"/>
      <c r="H6" s="1744"/>
      <c r="I6" s="1360"/>
    </row>
    <row r="7" spans="1:12" ht="12.75">
      <c r="A7" s="3620"/>
      <c r="B7" s="3607"/>
      <c r="C7" s="3625"/>
      <c r="D7" s="3643"/>
      <c r="E7" s="121" t="s">
        <v>1271</v>
      </c>
      <c r="F7" s="1744"/>
      <c r="G7" s="1744"/>
      <c r="H7" s="1744"/>
      <c r="I7" s="1360"/>
    </row>
    <row r="8" spans="1:12" ht="12.75">
      <c r="A8" s="3620" t="s">
        <v>1272</v>
      </c>
      <c r="B8" s="3607">
        <v>15</v>
      </c>
      <c r="C8" s="3623"/>
      <c r="D8" s="3643"/>
      <c r="E8" s="121" t="s">
        <v>1273</v>
      </c>
      <c r="F8" s="1744"/>
      <c r="G8" s="1744"/>
      <c r="H8" s="1744"/>
      <c r="I8" s="1360"/>
    </row>
    <row r="9" spans="1:12" ht="12.75">
      <c r="A9" s="3620"/>
      <c r="B9" s="3607"/>
      <c r="C9" s="3625"/>
      <c r="D9" s="3643"/>
      <c r="E9" s="121" t="s">
        <v>1274</v>
      </c>
      <c r="F9" s="1744"/>
      <c r="G9" s="1744"/>
      <c r="H9" s="1744"/>
      <c r="I9" s="1360"/>
    </row>
    <row r="10" spans="1:12" ht="12.75">
      <c r="A10" s="3620" t="s">
        <v>1275</v>
      </c>
      <c r="B10" s="3607">
        <v>15</v>
      </c>
      <c r="C10" s="3623"/>
      <c r="D10" s="3643"/>
      <c r="E10" s="121" t="s">
        <v>1276</v>
      </c>
      <c r="F10" s="1744"/>
      <c r="G10" s="1744"/>
      <c r="H10" s="1744"/>
      <c r="I10" s="1360"/>
    </row>
    <row r="11" spans="1:12" ht="12.75">
      <c r="A11" s="3620"/>
      <c r="B11" s="3607"/>
      <c r="C11" s="3625"/>
      <c r="D11" s="3643"/>
      <c r="E11" s="121" t="s">
        <v>1277</v>
      </c>
      <c r="F11" s="1744"/>
      <c r="G11" s="1744"/>
      <c r="H11" s="1744"/>
      <c r="I11" s="1360"/>
    </row>
    <row r="12" spans="1:12" ht="12.75">
      <c r="A12" s="3620" t="s">
        <v>1278</v>
      </c>
      <c r="B12" s="3607">
        <v>15</v>
      </c>
      <c r="C12" s="3623"/>
      <c r="D12" s="3643"/>
      <c r="E12" s="121" t="s">
        <v>1279</v>
      </c>
      <c r="F12" s="1744"/>
      <c r="G12" s="1744"/>
      <c r="H12" s="1744"/>
      <c r="I12" s="1360"/>
    </row>
    <row r="13" spans="1:12" ht="12.75">
      <c r="A13" s="3620"/>
      <c r="B13" s="3607"/>
      <c r="C13" s="3625"/>
      <c r="D13" s="3643"/>
      <c r="E13" s="121" t="s">
        <v>1280</v>
      </c>
      <c r="F13" s="1744"/>
      <c r="G13" s="1744"/>
      <c r="H13" s="1744"/>
      <c r="I13" s="1360"/>
    </row>
    <row r="14" spans="1:12" ht="12.75">
      <c r="A14" s="3620" t="s">
        <v>1281</v>
      </c>
      <c r="B14" s="3607">
        <v>30</v>
      </c>
      <c r="C14" s="3623">
        <v>7</v>
      </c>
      <c r="D14" s="3643">
        <v>3</v>
      </c>
      <c r="E14" s="121" t="s">
        <v>1282</v>
      </c>
      <c r="F14" s="1744"/>
      <c r="G14" s="1744"/>
      <c r="H14" s="1744"/>
      <c r="I14" s="1360"/>
    </row>
    <row r="15" spans="1:12" ht="12.75">
      <c r="A15" s="3620"/>
      <c r="B15" s="3607"/>
      <c r="C15" s="3624"/>
      <c r="D15" s="3643"/>
      <c r="E15" s="121" t="s">
        <v>1283</v>
      </c>
      <c r="F15" s="1744"/>
      <c r="G15" s="1744"/>
      <c r="H15" s="1744"/>
      <c r="I15" s="1360"/>
    </row>
    <row r="16" spans="1:12" ht="12.75">
      <c r="A16" s="3620"/>
      <c r="B16" s="3607"/>
      <c r="C16" s="3625"/>
      <c r="D16" s="3643"/>
      <c r="E16" s="121" t="s">
        <v>1284</v>
      </c>
      <c r="F16" s="1744"/>
      <c r="G16" s="1744"/>
      <c r="H16" s="1744"/>
      <c r="I16" s="1360"/>
    </row>
    <row r="17" spans="1:36" ht="15">
      <c r="A17" s="1745" t="s">
        <v>1285</v>
      </c>
      <c r="B17" s="56"/>
      <c r="C17" s="122">
        <f>SUM(C5:C16)</f>
        <v>7</v>
      </c>
      <c r="D17" s="122">
        <f>SUM(D5:D16)</f>
        <v>3</v>
      </c>
      <c r="E17" s="119"/>
      <c r="F17" s="119"/>
      <c r="G17" s="119"/>
      <c r="H17" s="119"/>
      <c r="I17" s="119"/>
      <c r="K17" s="292"/>
      <c r="L17" s="292" t="s">
        <v>1286</v>
      </c>
      <c r="M17" s="292" t="s">
        <v>1287</v>
      </c>
    </row>
    <row r="18" spans="1:36" ht="31.9" customHeight="1" thickBot="1">
      <c r="A18" s="1746" t="s">
        <v>1288</v>
      </c>
      <c r="B18" s="1747"/>
      <c r="C18" s="123">
        <f>ROUND(C17/SUM(C17:D17),2)</f>
        <v>0.7</v>
      </c>
      <c r="D18" s="123">
        <f>1-C18</f>
        <v>0.30000000000000004</v>
      </c>
      <c r="E18" s="3630" t="s">
        <v>2130</v>
      </c>
      <c r="F18" s="3631"/>
      <c r="G18" s="3631"/>
      <c r="H18" s="3631"/>
      <c r="I18" s="3631"/>
      <c r="K18" s="292" t="s">
        <v>1289</v>
      </c>
      <c r="L18" s="292">
        <f>IF(C1="",'数据-汇总表'!E3,SUMIF(项目类型,C1,'数据-汇总表'!E17:E26)+SUMIF(项目类型,C1,'数据-汇总表'!I17:I26))</f>
        <v>98312.17</v>
      </c>
      <c r="M18" s="292">
        <f>IF(C1="",'数据-汇总表'!E3,SUMIF(项目类型,C1,'数据-汇总表'!E17:E26))</f>
        <v>98312.17</v>
      </c>
    </row>
    <row r="19" spans="1:36" ht="15">
      <c r="A19" s="1748" t="s">
        <v>1290</v>
      </c>
      <c r="B19" s="1749" t="s">
        <v>1291</v>
      </c>
      <c r="C19" s="124">
        <f ca="1">SUMIF(INDIRECT("'"&amp;C4&amp;"'"&amp;"!A:A"),结果表!B19,INDIRECT("'"&amp;C4&amp;"'"&amp;"!B:B"))</f>
        <v>383201</v>
      </c>
      <c r="D19" s="125">
        <f ca="1">SUMIF(INDIRECT("'"&amp;D4&amp;"'"&amp;"!A:A"),结果表!B19,INDIRECT("'"&amp;D4&amp;"'"&amp;"!B:B"))</f>
        <v>227343</v>
      </c>
      <c r="E19" s="1748" t="s">
        <v>1292</v>
      </c>
      <c r="F19" s="1749" t="s">
        <v>1291</v>
      </c>
      <c r="G19" s="126">
        <f ca="1">ROUND(C19*$C$18+D19*$D$18,0)</f>
        <v>336444</v>
      </c>
      <c r="H19" s="1750" t="s">
        <v>1293</v>
      </c>
      <c r="I19" s="119"/>
      <c r="K19" s="292" t="s">
        <v>1294</v>
      </c>
      <c r="L19" s="292">
        <f>IF(C1="",'数据-汇总表'!D3,SUMIF(项目类型,C1,'数据-汇总表'!D17:D26)+SUMIF(项目类型,C1,'数据-汇总表'!H17:H27))</f>
        <v>28178.74</v>
      </c>
      <c r="M19" s="292">
        <f>IF(C1="",'数据-汇总表'!D3,SUMIF(项目类型,C1,'数据-汇总表'!D17:D26))</f>
        <v>28178.74</v>
      </c>
    </row>
    <row r="20" spans="1:36" ht="15">
      <c r="A20" s="1751"/>
      <c r="B20" s="1013" t="s">
        <v>1295</v>
      </c>
      <c r="C20" s="127">
        <f ca="1">SUMIF(INDIRECT("'"&amp;C4&amp;"'"&amp;"!A:A"),结果表!B20,INDIRECT("'"&amp;C4&amp;"'"&amp;"!B:B"))</f>
        <v>38978</v>
      </c>
      <c r="D20" s="128">
        <f ca="1">SUMIF(INDIRECT("'"&amp;D4&amp;"'"&amp;"!A:A"),结果表!B20,INDIRECT("'"&amp;D4&amp;"'"&amp;"!B:B"))</f>
        <v>23125</v>
      </c>
      <c r="E20" s="1751"/>
      <c r="F20" s="1013" t="s">
        <v>1295</v>
      </c>
      <c r="G20" s="129">
        <f ca="1">ROUND(C20*$C$18+D20*$D$18,0)</f>
        <v>34222</v>
      </c>
      <c r="H20" s="795" t="s">
        <v>1296</v>
      </c>
      <c r="I20" s="119"/>
    </row>
    <row r="21" spans="1:36" ht="15" customHeight="1" thickBot="1">
      <c r="A21" s="815"/>
      <c r="B21" s="1752" t="s">
        <v>1297</v>
      </c>
      <c r="C21" s="706">
        <f ca="1">ROUND(C19*10000/L19,0)</f>
        <v>135989</v>
      </c>
      <c r="D21" s="707">
        <f ca="1">ROUND(D19*10000/L19,0)</f>
        <v>80679</v>
      </c>
      <c r="E21" s="815"/>
      <c r="F21" s="1752" t="s">
        <v>1297</v>
      </c>
      <c r="G21" s="130">
        <f ca="1">ROUND(G19*10000/L19,0)</f>
        <v>119396</v>
      </c>
      <c r="H21" s="1753" t="s">
        <v>1296</v>
      </c>
      <c r="I21" s="119"/>
      <c r="J21" s="712">
        <v>335285</v>
      </c>
      <c r="K21" s="712">
        <f ca="1">G19-J21</f>
        <v>1159</v>
      </c>
    </row>
    <row r="22" spans="1:36" ht="15" thickBot="1">
      <c r="A22" s="1675" t="s">
        <v>1298</v>
      </c>
      <c r="B22" s="1754"/>
      <c r="C22" s="1755"/>
      <c r="D22" s="708">
        <f ca="1">IF(C19&lt;D19,D19/C19-1,C19/D19-1)</f>
        <v>0.68556322385118529</v>
      </c>
      <c r="E22" s="119"/>
      <c r="F22" s="119"/>
      <c r="G22" s="119"/>
      <c r="H22" s="119"/>
      <c r="I22" s="119"/>
    </row>
    <row r="23" spans="1:36" ht="13.5" thickBot="1">
      <c r="A23" s="1734"/>
      <c r="B23" s="1734"/>
      <c r="C23" s="1734"/>
      <c r="D23" s="1734"/>
      <c r="E23" s="119"/>
      <c r="F23" s="119"/>
      <c r="G23" s="119"/>
      <c r="H23" s="119"/>
      <c r="I23" s="119"/>
    </row>
    <row r="24" spans="1:36" ht="14.25">
      <c r="A24" s="3614" t="s">
        <v>1299</v>
      </c>
      <c r="B24" s="1749" t="s">
        <v>1291</v>
      </c>
      <c r="C24" s="126">
        <f>IF(B30=0,0,D30)</f>
        <v>0</v>
      </c>
      <c r="D24" s="1756"/>
      <c r="E24" s="119"/>
      <c r="F24" s="119"/>
      <c r="G24" s="119"/>
      <c r="H24" s="119"/>
      <c r="I24" s="119"/>
    </row>
    <row r="25" spans="1:36" ht="14.25">
      <c r="A25" s="3615"/>
      <c r="B25" s="1013" t="s">
        <v>1295</v>
      </c>
      <c r="C25" s="131">
        <f>IF(B30=0,0,C30)</f>
        <v>0</v>
      </c>
      <c r="D25" s="1757"/>
      <c r="E25" s="119"/>
      <c r="F25" s="119"/>
      <c r="G25" s="119"/>
      <c r="H25" s="119"/>
      <c r="I25" s="119"/>
    </row>
    <row r="26" spans="1:36" ht="13.5" customHeight="1">
      <c r="A26" s="1758" t="s">
        <v>1300</v>
      </c>
      <c r="B26" s="132" t="s">
        <v>1301</v>
      </c>
      <c r="C26" s="132" t="s">
        <v>1302</v>
      </c>
      <c r="D26" s="133" t="s">
        <v>1303</v>
      </c>
      <c r="E26" s="119"/>
      <c r="F26" s="119"/>
      <c r="G26" s="119"/>
      <c r="H26" s="119"/>
      <c r="I26" s="119"/>
    </row>
    <row r="27" spans="1:36" ht="14.25">
      <c r="A27" s="1758"/>
      <c r="B27" s="132">
        <v>0</v>
      </c>
      <c r="C27" s="132">
        <v>0</v>
      </c>
      <c r="D27" s="133">
        <f>ROUND(C27*B27/10000,0)</f>
        <v>0</v>
      </c>
      <c r="E27" s="119"/>
      <c r="F27" s="119"/>
      <c r="G27" s="119"/>
      <c r="H27" s="119"/>
      <c r="I27" s="119"/>
    </row>
    <row r="28" spans="1:36" ht="14.25">
      <c r="A28" s="1758"/>
      <c r="B28" s="132"/>
      <c r="C28" s="132"/>
      <c r="D28" s="133"/>
      <c r="E28" s="119"/>
      <c r="F28" s="119"/>
      <c r="G28" s="119"/>
      <c r="H28" s="119"/>
      <c r="I28" s="119"/>
    </row>
    <row r="29" spans="1:36" ht="14.25">
      <c r="A29" s="1758"/>
      <c r="B29" s="132"/>
      <c r="C29" s="132"/>
      <c r="D29" s="133"/>
      <c r="E29" s="119"/>
      <c r="F29" s="119"/>
      <c r="G29" s="119"/>
      <c r="H29" s="119"/>
      <c r="I29" s="119"/>
    </row>
    <row r="30" spans="1:36" ht="15" thickBot="1">
      <c r="A30" s="132" t="s">
        <v>1304</v>
      </c>
      <c r="B30" s="132"/>
      <c r="C30" s="132"/>
      <c r="D30" s="132"/>
      <c r="E30" s="2290" t="s">
        <v>2131</v>
      </c>
      <c r="F30" s="119"/>
      <c r="G30" s="119"/>
      <c r="H30" s="119"/>
      <c r="I30" s="119"/>
    </row>
    <row r="31" spans="1:36" s="2296" customFormat="1" ht="26.45" customHeight="1" thickTop="1" thickBot="1">
      <c r="A31" s="2291"/>
      <c r="B31" s="2292"/>
      <c r="C31" s="2292"/>
      <c r="D31" s="2292"/>
      <c r="E31" s="2292"/>
      <c r="F31" s="2292"/>
      <c r="G31" s="2292"/>
      <c r="H31" s="2292"/>
      <c r="I31" s="2293" t="s">
        <v>2132</v>
      </c>
      <c r="J31" s="2674"/>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6.5" thickTop="1" thickBot="1">
      <c r="A32" s="1760" t="s">
        <v>1305</v>
      </c>
      <c r="B32" s="1761"/>
      <c r="C32" s="134">
        <f ca="1">IF(D32="总价",G19-C24,G20-C25)</f>
        <v>336444</v>
      </c>
      <c r="D32" s="1762" t="s">
        <v>3397</v>
      </c>
      <c r="E32" s="119"/>
      <c r="F32" s="119"/>
      <c r="G32" s="119"/>
      <c r="H32" s="119"/>
      <c r="I32" s="119"/>
    </row>
    <row r="33" spans="1:15" ht="15">
      <c r="A33" s="773" t="s">
        <v>1306</v>
      </c>
      <c r="B33" s="1763"/>
      <c r="C33" s="1764" t="s">
        <v>3835</v>
      </c>
      <c r="D33" s="1765" t="s">
        <v>3387</v>
      </c>
      <c r="E33" s="1766" t="s">
        <v>1307</v>
      </c>
      <c r="F33" s="1767" t="str">
        <f>IF(D32="楼面单价","取值（单价）","取值（总价）")</f>
        <v>取值（总价）</v>
      </c>
      <c r="G33" s="119"/>
      <c r="H33" s="119"/>
      <c r="I33" s="119"/>
    </row>
    <row r="34" spans="1:15" ht="15">
      <c r="A34" s="1768"/>
      <c r="B34" s="1769" t="s">
        <v>1308</v>
      </c>
      <c r="C34" s="138">
        <f ca="1">IF(C33="自定义",F34,C32-C35)</f>
        <v>220707</v>
      </c>
      <c r="D34" s="848">
        <f ca="1">IF(C33="自定义",ROUND(C34/C32,3),IF(C33="收益比率",SUMIF(INDIRECT("'"&amp;D33&amp;"'"&amp;"!b:b"),"土地收益比率",INDIRECT("'"&amp;D33&amp;"'"&amp;"!c:c")),SUMIF(INDIRECT("'"&amp;D33&amp;"'"&amp;"!b:b"),"土地成本比率",INDIRECT("'"&amp;D33&amp;"'"&amp;"!c:c"))))</f>
        <v>0.65600000000000003</v>
      </c>
      <c r="E34" s="1770" t="s">
        <v>1309</v>
      </c>
      <c r="F34" s="1317"/>
      <c r="G34" s="119"/>
      <c r="H34" s="119"/>
      <c r="I34" s="119"/>
    </row>
    <row r="35" spans="1:15" ht="15.75" thickBot="1">
      <c r="A35" s="1771"/>
      <c r="B35" s="1772" t="s">
        <v>1310</v>
      </c>
      <c r="C35" s="1157">
        <f ca="1">IF(C33="自定义",F35,ROUND(C32*D35,0))</f>
        <v>115737</v>
      </c>
      <c r="D35" s="1158">
        <f ca="1">IF(C33="自定义",ROUND(C35/C32,3),IF(C33="收益比率",SUMIF(INDIRECT("'"&amp;D33&amp;"'"&amp;"!b:b"),"建筑物收益比率",INDIRECT("'"&amp;D33&amp;"'"&amp;"!c:c")),SUMIF(INDIRECT("'"&amp;D33&amp;"'"&amp;"!b:b"),"建筑物成本比率",INDIRECT("'"&amp;D33&amp;"'"&amp;"!c:c"))))</f>
        <v>0.34399999999999997</v>
      </c>
      <c r="E35" s="1773" t="s">
        <v>1311</v>
      </c>
      <c r="F35" s="144"/>
      <c r="G35" s="119"/>
      <c r="H35" s="119"/>
      <c r="I35" s="119"/>
    </row>
    <row r="36" spans="1:15" ht="15.75" thickBot="1">
      <c r="A36" s="3634" t="s">
        <v>1312</v>
      </c>
      <c r="B36" s="1774" t="s">
        <v>1313</v>
      </c>
      <c r="C36" s="135"/>
      <c r="D36" s="1775"/>
      <c r="E36" s="1776"/>
      <c r="F36" s="1777"/>
      <c r="G36" s="119"/>
      <c r="H36" s="119"/>
      <c r="I36" s="119"/>
    </row>
    <row r="37" spans="1:15" ht="15.75" thickBot="1">
      <c r="A37" s="3635"/>
      <c r="B37" s="1661" t="s">
        <v>1314</v>
      </c>
      <c r="C37" s="137"/>
      <c r="D37" s="1126"/>
      <c r="E37" s="1126"/>
      <c r="F37" s="1777"/>
      <c r="G37" s="119"/>
      <c r="H37" s="119"/>
      <c r="I37" s="119"/>
    </row>
    <row r="38" spans="1:15" ht="15.75" thickBot="1">
      <c r="A38" s="3636"/>
      <c r="B38" s="1778" t="s">
        <v>1315</v>
      </c>
      <c r="C38" s="661"/>
      <c r="D38" s="1779" t="s">
        <v>1316</v>
      </c>
      <c r="E38" s="1126"/>
      <c r="F38" s="1777"/>
      <c r="G38" s="119"/>
      <c r="H38" s="119"/>
      <c r="I38" s="119"/>
    </row>
    <row r="39" spans="1:15" ht="15">
      <c r="A39" s="1751" t="s">
        <v>1317</v>
      </c>
      <c r="B39" s="1780" t="s">
        <v>1318</v>
      </c>
      <c r="C39" s="1781" t="s">
        <v>1319</v>
      </c>
      <c r="D39" s="1781" t="s">
        <v>1320</v>
      </c>
      <c r="E39" s="1782" t="s">
        <v>1321</v>
      </c>
      <c r="F39" s="1777"/>
      <c r="G39" s="119"/>
      <c r="H39" s="119"/>
      <c r="I39" s="119"/>
    </row>
    <row r="40" spans="1:15" ht="14.25">
      <c r="A40" s="1783" t="s">
        <v>1322</v>
      </c>
      <c r="B40" s="139"/>
      <c r="C40" s="140"/>
      <c r="D40" s="140"/>
      <c r="E40" s="141"/>
      <c r="F40" s="1777"/>
      <c r="G40" s="119"/>
      <c r="H40" s="119"/>
      <c r="I40" s="119"/>
    </row>
    <row r="41" spans="1:15" ht="14.25">
      <c r="A41" s="1783" t="s">
        <v>1323</v>
      </c>
      <c r="B41" s="139"/>
      <c r="C41" s="140"/>
      <c r="D41" s="140"/>
      <c r="E41" s="141"/>
      <c r="F41" s="1777"/>
      <c r="G41" s="119"/>
      <c r="H41" s="119"/>
      <c r="I41" s="119"/>
    </row>
    <row r="42" spans="1:15" ht="15" thickBot="1">
      <c r="A42" s="1784"/>
      <c r="B42" s="142"/>
      <c r="C42" s="143"/>
      <c r="D42" s="143"/>
      <c r="E42" s="144"/>
      <c r="F42" s="1777"/>
      <c r="G42" s="119"/>
      <c r="H42" s="119"/>
      <c r="I42" s="119"/>
    </row>
    <row r="43" spans="1:15" ht="12.75">
      <c r="A43" s="1564"/>
      <c r="B43" s="1564"/>
      <c r="C43" s="1564"/>
      <c r="D43" s="1564"/>
      <c r="E43" s="1564"/>
      <c r="F43" s="1785"/>
      <c r="G43" s="1785"/>
      <c r="H43" s="1785"/>
      <c r="I43" s="1786"/>
    </row>
    <row r="44" spans="1:15" ht="18.75">
      <c r="A44" s="1787" t="s">
        <v>1324</v>
      </c>
      <c r="B44" s="1788"/>
      <c r="C44" s="1788"/>
      <c r="D44" s="1789"/>
      <c r="E44" s="1789"/>
      <c r="F44" s="1790"/>
      <c r="G44" s="1790"/>
      <c r="H44" s="1790"/>
      <c r="I44" s="1790"/>
      <c r="J44" s="1791" t="s">
        <v>1325</v>
      </c>
      <c r="K44" s="1792"/>
      <c r="L44" s="1792"/>
      <c r="M44" s="1792"/>
      <c r="N44" s="1792"/>
      <c r="O44" s="1792"/>
    </row>
    <row r="45" spans="1:15" ht="14.25" customHeight="1" thickBot="1">
      <c r="A45" s="3611" t="s">
        <v>1326</v>
      </c>
      <c r="B45" s="3612"/>
      <c r="C45" s="3613"/>
      <c r="D45" s="145">
        <f ca="1">ROUND(H101*F45,0)</f>
        <v>336444</v>
      </c>
      <c r="E45" s="146" t="s">
        <v>1327</v>
      </c>
      <c r="F45" s="147">
        <v>1</v>
      </c>
      <c r="G45" s="148" t="s">
        <v>1328</v>
      </c>
      <c r="H45" s="119"/>
      <c r="I45" s="119"/>
      <c r="J45" s="3689" t="s">
        <v>1329</v>
      </c>
      <c r="K45" s="3689"/>
      <c r="L45" s="3689"/>
      <c r="M45" s="3689"/>
      <c r="N45" s="3689"/>
      <c r="O45" s="3689"/>
    </row>
    <row r="46" spans="1:15" ht="14.25" customHeight="1">
      <c r="A46" s="3608" t="s">
        <v>1330</v>
      </c>
      <c r="B46" s="3609"/>
      <c r="C46" s="3609"/>
      <c r="D46" s="3609"/>
      <c r="E46" s="3609"/>
      <c r="F46" s="3609"/>
      <c r="G46" s="3610"/>
      <c r="H46" s="1793"/>
      <c r="I46" s="149"/>
      <c r="J46" s="2510">
        <v>1</v>
      </c>
      <c r="K46" s="3670" t="s">
        <v>1331</v>
      </c>
      <c r="L46" s="3670"/>
      <c r="M46" s="3690"/>
      <c r="N46" s="3690"/>
      <c r="O46" s="3690"/>
    </row>
    <row r="47" spans="1:15" ht="12" customHeight="1">
      <c r="A47" s="150" t="s">
        <v>1332</v>
      </c>
      <c r="B47" s="151"/>
      <c r="C47" s="152"/>
      <c r="D47" s="1074" t="s">
        <v>1333</v>
      </c>
      <c r="E47" s="292" t="s">
        <v>1334</v>
      </c>
      <c r="F47" s="153" t="s">
        <v>1335</v>
      </c>
      <c r="G47" s="2533" t="s">
        <v>1336</v>
      </c>
      <c r="H47" s="2534"/>
      <c r="I47" s="149"/>
      <c r="J47" s="2510">
        <v>2</v>
      </c>
      <c r="K47" s="3670" t="s">
        <v>1337</v>
      </c>
      <c r="L47" s="3670"/>
      <c r="M47" s="3691">
        <f>'数据-取费表'!B2</f>
        <v>45373</v>
      </c>
      <c r="N47" s="3691"/>
      <c r="O47" s="3691"/>
    </row>
    <row r="48" spans="1:15" ht="25.5">
      <c r="A48" s="3639" t="s">
        <v>1338</v>
      </c>
      <c r="B48" s="3622"/>
      <c r="C48" s="3622"/>
      <c r="D48" s="2311">
        <f ca="1">IF(H48="情况1",0,IF(H48="情况2",D52,IF(H48="情况3",D53,IF(H48="情况4",D54))))</f>
        <v>17944</v>
      </c>
      <c r="E48" s="2321" t="str">
        <f>IF(H48="情况4","(销售额-原购置价)×税（费）率","销售额×税（费）率")</f>
        <v>销售额×税（费）率</v>
      </c>
      <c r="F48" s="2535">
        <f>IF(H48="情况1","免征",'数据-取费表'!B41)</f>
        <v>5.6000000000000001E-2</v>
      </c>
      <c r="G48" s="2536" t="s">
        <v>1339</v>
      </c>
      <c r="H48" s="2537" t="s">
        <v>3407</v>
      </c>
      <c r="I48" s="1793"/>
      <c r="J48" s="2510">
        <v>3</v>
      </c>
      <c r="K48" s="3670" t="s">
        <v>1340</v>
      </c>
      <c r="L48" s="3670"/>
      <c r="M48" s="3692">
        <f ca="1">H101</f>
        <v>336444</v>
      </c>
      <c r="N48" s="3692"/>
      <c r="O48" s="3692"/>
    </row>
    <row r="49" spans="1:35" ht="25.5" customHeight="1">
      <c r="A49" s="2320" t="s">
        <v>1341</v>
      </c>
      <c r="B49" s="3606" t="s">
        <v>1342</v>
      </c>
      <c r="C49" s="3606"/>
      <c r="D49" s="1577">
        <v>0</v>
      </c>
      <c r="E49" s="314" t="s">
        <v>1343</v>
      </c>
      <c r="F49" s="2411" t="s">
        <v>28</v>
      </c>
      <c r="G49" s="3676"/>
      <c r="H49" s="2297" t="s">
        <v>2133</v>
      </c>
      <c r="I49" s="2298"/>
      <c r="J49" s="2510">
        <v>4</v>
      </c>
      <c r="K49" s="3670" t="str">
        <f>IF(项目基本情况!E8="房地产抵押价值","房地产抵押价值","抵押担保权已注销时的房地产抵押价值")</f>
        <v>房地产抵押价值</v>
      </c>
      <c r="L49" s="3670"/>
      <c r="M49" s="3692">
        <f ca="1">IF(项目基本情况!E8="房地产抵押价值",H107,H109)</f>
        <v>336444</v>
      </c>
      <c r="N49" s="3692"/>
      <c r="O49" s="3692"/>
    </row>
    <row r="50" spans="1:35" ht="25.5" customHeight="1">
      <c r="A50" s="2538"/>
      <c r="B50" s="3606" t="s">
        <v>1344</v>
      </c>
      <c r="C50" s="3606"/>
      <c r="D50" s="2539"/>
      <c r="E50" s="322"/>
      <c r="F50" s="2411"/>
      <c r="G50" s="3677"/>
      <c r="H50" s="2299" t="s">
        <v>2134</v>
      </c>
      <c r="I50" s="2298"/>
      <c r="J50" s="3689" t="s">
        <v>1345</v>
      </c>
      <c r="K50" s="3689"/>
      <c r="L50" s="3689"/>
      <c r="M50" s="3689"/>
      <c r="N50" s="3689"/>
      <c r="O50" s="3689"/>
    </row>
    <row r="51" spans="1:35" ht="20.45" customHeight="1">
      <c r="A51" s="2540"/>
      <c r="B51" s="3606" t="s">
        <v>1346</v>
      </c>
      <c r="C51" s="3606"/>
      <c r="D51" s="1074"/>
      <c r="E51" s="317"/>
      <c r="F51" s="2411"/>
      <c r="G51" s="3678"/>
      <c r="H51" s="2299" t="s">
        <v>2135</v>
      </c>
      <c r="I51" s="2298"/>
      <c r="J51" s="2511" t="s">
        <v>1347</v>
      </c>
      <c r="K51" s="3670" t="s">
        <v>1348</v>
      </c>
      <c r="L51" s="3670"/>
      <c r="M51" s="2511" t="s">
        <v>1349</v>
      </c>
      <c r="N51" s="2511" t="s">
        <v>1350</v>
      </c>
      <c r="O51" s="2511" t="s">
        <v>1351</v>
      </c>
    </row>
    <row r="52" spans="1:35" ht="24" customHeight="1">
      <c r="A52" s="2322" t="s">
        <v>1352</v>
      </c>
      <c r="B52" s="3606" t="s">
        <v>1353</v>
      </c>
      <c r="C52" s="3606"/>
      <c r="D52" s="1074">
        <f ca="1">ROUND(D45*'数据-取费表'!B41/(1+'数据-取费表'!C42),0)</f>
        <v>17944</v>
      </c>
      <c r="E52" s="2321" t="s">
        <v>1354</v>
      </c>
      <c r="F52" s="2541">
        <f>'数据-取费表'!B41</f>
        <v>5.6000000000000001E-2</v>
      </c>
      <c r="G52" s="2542"/>
      <c r="H52" s="2531"/>
      <c r="I52" s="1794"/>
      <c r="J52" s="2510">
        <v>1</v>
      </c>
      <c r="K52" s="3671" t="s">
        <v>1355</v>
      </c>
      <c r="L52" s="3671"/>
      <c r="M52" s="2512">
        <f ca="1">D48</f>
        <v>17944</v>
      </c>
      <c r="N52" s="2510" t="str">
        <f>E48</f>
        <v>销售额×税（费）率</v>
      </c>
      <c r="O52" s="2513">
        <f>F48</f>
        <v>5.6000000000000001E-2</v>
      </c>
    </row>
    <row r="53" spans="1:35" ht="12" customHeight="1">
      <c r="A53" s="2322" t="s">
        <v>1356</v>
      </c>
      <c r="B53" s="3632" t="s">
        <v>2286</v>
      </c>
      <c r="C53" s="3633"/>
      <c r="D53" s="1074">
        <f ca="1">ROUND(D45*'数据-取费表'!B41/(1+'数据-取费表'!C42),0)</f>
        <v>17944</v>
      </c>
      <c r="E53" s="2321" t="s">
        <v>1354</v>
      </c>
      <c r="F53" s="2541">
        <f>'数据-取费表'!B41</f>
        <v>5.6000000000000001E-2</v>
      </c>
      <c r="G53" s="2542"/>
      <c r="H53" s="2531"/>
      <c r="I53" s="1794"/>
      <c r="J53" s="2510">
        <v>2</v>
      </c>
      <c r="K53" s="3671" t="s">
        <v>1357</v>
      </c>
      <c r="L53" s="3671"/>
      <c r="M53" s="2512">
        <f t="shared" ref="M53:O54" ca="1" si="0">D55</f>
        <v>168</v>
      </c>
      <c r="N53" s="2510" t="str">
        <f t="shared" si="0"/>
        <v>销售额×税（费）率</v>
      </c>
      <c r="O53" s="2513">
        <f t="shared" si="0"/>
        <v>5.0000000000000001E-4</v>
      </c>
    </row>
    <row r="54" spans="1:35" ht="12" customHeight="1">
      <c r="A54" s="2322" t="s">
        <v>1358</v>
      </c>
      <c r="B54" s="3632" t="s">
        <v>2287</v>
      </c>
      <c r="C54" s="3633"/>
      <c r="D54" s="1074">
        <f ca="1">C68</f>
        <v>17944</v>
      </c>
      <c r="E54" s="317" t="s">
        <v>1359</v>
      </c>
      <c r="F54" s="2541">
        <f>'数据-取费表'!B41</f>
        <v>5.6000000000000001E-2</v>
      </c>
      <c r="G54" s="2542"/>
      <c r="H54" s="2543"/>
      <c r="I54" s="1794"/>
      <c r="J54" s="2510">
        <v>3</v>
      </c>
      <c r="K54" s="3671" t="s">
        <v>1360</v>
      </c>
      <c r="L54" s="3671"/>
      <c r="M54" s="2512">
        <f t="shared" ca="1" si="0"/>
        <v>35125</v>
      </c>
      <c r="N54" s="2510" t="str">
        <f t="shared" si="0"/>
        <v>增值额×税（费）率</v>
      </c>
      <c r="O54" s="2514" t="str">
        <f t="shared" si="0"/>
        <v>——</v>
      </c>
    </row>
    <row r="55" spans="1:35" ht="24" customHeight="1">
      <c r="A55" s="3621" t="s">
        <v>1361</v>
      </c>
      <c r="B55" s="3622"/>
      <c r="C55" s="3622"/>
      <c r="D55" s="2311">
        <f ca="1">IF(H55="个人住宅",0,ROUND(D45*I55,0))</f>
        <v>168</v>
      </c>
      <c r="E55" s="2321" t="s">
        <v>1362</v>
      </c>
      <c r="F55" s="2541">
        <f>IF(H55="正常",I55,"免征")</f>
        <v>5.0000000000000001E-4</v>
      </c>
      <c r="G55" s="2542"/>
      <c r="H55" s="2537" t="s">
        <v>3408</v>
      </c>
      <c r="I55" s="155">
        <f>'数据-取费表'!B49</f>
        <v>5.0000000000000001E-4</v>
      </c>
      <c r="J55" s="2510" t="str">
        <f>IF(H59="非个人房产","",4)</f>
        <v/>
      </c>
      <c r="K55" s="3671" t="str">
        <f>IF(H59="非个人房产","——","个人所得税")</f>
        <v>——</v>
      </c>
      <c r="L55" s="3671"/>
      <c r="M55" s="2515" t="str">
        <f>D59</f>
        <v>——</v>
      </c>
      <c r="N55" s="2027" t="str">
        <f>E59</f>
        <v>——</v>
      </c>
      <c r="O55" s="2516" t="str">
        <f>F59</f>
        <v>——</v>
      </c>
    </row>
    <row r="56" spans="1:35" ht="24.75">
      <c r="A56" s="3621" t="s">
        <v>1363</v>
      </c>
      <c r="B56" s="3622"/>
      <c r="C56" s="3622"/>
      <c r="D56" s="2311">
        <f ca="1">IF(H56="个人住宅",D57,D58)</f>
        <v>35125</v>
      </c>
      <c r="E56" s="2321" t="s">
        <v>1364</v>
      </c>
      <c r="F56" s="2541" t="str">
        <f>IF(H56="正常",F58,"免征")</f>
        <v>——</v>
      </c>
      <c r="G56" s="2544" t="s">
        <v>1365</v>
      </c>
      <c r="H56" s="2545" t="s">
        <v>3408</v>
      </c>
      <c r="I56" s="1795"/>
      <c r="J56" s="2510" t="str">
        <f>IF(项目基本情况!K6="上海银行",IF(J55="",4,J55+1),"")</f>
        <v/>
      </c>
      <c r="K56" s="3694" t="str">
        <f>IF(项目基本情况!K6="上海银行","其他处置费用","")</f>
        <v/>
      </c>
      <c r="L56" s="3695"/>
      <c r="M56" s="2512" t="str">
        <f>IF(项目基本情况!K6="上海银行",M69,"")</f>
        <v/>
      </c>
      <c r="N56" s="3694" t="str">
        <f>IF(项目基本情况!K6="上海银行","包含处置中涉及的律师、诉讼、拍卖、评估等费用","")</f>
        <v/>
      </c>
      <c r="O56" s="3697"/>
    </row>
    <row r="57" spans="1:35" ht="12.75">
      <c r="A57" s="2322" t="s">
        <v>1341</v>
      </c>
      <c r="B57" s="3632" t="s">
        <v>1366</v>
      </c>
      <c r="C57" s="3633"/>
      <c r="D57" s="1577">
        <v>0</v>
      </c>
      <c r="E57" s="314" t="s">
        <v>1343</v>
      </c>
      <c r="F57" s="292"/>
      <c r="G57" s="2542"/>
      <c r="H57" s="2546"/>
      <c r="I57" s="1795"/>
      <c r="J57" s="3671">
        <f>IF(AND(J55="",J56=""),4,IF(项目基本情况!K6="上海银行",结果表!J56+1,结果表!J55+1))</f>
        <v>4</v>
      </c>
      <c r="K57" s="3671" t="s">
        <v>1367</v>
      </c>
      <c r="L57" s="2517" t="s">
        <v>1368</v>
      </c>
      <c r="M57" s="2518"/>
      <c r="N57" s="2519">
        <f ca="1">SUMIF(M52:M56,"&lt;9e307")</f>
        <v>53237</v>
      </c>
      <c r="O57" s="2520"/>
      <c r="P57" s="2675">
        <f ca="1">N57/M49</f>
        <v>0.15823435698065652</v>
      </c>
    </row>
    <row r="58" spans="1:35" ht="24.75">
      <c r="A58" s="2322" t="s">
        <v>1352</v>
      </c>
      <c r="B58" s="3632" t="s">
        <v>1369</v>
      </c>
      <c r="C58" s="3606"/>
      <c r="D58" s="2311">
        <f ca="1">IF(H58="转让取得",C81,C97)</f>
        <v>35125</v>
      </c>
      <c r="E58" s="2321" t="s">
        <v>1364</v>
      </c>
      <c r="F58" s="292" t="s">
        <v>28</v>
      </c>
      <c r="G58" s="2542"/>
      <c r="H58" s="2545" t="s">
        <v>3409</v>
      </c>
      <c r="I58" s="1795"/>
      <c r="J58" s="3671"/>
      <c r="K58" s="3671"/>
      <c r="L58" s="2517" t="s">
        <v>1370</v>
      </c>
      <c r="M58" s="2521"/>
      <c r="N58" s="2522" t="str">
        <f ca="1">NUMBERSTRING(INT(N57*10000),2)&amp;"元整"</f>
        <v>伍亿叁仟贰佰叁拾柒万元整</v>
      </c>
      <c r="O58" s="2523"/>
    </row>
    <row r="59" spans="1:35" ht="24.75" thickBot="1">
      <c r="A59" s="3674" t="s">
        <v>1371</v>
      </c>
      <c r="B59" s="3675"/>
      <c r="C59" s="3675"/>
      <c r="D59" s="2547" t="str">
        <f>IF(H59="非个人房产","——",IF(H59="个人住宅（满五唯一有凭证）",0,IF(H59="个人其他（无凭证）",ROUND(D45*F59,0),ROUND(C67*F59,0))))</f>
        <v>——</v>
      </c>
      <c r="E59" s="2548" t="str">
        <f>IF(H59="非个人房产","——",IF(H59="个人其他（无凭证）","销售额×税（费）率",IF(H59="个人住宅（满五唯一有凭证）","免征","差额计税")))</f>
        <v>——</v>
      </c>
      <c r="F59" s="2549" t="str">
        <f>IF(OR(H59="非个人房产",H59="个人住宅（满五唯一有凭证）"),"——",IF(H59="个人其他（有凭证）",20%,1%))</f>
        <v>——</v>
      </c>
      <c r="G59" s="2550" t="s">
        <v>1365</v>
      </c>
      <c r="H59" s="2301" t="s">
        <v>3410</v>
      </c>
      <c r="I59" s="2300" t="s">
        <v>2136</v>
      </c>
      <c r="J59" s="3672">
        <f>J57+1</f>
        <v>5</v>
      </c>
      <c r="K59" s="3671" t="s">
        <v>1372</v>
      </c>
      <c r="L59" s="2510" t="s">
        <v>1368</v>
      </c>
      <c r="M59" s="2524"/>
      <c r="N59" s="2525">
        <f ca="1">M49-N57</f>
        <v>283207</v>
      </c>
      <c r="O59" s="2526"/>
    </row>
    <row r="60" spans="1:35" ht="12" customHeight="1">
      <c r="A60" s="1796"/>
      <c r="B60" s="1734"/>
      <c r="C60" s="1734"/>
      <c r="D60" s="1734"/>
      <c r="E60" s="1565"/>
      <c r="F60" s="1795"/>
      <c r="G60" s="1795"/>
      <c r="H60" s="1797"/>
      <c r="I60" s="119"/>
      <c r="J60" s="3673"/>
      <c r="K60" s="3671"/>
      <c r="L60" s="2517" t="s">
        <v>1370</v>
      </c>
      <c r="M60" s="2521"/>
      <c r="N60" s="2522" t="str">
        <f ca="1">NUMBERSTRING(INT(N59*10000),2)&amp;"元整"</f>
        <v>贰拾捌亿叁仟贰佰零柒万元整</v>
      </c>
      <c r="O60" s="2523"/>
    </row>
    <row r="61" spans="1:35" ht="13.5" thickBot="1">
      <c r="A61" s="3619" t="s">
        <v>1373</v>
      </c>
      <c r="B61" s="3619"/>
      <c r="C61" s="3619"/>
      <c r="D61" s="3619"/>
      <c r="E61" s="3619"/>
      <c r="F61" s="1795"/>
      <c r="G61" s="1795"/>
      <c r="H61" s="1797"/>
      <c r="I61" s="119"/>
      <c r="J61" s="2510">
        <f>J59+1</f>
        <v>6</v>
      </c>
      <c r="K61" s="3671" t="s">
        <v>1374</v>
      </c>
      <c r="L61" s="3671"/>
      <c r="M61" s="2527"/>
      <c r="N61" s="2528">
        <f ca="1">ROUND(N59*10000/'数据-汇总表'!E3,0)</f>
        <v>28807</v>
      </c>
      <c r="O61" s="2529"/>
    </row>
    <row r="62" spans="1:35" ht="12.75">
      <c r="A62" s="3637" t="s">
        <v>1375</v>
      </c>
      <c r="B62" s="3638"/>
      <c r="C62" s="2008"/>
      <c r="D62" s="2008" t="s">
        <v>1376</v>
      </c>
      <c r="E62" s="156" t="s">
        <v>1377</v>
      </c>
      <c r="F62" s="1795"/>
      <c r="G62" s="1795"/>
      <c r="H62" s="1797"/>
      <c r="I62" s="119"/>
    </row>
    <row r="63" spans="1:35" ht="12.75">
      <c r="A63" s="163" t="s">
        <v>330</v>
      </c>
      <c r="B63" s="157" t="s">
        <v>1378</v>
      </c>
      <c r="C63" s="2551">
        <f ca="1">ROUND((C64+C65)/(1+'数据-取费表'!C42),0)</f>
        <v>320423</v>
      </c>
      <c r="D63" s="157"/>
      <c r="E63" s="158"/>
      <c r="F63" s="1795"/>
      <c r="G63" s="1795"/>
      <c r="H63" s="1797"/>
      <c r="I63" s="119"/>
      <c r="J63" s="3696" t="s">
        <v>1379</v>
      </c>
      <c r="K63" s="1319" t="s">
        <v>1380</v>
      </c>
      <c r="L63" s="1319">
        <f ca="1">IF(M49&gt;10000,M49*0.5%,IF(AND(M49&gt;1000,M49&lt;=10000),M49*1%,IF(AND(M49&gt;100,M49&lt;=1000),M49*3%,IF(AND(M49&gt;10,M49&lt;=100),M49*5%,M49*8%))))</f>
        <v>1682.22</v>
      </c>
      <c r="M63" s="292">
        <f ca="1">ROUND(L63,1)</f>
        <v>1682.2</v>
      </c>
      <c r="N63" s="2530"/>
      <c r="Z63" s="1739"/>
      <c r="AI63" s="1740"/>
    </row>
    <row r="64" spans="1:35" ht="14.25" customHeight="1">
      <c r="A64" s="159" t="s">
        <v>325</v>
      </c>
      <c r="B64" s="160" t="s">
        <v>1381</v>
      </c>
      <c r="C64" s="2552">
        <f ca="1">D45</f>
        <v>336444</v>
      </c>
      <c r="D64" s="160" t="s">
        <v>26</v>
      </c>
      <c r="E64" s="162"/>
      <c r="F64" s="1795"/>
      <c r="G64" s="1795"/>
      <c r="H64" s="1797"/>
      <c r="I64" s="119"/>
      <c r="J64" s="3696"/>
      <c r="K64" s="1319" t="s">
        <v>1382</v>
      </c>
      <c r="L64" s="1319">
        <f ca="1">IF(M49&gt;2000,M49*0.5%,IF(AND(M49&gt;1000,M49&lt;=2000),M49*0.6%,IF(AND(M49&gt;500,M49&lt;=1000),M49*0.7%,IF(AND(M49&gt;200,M49&lt;=500),M49*0.8%,IF(AND(M49&gt;100,M49&lt;=200),M49*0.9%,IF(AND(M49&gt;50,M49&lt;=100),M49*1%,IF(AND(M49&gt;20,M49&lt;=50),M49*1.5%,IF(AND(M49&gt;10,M49&lt;=20),M49*2%,IF(AND(M49&gt;1,M49&lt;=10),M49*2.5%)))))))))</f>
        <v>1682.22</v>
      </c>
      <c r="M64" s="292">
        <f t="shared" ref="M64:M65" ca="1" si="1">ROUND(L64,1)</f>
        <v>1682.2</v>
      </c>
      <c r="N64" s="2531" t="s">
        <v>1383</v>
      </c>
      <c r="Z64" s="1739"/>
      <c r="AI64" s="1740"/>
    </row>
    <row r="65" spans="1:35" ht="14.25" customHeight="1">
      <c r="A65" s="159" t="s">
        <v>326</v>
      </c>
      <c r="B65" s="160" t="s">
        <v>1384</v>
      </c>
      <c r="C65" s="2553"/>
      <c r="D65" s="160"/>
      <c r="E65" s="162"/>
      <c r="F65" s="1795"/>
      <c r="G65" s="1795"/>
      <c r="H65" s="1797"/>
      <c r="I65" s="119"/>
      <c r="J65" s="3696"/>
      <c r="K65" s="1319" t="s">
        <v>1385</v>
      </c>
      <c r="L65" s="1319">
        <f ca="1">IF(M49&gt;1000,M49*0.1%,IF(AND(M49&gt;500,M49&lt;=1000),M49*0.5%,IF(AND(M49&gt;50,M49&lt;=500),M49*1%,IF(AND(M49&gt;1,M49&lt;=50),M49*1.5%))))</f>
        <v>336.44400000000002</v>
      </c>
      <c r="M65" s="292">
        <f t="shared" ca="1" si="1"/>
        <v>336.4</v>
      </c>
      <c r="N65" s="2531" t="s">
        <v>1383</v>
      </c>
      <c r="Z65" s="1739"/>
      <c r="AI65" s="1740"/>
    </row>
    <row r="66" spans="1:35" ht="14.25" customHeight="1">
      <c r="A66" s="163" t="s">
        <v>327</v>
      </c>
      <c r="B66" s="164" t="s">
        <v>1386</v>
      </c>
      <c r="C66" s="2554"/>
      <c r="D66" s="164" t="s">
        <v>26</v>
      </c>
      <c r="E66" s="1325" t="s">
        <v>671</v>
      </c>
      <c r="F66" s="1795"/>
      <c r="G66" s="1795"/>
      <c r="H66" s="1797"/>
      <c r="I66" s="119"/>
      <c r="J66" s="3696"/>
      <c r="K66" s="1319" t="s">
        <v>1387</v>
      </c>
      <c r="L66" s="1319">
        <f ca="1">M49*0.5%</f>
        <v>1682.22</v>
      </c>
      <c r="M66" s="292">
        <f ca="1">IF(L66&gt;0.5,0.5,ROUND(L66,0))</f>
        <v>0.5</v>
      </c>
      <c r="N66" s="2531" t="s">
        <v>1388</v>
      </c>
      <c r="Z66" s="1739"/>
      <c r="AI66" s="1740"/>
    </row>
    <row r="67" spans="1:35" ht="14.25" customHeight="1">
      <c r="A67" s="163" t="s">
        <v>328</v>
      </c>
      <c r="B67" s="164" t="s">
        <v>1389</v>
      </c>
      <c r="C67" s="2555">
        <f ca="1">C63-C66</f>
        <v>320423</v>
      </c>
      <c r="D67" s="160" t="s">
        <v>26</v>
      </c>
      <c r="E67" s="162"/>
      <c r="F67" s="1795"/>
      <c r="G67" s="1795"/>
      <c r="H67" s="1797"/>
      <c r="I67" s="119"/>
      <c r="J67" s="3696"/>
      <c r="K67" s="1319" t="s">
        <v>1390</v>
      </c>
      <c r="L67" s="1319">
        <f ca="1">IF(M49&gt;=10000,(8.25+(M49-10000)*0.01%),IF(AND(M49&gt;=8000,M49&lt;10000),(7.85+(M49-8000)*0.02%),IF(AND(M49&gt;=5000,M49&lt;8000),(6.65+(M49-5000)*0.04%),IF(AND(M49&gt;=2000,M49&lt;5000),(4.25+(PM49-2000)*0.08%),IF(AND(M49&gt;=1000,M49&lt;2000),(2.75+(M49-1000)*0.15%),IF(AND(M49&gt;=100,M49&lt;1000),(0.5+(M49-100)*0.25%),IF(AND(M49&gt;0,M49&lt;100),M49*0.5%)))))))</f>
        <v>40.894400000000005</v>
      </c>
      <c r="M67" s="292">
        <f ca="1">ROUND(L67*0.9,1)</f>
        <v>36.799999999999997</v>
      </c>
      <c r="N67" s="2530"/>
      <c r="Z67" s="1739"/>
      <c r="AI67" s="1740"/>
    </row>
    <row r="68" spans="1:35" ht="14.25" customHeight="1" thickBot="1">
      <c r="A68" s="166" t="s">
        <v>329</v>
      </c>
      <c r="B68" s="167" t="s">
        <v>1391</v>
      </c>
      <c r="C68" s="2556">
        <f ca="1">IF(C67&lt;=0,0,ROUND(C67*D68,0))</f>
        <v>17944</v>
      </c>
      <c r="D68" s="2557">
        <f>'数据-取费表'!B41</f>
        <v>5.6000000000000001E-2</v>
      </c>
      <c r="E68" s="168"/>
      <c r="F68" s="1795"/>
      <c r="G68" s="1795"/>
      <c r="H68" s="1797"/>
      <c r="I68" s="119"/>
      <c r="J68" s="3696"/>
      <c r="K68" s="1319" t="s">
        <v>1392</v>
      </c>
      <c r="L68" s="1319">
        <f ca="1">IF(M49&gt;10000,M49*0.5%,IF(AND(M49&gt;5000,M49&lt;=10000),M49*1%,IF(AND(M49&gt;1000,M49&lt;=5000),M49*2%,IF(AND(M49&gt;200,M49&lt;=1000),M49*3%,M49*5%))))</f>
        <v>1682.22</v>
      </c>
      <c r="M68" s="292">
        <f ca="1">ROUND(L68,1)</f>
        <v>1682.2</v>
      </c>
      <c r="N68" s="2530"/>
      <c r="Z68" s="1739"/>
      <c r="AI68" s="1740"/>
    </row>
    <row r="69" spans="1:35" s="1759" customFormat="1" ht="16.5" customHeight="1">
      <c r="A69" s="1798"/>
      <c r="B69" s="1799"/>
      <c r="C69" s="1800"/>
      <c r="D69" s="1801"/>
      <c r="E69" s="1802"/>
      <c r="F69" s="1565"/>
      <c r="G69" s="1565"/>
      <c r="H69" s="1564"/>
      <c r="I69" s="1734"/>
      <c r="J69" s="3696"/>
      <c r="K69" s="1319" t="s">
        <v>1393</v>
      </c>
      <c r="L69" s="1319"/>
      <c r="M69" s="292">
        <f ca="1">ROUND(SUM(M63:M68),0)</f>
        <v>5420</v>
      </c>
      <c r="N69" s="2532">
        <f ca="1">M69/M49</f>
        <v>1.6109664609860779E-2</v>
      </c>
      <c r="O69" s="712"/>
      <c r="P69" s="712"/>
      <c r="Q69" s="712"/>
      <c r="R69" s="712"/>
      <c r="S69" s="712"/>
      <c r="T69" s="712"/>
      <c r="U69" s="712"/>
      <c r="V69" s="712"/>
      <c r="W69" s="712"/>
      <c r="X69" s="712"/>
      <c r="Y69" s="712"/>
      <c r="Z69" s="1739"/>
      <c r="AA69" s="1739"/>
      <c r="AB69" s="1739"/>
      <c r="AC69" s="1739"/>
      <c r="AD69" s="1739"/>
      <c r="AE69" s="1739"/>
      <c r="AF69" s="1739"/>
      <c r="AG69" s="1739"/>
      <c r="AH69" s="1739"/>
    </row>
    <row r="70" spans="1:35" s="1804" customFormat="1" ht="15" thickBot="1">
      <c r="A70" s="3658" t="s">
        <v>1394</v>
      </c>
      <c r="B70" s="3659"/>
      <c r="C70" s="3659"/>
      <c r="D70" s="3659"/>
      <c r="E70" s="3659"/>
      <c r="F70" s="3659"/>
      <c r="G70" s="3659"/>
      <c r="H70" s="3659"/>
      <c r="I70" s="1803"/>
      <c r="J70" s="2676"/>
      <c r="K70" s="2676"/>
      <c r="L70" s="2676"/>
      <c r="M70" s="2676"/>
      <c r="N70" s="1805"/>
      <c r="O70" s="1805"/>
      <c r="P70" s="1805"/>
      <c r="Q70" s="1805"/>
      <c r="R70" s="1805"/>
      <c r="S70" s="1805"/>
      <c r="T70" s="1805"/>
      <c r="U70" s="1805"/>
      <c r="V70" s="1805"/>
      <c r="W70" s="1805"/>
      <c r="X70" s="1805"/>
      <c r="Y70" s="1805"/>
      <c r="Z70" s="1805"/>
      <c r="AA70" s="1806"/>
      <c r="AB70" s="1806"/>
      <c r="AC70" s="1806"/>
      <c r="AD70" s="1806"/>
      <c r="AE70" s="1806"/>
      <c r="AF70" s="1806"/>
      <c r="AG70" s="1806"/>
      <c r="AH70" s="1806"/>
      <c r="AI70" s="1806"/>
    </row>
    <row r="71" spans="1:35" s="1804" customFormat="1" ht="14.25">
      <c r="A71" s="3637" t="s">
        <v>1375</v>
      </c>
      <c r="B71" s="3638"/>
      <c r="C71" s="2008"/>
      <c r="D71" s="2008" t="s">
        <v>1376</v>
      </c>
      <c r="E71" s="169" t="s">
        <v>1377</v>
      </c>
      <c r="F71" s="170"/>
      <c r="G71" s="170"/>
      <c r="H71" s="171"/>
      <c r="I71" s="1807"/>
      <c r="J71" s="2676"/>
      <c r="K71" s="2676"/>
      <c r="L71" s="2676"/>
      <c r="M71" s="2676"/>
      <c r="N71" s="1805"/>
      <c r="O71" s="1805"/>
      <c r="P71" s="1805"/>
      <c r="Q71" s="1805"/>
      <c r="R71" s="1805"/>
      <c r="S71" s="1805"/>
      <c r="T71" s="1805"/>
      <c r="U71" s="1805"/>
      <c r="V71" s="1805"/>
      <c r="W71" s="1805"/>
      <c r="X71" s="1805"/>
      <c r="Y71" s="1805"/>
      <c r="Z71" s="1805"/>
      <c r="AA71" s="1806"/>
      <c r="AB71" s="1806"/>
      <c r="AC71" s="1806"/>
      <c r="AD71" s="1806"/>
      <c r="AE71" s="1806"/>
      <c r="AF71" s="1806"/>
      <c r="AG71" s="1806"/>
      <c r="AH71" s="1806"/>
      <c r="AI71" s="1806"/>
    </row>
    <row r="72" spans="1:35" s="1804" customFormat="1" ht="14.25">
      <c r="A72" s="163" t="s">
        <v>330</v>
      </c>
      <c r="B72" s="164" t="s">
        <v>1395</v>
      </c>
      <c r="C72" s="2555">
        <f ca="1">ROUND(D45/(1+'数据-取费表'!C42),0)</f>
        <v>320423</v>
      </c>
      <c r="D72" s="160" t="s">
        <v>26</v>
      </c>
      <c r="E72" s="2318"/>
      <c r="F72" s="2317"/>
      <c r="G72" s="2317"/>
      <c r="H72" s="172"/>
      <c r="I72" s="1807"/>
      <c r="J72" s="2676"/>
      <c r="K72" s="2676"/>
      <c r="L72" s="2676"/>
      <c r="M72" s="2676"/>
      <c r="N72" s="1805"/>
      <c r="O72" s="1805"/>
      <c r="P72" s="1805"/>
      <c r="Q72" s="1805"/>
      <c r="R72" s="1805"/>
      <c r="S72" s="1805"/>
      <c r="T72" s="1805"/>
      <c r="U72" s="1805"/>
      <c r="V72" s="1805"/>
      <c r="W72" s="1805"/>
      <c r="X72" s="1805"/>
      <c r="Y72" s="1805"/>
      <c r="Z72" s="1805"/>
      <c r="AA72" s="1806"/>
      <c r="AB72" s="1806"/>
      <c r="AC72" s="1806"/>
      <c r="AD72" s="1806"/>
      <c r="AE72" s="1806"/>
      <c r="AF72" s="1806"/>
      <c r="AG72" s="1806"/>
      <c r="AH72" s="1806"/>
      <c r="AI72" s="1806"/>
    </row>
    <row r="73" spans="1:35" s="1804" customFormat="1" ht="14.25">
      <c r="A73" s="163" t="s">
        <v>327</v>
      </c>
      <c r="B73" s="153" t="s">
        <v>1396</v>
      </c>
      <c r="C73" s="2555">
        <f ca="1">C74+C78</f>
        <v>1923</v>
      </c>
      <c r="D73" s="160" t="s">
        <v>26</v>
      </c>
      <c r="E73" s="2318"/>
      <c r="F73" s="2317"/>
      <c r="G73" s="2317"/>
      <c r="H73" s="172"/>
      <c r="I73" s="1807"/>
      <c r="J73" s="1805"/>
      <c r="K73" s="1805"/>
      <c r="L73" s="1805"/>
      <c r="M73" s="1805"/>
      <c r="N73" s="1805"/>
      <c r="O73" s="1805"/>
      <c r="P73" s="1805"/>
      <c r="Q73" s="1805"/>
      <c r="R73" s="1805"/>
      <c r="S73" s="1805"/>
      <c r="T73" s="1805"/>
      <c r="U73" s="1805"/>
      <c r="V73" s="1805"/>
      <c r="W73" s="1805"/>
      <c r="X73" s="1805"/>
      <c r="Y73" s="1805"/>
      <c r="Z73" s="1805"/>
      <c r="AA73" s="1806"/>
      <c r="AB73" s="1806"/>
      <c r="AC73" s="1806"/>
      <c r="AD73" s="1806"/>
      <c r="AE73" s="1806"/>
      <c r="AF73" s="1806"/>
      <c r="AG73" s="1806"/>
      <c r="AH73" s="1806"/>
      <c r="AI73" s="1806"/>
    </row>
    <row r="74" spans="1:35" s="1804" customFormat="1" ht="24">
      <c r="A74" s="159" t="s">
        <v>325</v>
      </c>
      <c r="B74" s="160" t="s">
        <v>1397</v>
      </c>
      <c r="C74" s="160">
        <f>ROUND(IF(G77="2016年5月1日后购买",C75/(1+'数据-取费表'!C42)+C76+C77,C75+C76+C77),0)</f>
        <v>0</v>
      </c>
      <c r="D74" s="160" t="s">
        <v>26</v>
      </c>
      <c r="E74" s="2318"/>
      <c r="F74" s="2317"/>
      <c r="G74" s="2317"/>
      <c r="H74" s="172"/>
      <c r="I74" s="1807"/>
      <c r="J74" s="1805"/>
      <c r="K74" s="1805"/>
      <c r="L74" s="1805"/>
      <c r="M74" s="1805"/>
      <c r="N74" s="1805"/>
      <c r="O74" s="1805"/>
      <c r="P74" s="1805"/>
      <c r="Q74" s="1805"/>
      <c r="R74" s="1805"/>
      <c r="S74" s="1805"/>
      <c r="T74" s="1805"/>
      <c r="U74" s="1805"/>
      <c r="V74" s="1805"/>
      <c r="W74" s="1805"/>
      <c r="X74" s="1805"/>
      <c r="Y74" s="1805"/>
      <c r="Z74" s="1805"/>
      <c r="AA74" s="1806"/>
      <c r="AB74" s="1806"/>
      <c r="AC74" s="1806"/>
      <c r="AD74" s="1806"/>
      <c r="AE74" s="1806"/>
      <c r="AF74" s="1806"/>
      <c r="AG74" s="1806"/>
      <c r="AH74" s="1806"/>
      <c r="AI74" s="1806"/>
    </row>
    <row r="75" spans="1:35" s="1804" customFormat="1" ht="14.25">
      <c r="A75" s="159" t="s">
        <v>331</v>
      </c>
      <c r="B75" s="160" t="s">
        <v>1398</v>
      </c>
      <c r="C75" s="2558"/>
      <c r="D75" s="160" t="s">
        <v>26</v>
      </c>
      <c r="E75" s="174" t="s">
        <v>1399</v>
      </c>
      <c r="F75" s="2559"/>
      <c r="G75" s="174" t="s">
        <v>1400</v>
      </c>
      <c r="H75" s="2560"/>
      <c r="I75" s="1808"/>
      <c r="J75" s="1805"/>
      <c r="K75" s="1805"/>
      <c r="L75" s="1805"/>
      <c r="M75" s="1805"/>
      <c r="N75" s="1805"/>
      <c r="O75" s="1805"/>
      <c r="P75" s="1805"/>
      <c r="Q75" s="1805"/>
      <c r="R75" s="1805"/>
      <c r="S75" s="1805"/>
      <c r="T75" s="1805"/>
      <c r="U75" s="1805"/>
      <c r="V75" s="1805"/>
      <c r="W75" s="1805"/>
      <c r="X75" s="1805"/>
      <c r="Y75" s="1805"/>
      <c r="Z75" s="1805"/>
      <c r="AA75" s="1806"/>
      <c r="AB75" s="1806"/>
      <c r="AC75" s="1806"/>
      <c r="AD75" s="1806"/>
      <c r="AE75" s="1806"/>
      <c r="AF75" s="1806"/>
      <c r="AG75" s="1806"/>
      <c r="AH75" s="1806"/>
      <c r="AI75" s="1806"/>
    </row>
    <row r="76" spans="1:35" s="1804" customFormat="1" ht="24.75" customHeight="1">
      <c r="A76" s="159" t="s">
        <v>332</v>
      </c>
      <c r="B76" s="175" t="s">
        <v>1401</v>
      </c>
      <c r="C76" s="160">
        <f>IF(F75="购房发票",ROUND(C75*H75*D76,0),0)</f>
        <v>0</v>
      </c>
      <c r="D76" s="2561">
        <v>0.05</v>
      </c>
      <c r="E76" s="3632" t="s">
        <v>1402</v>
      </c>
      <c r="F76" s="3606"/>
      <c r="G76" s="3606"/>
      <c r="H76" s="3657"/>
      <c r="I76" s="1807"/>
      <c r="J76" s="1805"/>
      <c r="K76" s="1805"/>
      <c r="L76" s="1805"/>
      <c r="M76" s="1805"/>
      <c r="N76" s="1805"/>
      <c r="O76" s="1805"/>
      <c r="P76" s="1805"/>
      <c r="Q76" s="1805"/>
      <c r="R76" s="1805"/>
      <c r="S76" s="1805"/>
      <c r="T76" s="1805"/>
      <c r="U76" s="1805"/>
      <c r="V76" s="1805"/>
      <c r="W76" s="1805"/>
      <c r="X76" s="1805"/>
      <c r="Y76" s="1805"/>
      <c r="Z76" s="1805"/>
      <c r="AA76" s="1806"/>
      <c r="AB76" s="1806"/>
      <c r="AC76" s="1806"/>
      <c r="AD76" s="1806"/>
      <c r="AE76" s="1806"/>
      <c r="AF76" s="1806"/>
      <c r="AG76" s="1806"/>
      <c r="AH76" s="1806"/>
      <c r="AI76" s="1806"/>
    </row>
    <row r="77" spans="1:35" s="1804" customFormat="1" ht="24.75" customHeight="1">
      <c r="A77" s="159" t="s">
        <v>333</v>
      </c>
      <c r="B77" s="160" t="s">
        <v>1403</v>
      </c>
      <c r="C77" s="160">
        <f>ROUND(IF(G77="个人住宅",0,IF(G77="2016年5月1日前购买",C75*D77,C75*D77/(1+'数据-取费表'!C42))),0)</f>
        <v>0</v>
      </c>
      <c r="D77" s="2562">
        <f>'数据-取费表'!B48+'数据-取费表'!B49</f>
        <v>3.0499999999999999E-2</v>
      </c>
      <c r="E77" s="2311" t="s">
        <v>1404</v>
      </c>
      <c r="F77" s="176"/>
      <c r="G77" s="1809"/>
      <c r="H77" s="2319" t="str">
        <f>IF(G77="个人买卖住房","免征印花税"," ")</f>
        <v xml:space="preserve"> </v>
      </c>
      <c r="I77" s="1807"/>
      <c r="J77" s="1805"/>
      <c r="K77" s="1805"/>
      <c r="L77" s="1805"/>
      <c r="M77" s="1805"/>
      <c r="N77" s="1805"/>
      <c r="O77" s="1805"/>
      <c r="P77" s="1805"/>
      <c r="Q77" s="1805"/>
      <c r="R77" s="1805"/>
      <c r="S77" s="1805"/>
      <c r="T77" s="1805"/>
      <c r="U77" s="1805"/>
      <c r="V77" s="1805"/>
      <c r="W77" s="1805"/>
      <c r="X77" s="1805"/>
      <c r="Y77" s="1805"/>
      <c r="Z77" s="1805"/>
      <c r="AA77" s="1806"/>
      <c r="AB77" s="1806"/>
      <c r="AC77" s="1806"/>
      <c r="AD77" s="1806"/>
      <c r="AE77" s="1806"/>
      <c r="AF77" s="1806"/>
      <c r="AG77" s="1806"/>
      <c r="AH77" s="1806"/>
      <c r="AI77" s="1806"/>
    </row>
    <row r="78" spans="1:35" s="1804" customFormat="1" ht="24.75" customHeight="1">
      <c r="A78" s="159" t="s">
        <v>326</v>
      </c>
      <c r="B78" s="160" t="s">
        <v>1405</v>
      </c>
      <c r="C78" s="2563">
        <f ca="1">ROUND(D45*D78/(1+'数据-取费表'!C42),0)</f>
        <v>1923</v>
      </c>
      <c r="D78" s="2564">
        <f>'数据-取费表'!B43</f>
        <v>6.000000000000001E-3</v>
      </c>
      <c r="E78" s="3616" t="s">
        <v>1406</v>
      </c>
      <c r="F78" s="3617"/>
      <c r="G78" s="3617"/>
      <c r="H78" s="3626"/>
      <c r="I78" s="1810"/>
      <c r="J78" s="1805"/>
      <c r="K78" s="1805"/>
      <c r="L78" s="1805"/>
      <c r="M78" s="1805"/>
      <c r="N78" s="1805"/>
      <c r="O78" s="1805"/>
      <c r="P78" s="1805"/>
      <c r="Q78" s="1805"/>
      <c r="R78" s="1805"/>
      <c r="S78" s="1805"/>
      <c r="T78" s="1805"/>
      <c r="U78" s="1805"/>
      <c r="V78" s="1805"/>
      <c r="W78" s="1805"/>
      <c r="X78" s="1805"/>
      <c r="Y78" s="1805"/>
      <c r="Z78" s="1805"/>
      <c r="AA78" s="1806"/>
      <c r="AB78" s="1806"/>
      <c r="AC78" s="1806"/>
      <c r="AD78" s="1806"/>
      <c r="AE78" s="1806"/>
      <c r="AF78" s="1806"/>
      <c r="AG78" s="1806"/>
      <c r="AH78" s="1806"/>
      <c r="AI78" s="1806"/>
    </row>
    <row r="79" spans="1:35" s="1804" customFormat="1" ht="14.25">
      <c r="A79" s="163" t="s">
        <v>334</v>
      </c>
      <c r="B79" s="164" t="s">
        <v>1407</v>
      </c>
      <c r="C79" s="2555">
        <f ca="1">C72-C73</f>
        <v>318500</v>
      </c>
      <c r="D79" s="160" t="s">
        <v>26</v>
      </c>
      <c r="E79" s="2318"/>
      <c r="F79" s="2317"/>
      <c r="G79" s="2317"/>
      <c r="H79" s="172"/>
      <c r="I79" s="1807"/>
      <c r="J79" s="1805"/>
      <c r="K79" s="1805"/>
      <c r="L79" s="1805"/>
      <c r="M79" s="1805"/>
      <c r="N79" s="1805"/>
      <c r="O79" s="1805"/>
      <c r="P79" s="1805"/>
      <c r="Q79" s="1805"/>
      <c r="R79" s="1805"/>
      <c r="S79" s="1805"/>
      <c r="T79" s="1805"/>
      <c r="U79" s="1805"/>
      <c r="V79" s="1805"/>
      <c r="W79" s="1805"/>
      <c r="X79" s="1805"/>
      <c r="Y79" s="1805"/>
      <c r="Z79" s="1805"/>
      <c r="AA79" s="1806"/>
      <c r="AB79" s="1806"/>
      <c r="AC79" s="1806"/>
      <c r="AD79" s="1806"/>
      <c r="AE79" s="1806"/>
      <c r="AF79" s="1806"/>
      <c r="AG79" s="1806"/>
      <c r="AH79" s="1806"/>
      <c r="AI79" s="1806"/>
    </row>
    <row r="80" spans="1:35" s="1804" customFormat="1" ht="24">
      <c r="A80" s="163" t="s">
        <v>335</v>
      </c>
      <c r="B80" s="164" t="s">
        <v>1408</v>
      </c>
      <c r="C80" s="2565">
        <f ca="1">IF(C79&lt;=0,0,C79/C73)</f>
        <v>165.6266250650026</v>
      </c>
      <c r="D80" s="160" t="s">
        <v>26</v>
      </c>
      <c r="E80" s="2311" t="str">
        <f ca="1">IF(C80&gt;=200%,"增值额超过扣除项目金额200%",IF(C80&gt;=100%,"增值额超过扣除项目金额100%，未超过200%",IF(C80&gt;=50%,"增值额超过扣除项目金额50%，未超过100%",IF(C80&lt;50%,"增值额未超过扣除项目金额50%"))))</f>
        <v>增值额超过扣除项目金额200%</v>
      </c>
      <c r="F80" s="2317"/>
      <c r="G80" s="2317"/>
      <c r="H80" s="172"/>
      <c r="I80" s="1807"/>
      <c r="J80" s="1805"/>
      <c r="K80" s="1805"/>
      <c r="L80" s="1805"/>
      <c r="M80" s="1805"/>
      <c r="N80" s="1805"/>
      <c r="O80" s="1805"/>
      <c r="P80" s="1805"/>
      <c r="Q80" s="1805"/>
      <c r="R80" s="1805"/>
      <c r="S80" s="1805"/>
      <c r="T80" s="1805"/>
      <c r="U80" s="1805"/>
      <c r="V80" s="1805"/>
      <c r="W80" s="1805"/>
      <c r="X80" s="1805"/>
      <c r="Y80" s="1805"/>
      <c r="Z80" s="1805"/>
      <c r="AA80" s="1806"/>
      <c r="AB80" s="1806"/>
      <c r="AC80" s="1806"/>
      <c r="AD80" s="1806"/>
      <c r="AE80" s="1806"/>
      <c r="AF80" s="1806"/>
      <c r="AG80" s="1806"/>
      <c r="AH80" s="1806"/>
      <c r="AI80" s="1806"/>
    </row>
    <row r="81" spans="1:35" s="1804" customFormat="1" ht="24.75" thickBot="1">
      <c r="A81" s="166" t="s">
        <v>336</v>
      </c>
      <c r="B81" s="167" t="s">
        <v>1409</v>
      </c>
      <c r="C81" s="2566">
        <f ca="1">ROUND(IF(C79&lt;=0,0,IF(C80&gt;=200%,C79*60%-C73*35%,IF(C80&gt;=100%,C79*50%-C73*15%,IF(C80&gt;=50%,C79*40%-C73*5%,IF(C80&lt;50%,C79*30%,0))))),0)</f>
        <v>190427</v>
      </c>
      <c r="D81" s="256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7"/>
      <c r="J81" s="1805"/>
      <c r="K81" s="1805"/>
      <c r="L81" s="1805"/>
      <c r="M81" s="1805"/>
      <c r="N81" s="1805"/>
      <c r="O81" s="1805"/>
      <c r="P81" s="1805"/>
      <c r="Q81" s="1805"/>
      <c r="R81" s="1805"/>
      <c r="S81" s="1805"/>
      <c r="T81" s="1805"/>
      <c r="U81" s="1805"/>
      <c r="V81" s="1805"/>
      <c r="W81" s="1805"/>
      <c r="X81" s="1805"/>
      <c r="Y81" s="1805"/>
      <c r="Z81" s="1805"/>
      <c r="AA81" s="1806"/>
      <c r="AB81" s="1806"/>
      <c r="AC81" s="1806"/>
      <c r="AD81" s="1806"/>
      <c r="AE81" s="1806"/>
      <c r="AF81" s="1806"/>
      <c r="AG81" s="1806"/>
      <c r="AH81" s="1806"/>
      <c r="AI81" s="1806"/>
    </row>
    <row r="82" spans="1:35" s="1804" customFormat="1" ht="15" customHeight="1">
      <c r="A82" s="667"/>
      <c r="B82" s="668"/>
      <c r="C82" s="4"/>
      <c r="D82" s="4"/>
      <c r="E82" s="668"/>
      <c r="F82" s="668"/>
      <c r="G82" s="668"/>
      <c r="H82" s="669"/>
      <c r="I82" s="1810"/>
      <c r="J82" s="1805"/>
      <c r="K82" s="3458" t="s">
        <v>3413</v>
      </c>
      <c r="L82" s="3458" t="s">
        <v>3412</v>
      </c>
      <c r="M82" s="1805"/>
      <c r="N82" s="1805"/>
      <c r="O82" s="1805"/>
      <c r="P82" s="1805"/>
      <c r="Q82" s="1805"/>
      <c r="R82" s="1805"/>
      <c r="S82" s="1805"/>
      <c r="T82" s="1805"/>
      <c r="U82" s="1805"/>
      <c r="V82" s="1805"/>
      <c r="W82" s="1805"/>
      <c r="X82" s="1805"/>
      <c r="Y82" s="1805"/>
      <c r="Z82" s="1805"/>
      <c r="AA82" s="1806"/>
      <c r="AB82" s="1806"/>
      <c r="AC82" s="1806"/>
      <c r="AD82" s="1806"/>
      <c r="AE82" s="1806"/>
      <c r="AF82" s="1806"/>
      <c r="AG82" s="1806"/>
      <c r="AH82" s="1806"/>
      <c r="AI82" s="1806"/>
    </row>
    <row r="83" spans="1:35" s="1804" customFormat="1" ht="15" thickBot="1">
      <c r="A83" s="3658" t="s">
        <v>1410</v>
      </c>
      <c r="B83" s="3659"/>
      <c r="C83" s="3659"/>
      <c r="D83" s="3659"/>
      <c r="E83" s="3659"/>
      <c r="F83" s="3659"/>
      <c r="G83" s="3659"/>
      <c r="H83" s="3659"/>
      <c r="I83" s="1808"/>
      <c r="J83" s="3458" t="s">
        <v>3415</v>
      </c>
      <c r="K83" s="1805">
        <f>L83*'数据-汇总表'!D3/10000</f>
        <v>2915.4287978799998</v>
      </c>
      <c r="L83" s="1805">
        <v>1034.6199999999999</v>
      </c>
      <c r="M83" s="1805"/>
      <c r="N83" s="1805"/>
      <c r="O83" s="1805"/>
      <c r="P83" s="1805"/>
      <c r="Q83" s="1805"/>
      <c r="R83" s="1805"/>
      <c r="S83" s="1805"/>
      <c r="T83" s="1805"/>
      <c r="U83" s="1805"/>
      <c r="V83" s="1805"/>
      <c r="W83" s="1805"/>
      <c r="X83" s="1805"/>
      <c r="Y83" s="1805"/>
      <c r="Z83" s="1805"/>
      <c r="AA83" s="1806"/>
      <c r="AB83" s="1806"/>
      <c r="AC83" s="1806"/>
      <c r="AD83" s="1806"/>
      <c r="AE83" s="1806"/>
      <c r="AF83" s="1806"/>
      <c r="AG83" s="1806"/>
      <c r="AH83" s="1806"/>
      <c r="AI83" s="1806"/>
    </row>
    <row r="84" spans="1:35" s="1804" customFormat="1" ht="14.25">
      <c r="A84" s="3637" t="s">
        <v>1375</v>
      </c>
      <c r="B84" s="3638"/>
      <c r="C84" s="2008"/>
      <c r="D84" s="2008" t="s">
        <v>1376</v>
      </c>
      <c r="E84" s="169" t="s">
        <v>1377</v>
      </c>
      <c r="F84" s="170"/>
      <c r="G84" s="170"/>
      <c r="H84" s="181"/>
      <c r="I84" s="1808"/>
      <c r="J84" s="3458" t="s">
        <v>3414</v>
      </c>
      <c r="K84" s="1805">
        <v>5984.83</v>
      </c>
      <c r="L84" s="1805">
        <f>'数据-基础表'!I15/'数据-基础表'!B3*K84</f>
        <v>0</v>
      </c>
      <c r="M84" s="1805"/>
      <c r="N84" s="1805"/>
      <c r="O84" s="1805"/>
      <c r="P84" s="1805"/>
      <c r="Q84" s="1805"/>
      <c r="R84" s="1805"/>
      <c r="S84" s="1805"/>
      <c r="T84" s="1805"/>
      <c r="U84" s="1805"/>
      <c r="V84" s="1805"/>
      <c r="W84" s="1805"/>
      <c r="X84" s="1805"/>
      <c r="Y84" s="1805"/>
      <c r="Z84" s="1805"/>
      <c r="AA84" s="1806"/>
      <c r="AB84" s="1806"/>
      <c r="AC84" s="1806"/>
      <c r="AD84" s="1806"/>
      <c r="AE84" s="1806"/>
      <c r="AF84" s="1806"/>
      <c r="AG84" s="1806"/>
      <c r="AH84" s="1806"/>
      <c r="AI84" s="1806"/>
    </row>
    <row r="85" spans="1:35" s="1804" customFormat="1" ht="14.25">
      <c r="A85" s="163" t="s">
        <v>330</v>
      </c>
      <c r="B85" s="164" t="s">
        <v>1395</v>
      </c>
      <c r="C85" s="2555">
        <f ca="1">ROUND(D45/(1+'数据-取费表'!C42),0)</f>
        <v>320423</v>
      </c>
      <c r="D85" s="160" t="s">
        <v>26</v>
      </c>
      <c r="E85" s="2318"/>
      <c r="F85" s="2317"/>
      <c r="G85" s="2317"/>
      <c r="H85" s="182"/>
      <c r="I85" s="1808"/>
      <c r="J85" s="1805"/>
      <c r="K85" s="1805"/>
      <c r="L85" s="1805"/>
      <c r="M85" s="1805"/>
      <c r="N85" s="1805"/>
      <c r="O85" s="1805"/>
      <c r="P85" s="1805"/>
      <c r="Q85" s="1805"/>
      <c r="R85" s="1805"/>
      <c r="S85" s="1805"/>
      <c r="T85" s="1805"/>
      <c r="U85" s="1805"/>
      <c r="V85" s="1805"/>
      <c r="W85" s="1805"/>
      <c r="X85" s="1805"/>
      <c r="Y85" s="1805"/>
      <c r="Z85" s="1805"/>
      <c r="AA85" s="1806"/>
      <c r="AB85" s="1806"/>
      <c r="AC85" s="1806"/>
      <c r="AD85" s="1806"/>
      <c r="AE85" s="1806"/>
      <c r="AF85" s="1806"/>
      <c r="AG85" s="1806"/>
      <c r="AH85" s="1806"/>
      <c r="AI85" s="1806"/>
    </row>
    <row r="86" spans="1:35" s="1804" customFormat="1" ht="14.25">
      <c r="A86" s="163" t="s">
        <v>327</v>
      </c>
      <c r="B86" s="153" t="s">
        <v>1396</v>
      </c>
      <c r="C86" s="2555">
        <f ca="1">IF(H88="仅含出让金",C87+C90+C91+C92+C93+C94,C87+C91+C92+C93+C94)</f>
        <v>206764.27049999998</v>
      </c>
      <c r="D86" s="2568"/>
      <c r="E86" s="2318"/>
      <c r="F86" s="2317"/>
      <c r="G86" s="2317"/>
      <c r="H86" s="182"/>
      <c r="I86" s="1808"/>
      <c r="J86" s="1805"/>
      <c r="K86" s="1805"/>
      <c r="L86" s="1805"/>
      <c r="M86" s="1805"/>
      <c r="N86" s="1805"/>
      <c r="O86" s="1805"/>
      <c r="P86" s="1805"/>
      <c r="Q86" s="1805"/>
      <c r="R86" s="1805"/>
      <c r="S86" s="1805"/>
      <c r="T86" s="1805"/>
      <c r="U86" s="1805"/>
      <c r="V86" s="1805"/>
      <c r="W86" s="1805"/>
      <c r="X86" s="1805"/>
      <c r="Y86" s="1805"/>
      <c r="Z86" s="1805"/>
      <c r="AA86" s="1806"/>
      <c r="AB86" s="1806"/>
      <c r="AC86" s="1806"/>
      <c r="AD86" s="1806"/>
      <c r="AE86" s="1806"/>
      <c r="AF86" s="1806"/>
      <c r="AG86" s="1806"/>
      <c r="AH86" s="1806"/>
      <c r="AI86" s="1806"/>
    </row>
    <row r="87" spans="1:35" s="1804" customFormat="1" ht="14.25">
      <c r="A87" s="159" t="s">
        <v>325</v>
      </c>
      <c r="B87" s="160" t="s">
        <v>1411</v>
      </c>
      <c r="C87" s="2563">
        <f>C88+C89</f>
        <v>31333.270499999999</v>
      </c>
      <c r="D87" s="2564"/>
      <c r="E87" s="2313"/>
      <c r="F87" s="2314"/>
      <c r="G87" s="2314"/>
      <c r="H87" s="2315"/>
      <c r="I87" s="1808"/>
      <c r="J87" s="1805"/>
      <c r="K87" s="1805"/>
      <c r="L87" s="1805"/>
      <c r="M87" s="1805"/>
      <c r="N87" s="1805"/>
      <c r="O87" s="1805"/>
      <c r="P87" s="1805"/>
      <c r="Q87" s="1805"/>
      <c r="R87" s="1805"/>
      <c r="S87" s="1805"/>
      <c r="T87" s="1805"/>
      <c r="U87" s="1805"/>
      <c r="V87" s="1805"/>
      <c r="W87" s="1805"/>
      <c r="X87" s="1805"/>
      <c r="Y87" s="1805"/>
      <c r="Z87" s="1805"/>
      <c r="AA87" s="1806"/>
      <c r="AB87" s="1806"/>
      <c r="AC87" s="1806"/>
      <c r="AD87" s="1806"/>
      <c r="AE87" s="1806"/>
      <c r="AF87" s="1806"/>
      <c r="AG87" s="1806"/>
      <c r="AH87" s="1806"/>
      <c r="AI87" s="1806"/>
    </row>
    <row r="88" spans="1:35" s="1804" customFormat="1" ht="14.25">
      <c r="A88" s="159" t="s">
        <v>331</v>
      </c>
      <c r="B88" s="160" t="s">
        <v>1412</v>
      </c>
      <c r="C88" s="2569">
        <f>304062705/10000</f>
        <v>30406.270499999999</v>
      </c>
      <c r="D88" s="2564"/>
      <c r="E88" s="183" t="s">
        <v>1413</v>
      </c>
      <c r="F88" s="2314"/>
      <c r="G88" s="184" t="s">
        <v>1414</v>
      </c>
      <c r="H88" s="1811" t="s">
        <v>3417</v>
      </c>
      <c r="I88" s="1808"/>
      <c r="J88" s="2508" t="s">
        <v>2283</v>
      </c>
      <c r="K88" s="1805"/>
      <c r="L88" s="1805"/>
      <c r="M88" s="1805"/>
      <c r="N88" s="1805"/>
      <c r="O88" s="1805"/>
      <c r="P88" s="1805"/>
      <c r="Q88" s="1805"/>
      <c r="R88" s="1805"/>
      <c r="S88" s="1805"/>
      <c r="T88" s="1805"/>
      <c r="U88" s="1805"/>
      <c r="V88" s="1805"/>
      <c r="W88" s="1805"/>
      <c r="X88" s="1805"/>
      <c r="Y88" s="1805"/>
      <c r="Z88" s="1805"/>
      <c r="AA88" s="1806"/>
      <c r="AB88" s="1806"/>
      <c r="AC88" s="1806"/>
      <c r="AD88" s="1806"/>
      <c r="AE88" s="1806"/>
      <c r="AF88" s="1806"/>
      <c r="AG88" s="1806"/>
      <c r="AH88" s="1806"/>
      <c r="AI88" s="1806"/>
    </row>
    <row r="89" spans="1:35" s="1804" customFormat="1" ht="14.25">
      <c r="A89" s="159" t="s">
        <v>332</v>
      </c>
      <c r="B89" s="160" t="s">
        <v>1403</v>
      </c>
      <c r="C89" s="2563">
        <f>ROUND(C88*D89,0)</f>
        <v>927</v>
      </c>
      <c r="D89" s="2564">
        <f>'数据-取费表'!B48+'数据-取费表'!B49</f>
        <v>3.0499999999999999E-2</v>
      </c>
      <c r="E89" s="183" t="s">
        <v>1415</v>
      </c>
      <c r="F89" s="2314"/>
      <c r="G89" s="2314"/>
      <c r="H89" s="2315"/>
      <c r="I89" s="1808"/>
      <c r="J89" s="1805"/>
      <c r="K89" s="1805"/>
      <c r="L89" s="1805"/>
      <c r="M89" s="1805"/>
      <c r="N89" s="1805"/>
      <c r="O89" s="1805"/>
      <c r="P89" s="1805"/>
      <c r="Q89" s="1805"/>
      <c r="R89" s="1805"/>
      <c r="S89" s="1805"/>
      <c r="T89" s="1805"/>
      <c r="U89" s="1805"/>
      <c r="V89" s="1805"/>
      <c r="W89" s="1805"/>
      <c r="X89" s="1805"/>
      <c r="Y89" s="1805"/>
      <c r="Z89" s="1805"/>
      <c r="AA89" s="1806"/>
      <c r="AB89" s="1806"/>
      <c r="AC89" s="1806"/>
      <c r="AD89" s="1806"/>
      <c r="AE89" s="1806"/>
      <c r="AF89" s="1806"/>
      <c r="AG89" s="1806"/>
      <c r="AH89" s="1806"/>
      <c r="AI89" s="1806"/>
    </row>
    <row r="90" spans="1:35" s="1804" customFormat="1" ht="14.25">
      <c r="A90" s="159" t="s">
        <v>326</v>
      </c>
      <c r="B90" s="160" t="s">
        <v>1416</v>
      </c>
      <c r="C90" s="2569"/>
      <c r="D90" s="2564"/>
      <c r="E90" s="183" t="str">
        <f>IF(H88="-","土地取得成本中已包含该笔费用"," ")</f>
        <v xml:space="preserve"> </v>
      </c>
      <c r="F90" s="2314"/>
      <c r="G90" s="3698" t="s">
        <v>2128</v>
      </c>
      <c r="H90" s="3699"/>
      <c r="I90" s="1808"/>
      <c r="J90" s="2508" t="s">
        <v>2284</v>
      </c>
      <c r="K90" s="1805"/>
      <c r="L90" s="1805"/>
      <c r="M90" s="1805"/>
      <c r="N90" s="1805"/>
      <c r="O90" s="1805"/>
      <c r="P90" s="1805"/>
      <c r="Q90" s="1805"/>
      <c r="R90" s="1805"/>
      <c r="S90" s="1805"/>
      <c r="T90" s="1805"/>
      <c r="U90" s="1805"/>
      <c r="V90" s="1805"/>
      <c r="W90" s="1805"/>
      <c r="X90" s="1805"/>
      <c r="Y90" s="1805"/>
      <c r="Z90" s="1805"/>
      <c r="AA90" s="1806"/>
      <c r="AB90" s="1806"/>
      <c r="AC90" s="1806"/>
      <c r="AD90" s="1806"/>
      <c r="AE90" s="1806"/>
      <c r="AF90" s="1806"/>
      <c r="AG90" s="1806"/>
      <c r="AH90" s="1806"/>
      <c r="AI90" s="1806"/>
    </row>
    <row r="91" spans="1:35" s="1804" customFormat="1" ht="27.75" customHeight="1">
      <c r="A91" s="159" t="s">
        <v>1417</v>
      </c>
      <c r="B91" s="160" t="s">
        <v>1418</v>
      </c>
      <c r="C91" s="2563">
        <f>IF(H91="——",成本法!C33,I91)</f>
        <v>126237</v>
      </c>
      <c r="D91" s="2564"/>
      <c r="E91" s="3616" t="s">
        <v>1419</v>
      </c>
      <c r="F91" s="3617"/>
      <c r="G91" s="3617"/>
      <c r="H91" s="1812" t="s">
        <v>3411</v>
      </c>
      <c r="I91" s="1813">
        <f>ROUND(J91+K91,0)</f>
        <v>126237</v>
      </c>
      <c r="J91" s="1805">
        <f>851368658/10000</f>
        <v>85136.8658</v>
      </c>
      <c r="K91" s="1805">
        <v>41100</v>
      </c>
      <c r="L91" s="1805"/>
      <c r="M91" s="1805"/>
      <c r="N91" s="1805"/>
      <c r="O91" s="1805"/>
      <c r="P91" s="1805"/>
      <c r="Q91" s="1805"/>
      <c r="R91" s="1805"/>
      <c r="S91" s="1805"/>
      <c r="T91" s="1805"/>
      <c r="U91" s="1805"/>
      <c r="V91" s="1805"/>
      <c r="W91" s="1805"/>
      <c r="X91" s="1805"/>
      <c r="Y91" s="1805"/>
      <c r="Z91" s="1805"/>
      <c r="AA91" s="1806"/>
      <c r="AB91" s="1806"/>
      <c r="AC91" s="1806"/>
      <c r="AD91" s="1806"/>
      <c r="AE91" s="1806"/>
      <c r="AF91" s="1806"/>
      <c r="AG91" s="1806"/>
      <c r="AH91" s="1806"/>
      <c r="AI91" s="1806"/>
    </row>
    <row r="92" spans="1:35" s="1804" customFormat="1" ht="25.5" customHeight="1">
      <c r="A92" s="159" t="s">
        <v>1420</v>
      </c>
      <c r="B92" s="160" t="s">
        <v>1421</v>
      </c>
      <c r="C92" s="2563">
        <f>ROUND((C87+C90+C91)*D92,0)</f>
        <v>15757</v>
      </c>
      <c r="D92" s="2570">
        <v>0.1</v>
      </c>
      <c r="E92" s="3616" t="s">
        <v>1422</v>
      </c>
      <c r="F92" s="3617"/>
      <c r="G92" s="3617"/>
      <c r="H92" s="3626"/>
      <c r="I92" s="1808"/>
      <c r="J92" s="2509" t="s">
        <v>2285</v>
      </c>
      <c r="K92" s="1805"/>
      <c r="L92" s="1805"/>
      <c r="M92" s="1805"/>
      <c r="N92" s="1805"/>
      <c r="O92" s="1805"/>
      <c r="P92" s="1805"/>
      <c r="Q92" s="1805"/>
      <c r="R92" s="1805"/>
      <c r="S92" s="1805"/>
      <c r="T92" s="1805"/>
      <c r="U92" s="1805"/>
      <c r="V92" s="1805"/>
      <c r="W92" s="1805"/>
      <c r="X92" s="1805"/>
      <c r="Y92" s="1805"/>
      <c r="Z92" s="1805"/>
      <c r="AA92" s="1806"/>
      <c r="AB92" s="1806"/>
      <c r="AC92" s="1806"/>
      <c r="AD92" s="1806"/>
      <c r="AE92" s="1806"/>
      <c r="AF92" s="1806"/>
      <c r="AG92" s="1806"/>
      <c r="AH92" s="1806"/>
      <c r="AI92" s="1806"/>
    </row>
    <row r="93" spans="1:35" s="1804" customFormat="1" ht="25.5" customHeight="1">
      <c r="A93" s="159" t="s">
        <v>1423</v>
      </c>
      <c r="B93" s="160" t="s">
        <v>1405</v>
      </c>
      <c r="C93" s="2563">
        <f ca="1">ROUND(D45*D93/(1+'数据-取费表'!C42),0)</f>
        <v>1923</v>
      </c>
      <c r="D93" s="2564">
        <f>'数据-取费表'!B43</f>
        <v>6.000000000000001E-3</v>
      </c>
      <c r="E93" s="3616" t="s">
        <v>1406</v>
      </c>
      <c r="F93" s="3617"/>
      <c r="G93" s="3617"/>
      <c r="H93" s="3626"/>
      <c r="I93" s="1808"/>
      <c r="J93" s="1805"/>
      <c r="K93" s="1805"/>
      <c r="L93" s="1805"/>
      <c r="M93" s="1805"/>
      <c r="N93" s="1805"/>
      <c r="O93" s="1805"/>
      <c r="P93" s="1805"/>
      <c r="Q93" s="1805"/>
      <c r="R93" s="1805"/>
      <c r="S93" s="1805"/>
      <c r="T93" s="1805"/>
      <c r="U93" s="1805"/>
      <c r="V93" s="1805"/>
      <c r="W93" s="1805"/>
      <c r="X93" s="1805"/>
      <c r="Y93" s="1805"/>
      <c r="Z93" s="1805"/>
      <c r="AA93" s="1806"/>
      <c r="AB93" s="1806"/>
      <c r="AC93" s="1806"/>
      <c r="AD93" s="1806"/>
      <c r="AE93" s="1806"/>
      <c r="AF93" s="1806"/>
      <c r="AG93" s="1806"/>
      <c r="AH93" s="1806"/>
      <c r="AI93" s="1806"/>
    </row>
    <row r="94" spans="1:35" s="1804" customFormat="1" ht="36.75" customHeight="1">
      <c r="A94" s="159" t="s">
        <v>1424</v>
      </c>
      <c r="B94" s="160" t="s">
        <v>1425</v>
      </c>
      <c r="C94" s="2569">
        <f>ROUND((C87+C90+C91)*D94,0)</f>
        <v>31514</v>
      </c>
      <c r="D94" s="2564">
        <v>0.2</v>
      </c>
      <c r="E94" s="3627" t="s">
        <v>1426</v>
      </c>
      <c r="F94" s="3628"/>
      <c r="G94" s="3628"/>
      <c r="H94" s="3629"/>
      <c r="I94" s="1808"/>
      <c r="J94" s="1805"/>
      <c r="K94" s="1805"/>
      <c r="L94" s="1805"/>
      <c r="M94" s="1805"/>
      <c r="N94" s="1805"/>
      <c r="O94" s="1805"/>
      <c r="P94" s="1805"/>
      <c r="Q94" s="1805"/>
      <c r="R94" s="1805"/>
      <c r="S94" s="1805"/>
      <c r="T94" s="1805"/>
      <c r="U94" s="1805"/>
      <c r="V94" s="1805"/>
      <c r="W94" s="1805"/>
      <c r="X94" s="1805"/>
      <c r="Y94" s="1805"/>
      <c r="Z94" s="1805"/>
      <c r="AA94" s="1806"/>
      <c r="AB94" s="1806"/>
      <c r="AC94" s="1806"/>
      <c r="AD94" s="1806"/>
      <c r="AE94" s="1806"/>
      <c r="AF94" s="1806"/>
      <c r="AG94" s="1806"/>
      <c r="AH94" s="1806"/>
      <c r="AI94" s="1806"/>
    </row>
    <row r="95" spans="1:35" s="1804" customFormat="1" ht="14.25">
      <c r="A95" s="163" t="s">
        <v>334</v>
      </c>
      <c r="B95" s="164" t="s">
        <v>1407</v>
      </c>
      <c r="C95" s="2555">
        <f ca="1">ROUND(C85-C86,0)</f>
        <v>113659</v>
      </c>
      <c r="D95" s="160" t="s">
        <v>26</v>
      </c>
      <c r="E95" s="2318"/>
      <c r="F95" s="2317"/>
      <c r="G95" s="2317"/>
      <c r="H95" s="182"/>
      <c r="I95" s="1808"/>
      <c r="J95" s="1805"/>
      <c r="K95" s="1805"/>
      <c r="L95" s="1805"/>
      <c r="M95" s="1805"/>
      <c r="N95" s="1805"/>
      <c r="O95" s="1805"/>
      <c r="P95" s="1805"/>
      <c r="Q95" s="1805"/>
      <c r="R95" s="1805"/>
      <c r="S95" s="1805"/>
      <c r="T95" s="1805"/>
      <c r="U95" s="1805"/>
      <c r="V95" s="1805"/>
      <c r="W95" s="1805"/>
      <c r="X95" s="1805"/>
      <c r="Y95" s="1805"/>
      <c r="Z95" s="1805"/>
      <c r="AA95" s="1806"/>
      <c r="AB95" s="1806"/>
      <c r="AC95" s="1806"/>
      <c r="AD95" s="1806"/>
      <c r="AE95" s="1806"/>
      <c r="AF95" s="1806"/>
      <c r="AG95" s="1806"/>
      <c r="AH95" s="1806"/>
      <c r="AI95" s="1806"/>
    </row>
    <row r="96" spans="1:35" s="1804" customFormat="1" ht="24">
      <c r="A96" s="163" t="s">
        <v>335</v>
      </c>
      <c r="B96" s="164" t="s">
        <v>1408</v>
      </c>
      <c r="C96" s="2565">
        <f ca="1">IF(C95&lt;=0,0,C95/C86)</f>
        <v>0.54970329121732864</v>
      </c>
      <c r="D96" s="160" t="s">
        <v>26</v>
      </c>
      <c r="E96" s="23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17"/>
      <c r="G96" s="2317"/>
      <c r="H96" s="182"/>
      <c r="I96" s="1808"/>
      <c r="J96" s="1805"/>
      <c r="K96" s="1805"/>
      <c r="L96" s="1805"/>
      <c r="M96" s="1805"/>
      <c r="N96" s="1805"/>
      <c r="O96" s="1805"/>
      <c r="P96" s="1805"/>
      <c r="Q96" s="1805"/>
      <c r="R96" s="1805"/>
      <c r="S96" s="1805"/>
      <c r="T96" s="1805"/>
      <c r="U96" s="1805"/>
      <c r="V96" s="1805"/>
      <c r="W96" s="1805"/>
      <c r="X96" s="1805"/>
      <c r="Y96" s="1805"/>
      <c r="Z96" s="1805"/>
      <c r="AA96" s="1806"/>
      <c r="AB96" s="1806"/>
      <c r="AC96" s="1806"/>
      <c r="AD96" s="1806"/>
      <c r="AE96" s="1806"/>
      <c r="AF96" s="1806"/>
      <c r="AG96" s="1806"/>
      <c r="AH96" s="1806"/>
      <c r="AI96" s="1806"/>
    </row>
    <row r="97" spans="1:35" s="1804" customFormat="1" ht="24.75" thickBot="1">
      <c r="A97" s="166" t="s">
        <v>336</v>
      </c>
      <c r="B97" s="167" t="s">
        <v>1409</v>
      </c>
      <c r="C97" s="2566">
        <f ca="1">ROUND(IF(C95&lt;=0,0,IF(C96&gt;=200%,C95*60%-C86*35%,IF(C96&gt;=100%,C95*50%-C86*15%,IF(C96&gt;=50%,C95*40%-C86*5%,IF(C96&lt;50%,C95*30%,0))))),0)</f>
        <v>35125</v>
      </c>
      <c r="D97" s="256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808"/>
      <c r="J97" s="1805"/>
      <c r="K97" s="1805"/>
      <c r="L97" s="1805"/>
      <c r="M97" s="1805"/>
      <c r="N97" s="1805"/>
      <c r="O97" s="1805"/>
      <c r="P97" s="1805"/>
      <c r="Q97" s="1805"/>
      <c r="R97" s="1805"/>
      <c r="S97" s="1805"/>
      <c r="T97" s="1805"/>
      <c r="U97" s="1805"/>
      <c r="V97" s="1805"/>
      <c r="W97" s="1805"/>
      <c r="X97" s="1805"/>
      <c r="Y97" s="1805"/>
      <c r="Z97" s="1805"/>
      <c r="AA97" s="1806"/>
      <c r="AB97" s="1806"/>
      <c r="AC97" s="1806"/>
      <c r="AD97" s="1806"/>
      <c r="AE97" s="1806"/>
      <c r="AF97" s="1806"/>
      <c r="AG97" s="1806"/>
      <c r="AH97" s="1806"/>
      <c r="AI97" s="1806"/>
    </row>
    <row r="98" spans="1:35" ht="21.75" customHeight="1">
      <c r="A98" s="1796"/>
      <c r="B98" s="1734"/>
      <c r="C98" s="1734"/>
      <c r="D98" s="1734"/>
      <c r="E98" s="1565"/>
      <c r="F98" s="1565"/>
      <c r="G98" s="1565"/>
      <c r="H98" s="1564"/>
      <c r="I98" s="119"/>
    </row>
    <row r="99" spans="1:35" ht="21.75" customHeight="1" thickBot="1">
      <c r="A99" s="1787" t="s">
        <v>1427</v>
      </c>
      <c r="B99" s="1734"/>
      <c r="C99" s="1734"/>
      <c r="D99" s="1734"/>
      <c r="E99" s="1565"/>
      <c r="F99" s="1565"/>
      <c r="G99" s="1565"/>
      <c r="H99" s="1564"/>
      <c r="I99" s="119"/>
    </row>
    <row r="100" spans="1:35" ht="18.75" customHeight="1">
      <c r="A100" s="3600" t="s">
        <v>1428</v>
      </c>
      <c r="B100" s="3601"/>
      <c r="C100" s="3601"/>
      <c r="D100" s="3618"/>
      <c r="E100" s="3601" t="s">
        <v>1429</v>
      </c>
      <c r="F100" s="3601"/>
      <c r="G100" s="3601"/>
      <c r="H100" s="3618"/>
      <c r="I100" s="119"/>
    </row>
    <row r="101" spans="1:35" ht="18.75" customHeight="1">
      <c r="A101" s="3679" t="s">
        <v>1430</v>
      </c>
      <c r="B101" s="3680"/>
      <c r="C101" s="2572" t="str">
        <f>C4</f>
        <v>比较法-商业</v>
      </c>
      <c r="D101" s="2573" t="str">
        <f>D4</f>
        <v>收益法-酒店模型</v>
      </c>
      <c r="E101" s="3693" t="s">
        <v>1431</v>
      </c>
      <c r="F101" s="3650"/>
      <c r="G101" s="1814" t="s">
        <v>1432</v>
      </c>
      <c r="H101" s="2582">
        <f ca="1">H118</f>
        <v>336444</v>
      </c>
      <c r="I101" s="119"/>
    </row>
    <row r="102" spans="1:35" ht="18.75" customHeight="1">
      <c r="A102" s="3652" t="s">
        <v>1433</v>
      </c>
      <c r="B102" s="2571" t="s">
        <v>1432</v>
      </c>
      <c r="C102" s="2572">
        <f ca="1">IF(D32="楼面单价",ROUND(C19,0),C19)</f>
        <v>383201</v>
      </c>
      <c r="D102" s="2573">
        <f ca="1">IF(D32="楼面单价",ROUND(D19,0),D19)</f>
        <v>227343</v>
      </c>
      <c r="E102" s="3693"/>
      <c r="F102" s="3650"/>
      <c r="G102" s="1814" t="s">
        <v>1434</v>
      </c>
      <c r="H102" s="2542">
        <f ca="1">I118</f>
        <v>34222</v>
      </c>
      <c r="I102" s="119"/>
    </row>
    <row r="103" spans="1:35" ht="42.75" customHeight="1">
      <c r="A103" s="3652"/>
      <c r="B103" s="2571" t="s">
        <v>1434</v>
      </c>
      <c r="C103" s="2574">
        <f ca="1">C20</f>
        <v>38978</v>
      </c>
      <c r="D103" s="2575">
        <f ca="1">D20</f>
        <v>23125</v>
      </c>
      <c r="E103" s="3687" t="s">
        <v>1435</v>
      </c>
      <c r="F103" s="3688"/>
      <c r="G103" s="1815" t="s">
        <v>1436</v>
      </c>
      <c r="H103" s="2582">
        <f>IF(D36="正常操作",H104+H105+H106,H105+H106)</f>
        <v>0</v>
      </c>
      <c r="I103" s="119"/>
    </row>
    <row r="104" spans="1:35" ht="18.75" customHeight="1">
      <c r="A104" s="3652" t="s">
        <v>1437</v>
      </c>
      <c r="B104" s="2576" t="s">
        <v>1432</v>
      </c>
      <c r="C104" s="2577">
        <f ca="1">H118</f>
        <v>336444</v>
      </c>
      <c r="D104" s="2578"/>
      <c r="E104" s="1661" t="s">
        <v>1438</v>
      </c>
      <c r="F104" s="1653"/>
      <c r="G104" s="1815" t="s">
        <v>1436</v>
      </c>
      <c r="H104" s="2583">
        <f>IF(D36="同一抵押权人同一抵押物续贷",C36&amp;"（续贷，未扣减，详见特别提示）",C36)</f>
        <v>0</v>
      </c>
      <c r="I104" s="119"/>
    </row>
    <row r="105" spans="1:35" ht="18.75" customHeight="1" thickBot="1">
      <c r="A105" s="3653"/>
      <c r="B105" s="2579" t="s">
        <v>1434</v>
      </c>
      <c r="C105" s="2580">
        <f ca="1">I118</f>
        <v>34222</v>
      </c>
      <c r="D105" s="2581"/>
      <c r="E105" s="1661" t="s">
        <v>1439</v>
      </c>
      <c r="F105" s="1653"/>
      <c r="G105" s="1815" t="s">
        <v>1436</v>
      </c>
      <c r="H105" s="2584">
        <f>C37</f>
        <v>0</v>
      </c>
      <c r="I105" s="119"/>
    </row>
    <row r="106" spans="1:35" ht="18.75" customHeight="1">
      <c r="A106" s="1734" t="s">
        <v>1440</v>
      </c>
      <c r="B106" s="1734"/>
      <c r="C106" s="1734"/>
      <c r="D106" s="1734"/>
      <c r="E106" s="1816" t="s">
        <v>1441</v>
      </c>
      <c r="F106" s="1653"/>
      <c r="G106" s="1815" t="s">
        <v>1436</v>
      </c>
      <c r="H106" s="2584">
        <f>C38</f>
        <v>0</v>
      </c>
      <c r="I106" s="119"/>
    </row>
    <row r="107" spans="1:35" ht="18.75" customHeight="1">
      <c r="A107" s="119"/>
      <c r="B107" s="119"/>
      <c r="C107" s="119"/>
      <c r="D107" s="119"/>
      <c r="E107" s="3649" t="str">
        <f>IF(项目基本情况!E8="已注销","——","3.房地产抵押价值")</f>
        <v>3.房地产抵押价值</v>
      </c>
      <c r="F107" s="3650"/>
      <c r="G107" s="1814" t="s">
        <v>1432</v>
      </c>
      <c r="H107" s="2582">
        <f ca="1">IF(E107="——","——",H101-H103)</f>
        <v>336444</v>
      </c>
      <c r="I107" s="119"/>
    </row>
    <row r="108" spans="1:35" ht="18.75" customHeight="1">
      <c r="A108" s="119"/>
      <c r="B108" s="119"/>
      <c r="C108" s="119"/>
      <c r="D108" s="119"/>
      <c r="E108" s="3649"/>
      <c r="F108" s="3650"/>
      <c r="G108" s="1814" t="s">
        <v>1434</v>
      </c>
      <c r="H108" s="2542">
        <f ca="1">IF(H107=H101,H102,ROUND(H107*10000/'数据-汇总表'!E3,0))</f>
        <v>34222</v>
      </c>
      <c r="I108" s="119"/>
    </row>
    <row r="109" spans="1:35" ht="18.75" customHeight="1">
      <c r="A109" s="119"/>
      <c r="B109" s="119"/>
      <c r="C109" s="119"/>
      <c r="D109" s="119"/>
      <c r="E109" s="3649" t="str">
        <f>IF(项目基本情况!E8="已注销及未注销","4.抵押担保权已注销时的房地产抵押价值",IF(项目基本情况!E8="已注销","3.抵押担保权已注销时的房地产抵押价值","——"))</f>
        <v>——</v>
      </c>
      <c r="F109" s="3650"/>
      <c r="G109" s="1814" t="s">
        <v>1432</v>
      </c>
      <c r="H109" s="2585" t="str">
        <f>IF(E109="——","——",H101-H105-H106)</f>
        <v>——</v>
      </c>
      <c r="I109" s="119"/>
    </row>
    <row r="110" spans="1:35" ht="18.75" customHeight="1">
      <c r="A110" s="119"/>
      <c r="B110" s="119"/>
      <c r="C110" s="119"/>
      <c r="D110" s="119"/>
      <c r="E110" s="3649"/>
      <c r="F110" s="3650"/>
      <c r="G110" s="1814" t="s">
        <v>1434</v>
      </c>
      <c r="H110" s="2542" t="str">
        <f>IF(H109="——","——",ROUND(H109*10000/'数据-汇总表'!E3,0))</f>
        <v>——</v>
      </c>
      <c r="I110" s="119"/>
    </row>
    <row r="111" spans="1:35" ht="18.75" customHeight="1">
      <c r="A111" s="119"/>
      <c r="B111" s="119"/>
      <c r="C111" s="119"/>
      <c r="D111" s="119"/>
      <c r="E111" s="3681" t="str">
        <f>IF(项目基本情况!E9="抵押净值",IF(OR(项目基本情况!E8="已注销",项目基本情况!E8="房地产抵押价值"),"4.抵押净值","5.抵押净值"),"——")</f>
        <v>4.抵押净值</v>
      </c>
      <c r="F111" s="3651"/>
      <c r="G111" s="1814" t="s">
        <v>1432</v>
      </c>
      <c r="H111" s="2582">
        <f ca="1">IF(E111="——","——",N59)</f>
        <v>283207</v>
      </c>
      <c r="I111" s="119"/>
    </row>
    <row r="112" spans="1:35" ht="18.75" customHeight="1" thickBot="1">
      <c r="A112" s="119"/>
      <c r="B112" s="119"/>
      <c r="C112" s="119"/>
      <c r="D112" s="119"/>
      <c r="E112" s="3682"/>
      <c r="F112" s="3683"/>
      <c r="G112" s="1817" t="s">
        <v>1434</v>
      </c>
      <c r="H112" s="2586">
        <f ca="1">IF(E111="——","——",N61)</f>
        <v>28807</v>
      </c>
      <c r="I112" s="119"/>
    </row>
    <row r="113" spans="1:27" ht="18.75" customHeight="1">
      <c r="A113" s="119"/>
      <c r="B113" s="119"/>
      <c r="C113" s="119"/>
      <c r="D113" s="119"/>
      <c r="E113" s="3654" t="s">
        <v>1440</v>
      </c>
      <c r="F113" s="3654"/>
      <c r="G113" s="3654"/>
      <c r="H113" s="3654"/>
      <c r="I113" s="119"/>
    </row>
    <row r="114" spans="1:27" ht="3.75" customHeight="1">
      <c r="A114" s="1734"/>
      <c r="B114" s="1734"/>
      <c r="C114" s="1734"/>
      <c r="D114" s="1734"/>
      <c r="E114" s="1796"/>
      <c r="F114" s="1796"/>
      <c r="G114" s="1796"/>
      <c r="H114" s="1796"/>
      <c r="I114" s="1734"/>
    </row>
    <row r="115" spans="1:27" ht="18.75" customHeight="1">
      <c r="A115" s="3664" t="s">
        <v>1442</v>
      </c>
      <c r="B115" s="3665"/>
      <c r="C115" s="3665"/>
      <c r="D115" s="3665"/>
      <c r="E115" s="3665"/>
      <c r="F115" s="3665"/>
      <c r="G115" s="3665"/>
      <c r="H115" s="3665"/>
      <c r="I115" s="3666"/>
    </row>
    <row r="116" spans="1:27" ht="27" customHeight="1">
      <c r="A116" s="3620" t="s">
        <v>1443</v>
      </c>
      <c r="B116" s="3655" t="s">
        <v>1444</v>
      </c>
      <c r="C116" s="3655" t="s">
        <v>1445</v>
      </c>
      <c r="D116" s="3668" t="s">
        <v>1446</v>
      </c>
      <c r="E116" s="3669"/>
      <c r="F116" s="3663" t="s">
        <v>3403</v>
      </c>
      <c r="G116" s="3663"/>
      <c r="H116" s="3620" t="s">
        <v>1447</v>
      </c>
      <c r="I116" s="3620"/>
    </row>
    <row r="117" spans="1:27" ht="18.75" customHeight="1">
      <c r="A117" s="3620"/>
      <c r="B117" s="3656"/>
      <c r="C117" s="3656"/>
      <c r="D117" s="2316" t="s">
        <v>1448</v>
      </c>
      <c r="E117" s="2316" t="s">
        <v>1449</v>
      </c>
      <c r="F117" s="2316" t="s">
        <v>1448</v>
      </c>
      <c r="G117" s="2316" t="s">
        <v>1450</v>
      </c>
      <c r="H117" s="2316" t="s">
        <v>1448</v>
      </c>
      <c r="I117" s="2316" t="s">
        <v>1450</v>
      </c>
    </row>
    <row r="118" spans="1:27" ht="24.75" customHeight="1">
      <c r="A118" s="2587" t="str">
        <f>项目基本情况!S2</f>
        <v>北京市海淀区板井路69号世纪金源大饭店房地产</v>
      </c>
      <c r="B118" s="2316">
        <f>M18</f>
        <v>98312.17</v>
      </c>
      <c r="C118" s="2316">
        <f>M19</f>
        <v>28178.74</v>
      </c>
      <c r="D118" s="2316">
        <f ca="1">ROUND(IF(D32="总价",C34,E118*B118/10000),0)</f>
        <v>220707</v>
      </c>
      <c r="E118" s="2316">
        <f ca="1">ROUND(IF(C33="自定义",IF(D32="楼面单价",C34,D118*10000/B118),I118-G118),0)</f>
        <v>22450</v>
      </c>
      <c r="F118" s="2316">
        <f ca="1">ROUND(IF(D32="总价",C35,G118*B118/10000),0)</f>
        <v>115737</v>
      </c>
      <c r="G118" s="2316">
        <f ca="1">ROUND(IF(D32="楼面单价",C35,F118*10000/B118),0)</f>
        <v>11772</v>
      </c>
      <c r="H118" s="2316">
        <f ca="1">ROUND(IF(D32="总价",C32,I118*B118/10000),0)</f>
        <v>336444</v>
      </c>
      <c r="I118" s="2316">
        <f ca="1">ROUND(IF(D32="楼面单价",C32,H118*10000/B118),0)</f>
        <v>34222</v>
      </c>
      <c r="K118" s="3451">
        <f ca="1">D118/(C118/666.67)</f>
        <v>5221.6222474816113</v>
      </c>
      <c r="L118" s="3451">
        <f>基准地价修正!E33/(C118/666.67)</f>
        <v>2102.8961177824131</v>
      </c>
    </row>
    <row r="119" spans="1:27" ht="18.75" customHeight="1">
      <c r="A119" s="3620" t="s">
        <v>1451</v>
      </c>
      <c r="B119" s="3620"/>
      <c r="C119" s="3620"/>
      <c r="D119" s="3660" t="str">
        <f ca="1">NUMBERSTRING(INT(D118*10000),2)&amp;"元整"</f>
        <v>贰拾贰亿零柒佰零柒万元整</v>
      </c>
      <c r="E119" s="3662"/>
      <c r="F119" s="3660" t="str">
        <f ca="1">NUMBERSTRING(INT(F118*10000),2)&amp;"元整"</f>
        <v>壹拾壹亿伍仟柒佰叁拾柒万元整</v>
      </c>
      <c r="G119" s="3662"/>
      <c r="H119" s="3660" t="str">
        <f ca="1">NUMBERSTRING(INT(H118*10000),2)&amp;"元整"</f>
        <v>叁拾叁亿陆仟肆佰肆拾肆万元整</v>
      </c>
      <c r="I119" s="3662"/>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39"/>
      <c r="K120" s="1739" t="str">
        <f>IF(D120=0,"故，本次评估不存在"&amp;A120,"故，本次评估"&amp;A120&amp;"为人民币"&amp;D120&amp;"万元整。")</f>
        <v>故，本次评估不存在估价师知悉的法定优先受偿款</v>
      </c>
      <c r="L120" s="1739"/>
      <c r="M120" s="1739"/>
      <c r="N120" s="1739"/>
      <c r="O120" s="1739"/>
      <c r="P120" s="1739"/>
      <c r="Q120" s="1739"/>
      <c r="R120" s="1739"/>
      <c r="S120" s="1739"/>
    </row>
    <row r="121" spans="1:27" ht="18.75" customHeight="1">
      <c r="A121" s="3660" t="s">
        <v>1451</v>
      </c>
      <c r="B121" s="3661"/>
      <c r="C121" s="3662"/>
      <c r="D121" s="3660" t="str">
        <f>IF(D120=0,"零元整",NUMBERSTRING(INT(D120*10000),2)&amp;"元整")</f>
        <v>零元整</v>
      </c>
      <c r="E121" s="3661"/>
      <c r="F121" s="3661"/>
      <c r="G121" s="3661"/>
      <c r="H121" s="3661"/>
      <c r="I121" s="3662"/>
      <c r="AA121" s="712"/>
    </row>
    <row r="122" spans="1:27" ht="18.75" customHeight="1">
      <c r="A122" s="3651" t="str">
        <f>IF(项目基本情况!B9="房地产市场价值","",MID(E107,3,LEN(E107)-2))</f>
        <v>房地产抵押价值</v>
      </c>
      <c r="B122" s="3651"/>
      <c r="C122" s="3651"/>
      <c r="D122" s="3684">
        <f ca="1">H107</f>
        <v>336444</v>
      </c>
      <c r="E122" s="3685"/>
      <c r="F122" s="3685"/>
      <c r="G122" s="3685"/>
      <c r="H122" s="3685"/>
      <c r="I122" s="3686"/>
      <c r="AA122" s="712"/>
    </row>
    <row r="123" spans="1:27" ht="18.75" customHeight="1">
      <c r="A123" s="3620" t="s">
        <v>1451</v>
      </c>
      <c r="B123" s="3620"/>
      <c r="C123" s="3620"/>
      <c r="D123" s="3660" t="str">
        <f ca="1">NUMBERSTRING(INT(D122*10000),2)&amp;"元整"</f>
        <v>叁拾叁亿陆仟肆佰肆拾肆万元整</v>
      </c>
      <c r="E123" s="3661"/>
      <c r="F123" s="3661"/>
      <c r="G123" s="3661"/>
      <c r="H123" s="3661"/>
      <c r="I123" s="3662"/>
      <c r="AA123" s="712"/>
    </row>
    <row r="124" spans="1:27" ht="18.75" customHeight="1">
      <c r="A124" s="3651" t="str">
        <f>IF(项目基本情况!B9="房地产市场价值","",MID(E109,3,LEN(E109)-2))</f>
        <v/>
      </c>
      <c r="B124" s="3651"/>
      <c r="C124" s="3651"/>
      <c r="D124" s="3684" t="str">
        <f>H109</f>
        <v>——</v>
      </c>
      <c r="E124" s="3685"/>
      <c r="F124" s="3685"/>
      <c r="G124" s="3685"/>
      <c r="H124" s="3685"/>
      <c r="I124" s="3686"/>
      <c r="AA124" s="712"/>
    </row>
    <row r="125" spans="1:27" ht="18.75" customHeight="1">
      <c r="A125" s="3620" t="s">
        <v>1451</v>
      </c>
      <c r="B125" s="3620"/>
      <c r="C125" s="3620"/>
      <c r="D125" s="3660" t="e">
        <f>NUMBERSTRING(INT(D124*10000),2)&amp;"元整"</f>
        <v>#VALUE!</v>
      </c>
      <c r="E125" s="3661"/>
      <c r="F125" s="3661"/>
      <c r="G125" s="3661"/>
      <c r="H125" s="3661"/>
      <c r="I125" s="3662"/>
      <c r="AA125" s="712"/>
    </row>
    <row r="126" spans="1:27" ht="18.75" customHeight="1">
      <c r="A126" s="3651" t="str">
        <f>IF(项目基本情况!B9="房地产市场价值","",MID(E111,3,LEN(E111)-2))</f>
        <v>抵押净值</v>
      </c>
      <c r="B126" s="3651"/>
      <c r="C126" s="3651"/>
      <c r="D126" s="3684">
        <f ca="1">H111</f>
        <v>283207</v>
      </c>
      <c r="E126" s="3685"/>
      <c r="F126" s="3685"/>
      <c r="G126" s="3685"/>
      <c r="H126" s="3685"/>
      <c r="I126" s="3686"/>
      <c r="AA126" s="712"/>
    </row>
    <row r="127" spans="1:27" ht="18.75" customHeight="1">
      <c r="A127" s="3620" t="s">
        <v>1451</v>
      </c>
      <c r="B127" s="3620"/>
      <c r="C127" s="3620"/>
      <c r="D127" s="3660" t="str">
        <f ca="1">NUMBERSTRING(INT(D126*10000),2)&amp;"元整"</f>
        <v>贰拾捌亿叁仟贰佰零柒万元整</v>
      </c>
      <c r="E127" s="3661"/>
      <c r="F127" s="3661"/>
      <c r="G127" s="3661"/>
      <c r="H127" s="3661"/>
      <c r="I127" s="3662"/>
      <c r="AA127" s="712"/>
    </row>
    <row r="128" spans="1:27" ht="21.75" customHeight="1">
      <c r="A128" s="3667" t="s">
        <v>1452</v>
      </c>
      <c r="B128" s="3667"/>
      <c r="C128" s="3667"/>
      <c r="D128" s="3667"/>
      <c r="E128" s="3667"/>
      <c r="F128" s="3667"/>
      <c r="G128" s="3667"/>
      <c r="H128" s="3667"/>
      <c r="I128" s="3667"/>
      <c r="AA128" s="712"/>
    </row>
    <row r="129" spans="1:35" ht="21.75" customHeight="1">
      <c r="A129" s="1818" t="s">
        <v>1453</v>
      </c>
      <c r="B129" s="1819"/>
      <c r="C129" s="1820" t="s">
        <v>1454</v>
      </c>
      <c r="D129" s="1821"/>
      <c r="E129" s="1821"/>
      <c r="F129" s="1821"/>
      <c r="G129" s="1821"/>
      <c r="H129" s="1822"/>
      <c r="I129" s="1823"/>
      <c r="AA129" s="712"/>
    </row>
    <row r="130" spans="1:35" ht="21.75" customHeight="1">
      <c r="A130" s="1824">
        <v>1</v>
      </c>
      <c r="B130" s="1825"/>
      <c r="C130" s="1825"/>
      <c r="D130" s="1826"/>
      <c r="E130" s="1826"/>
      <c r="F130" s="1826"/>
      <c r="G130" s="1826"/>
      <c r="H130" s="1827"/>
      <c r="I130" s="1828"/>
      <c r="AA130" s="712"/>
    </row>
    <row r="131" spans="1:35" ht="21.75" customHeight="1">
      <c r="A131" s="1824">
        <v>2</v>
      </c>
      <c r="B131" s="1825"/>
      <c r="C131" s="1825"/>
      <c r="D131" s="1826"/>
      <c r="E131" s="1826"/>
      <c r="F131" s="1826"/>
      <c r="G131" s="1826"/>
      <c r="H131" s="1827"/>
      <c r="I131" s="1828"/>
      <c r="AA131" s="712"/>
    </row>
    <row r="132" spans="1:35" ht="21.75" customHeight="1">
      <c r="A132" s="1824">
        <v>3</v>
      </c>
      <c r="B132" s="1825"/>
      <c r="C132" s="1825"/>
      <c r="D132" s="1826"/>
      <c r="E132" s="1826"/>
      <c r="F132" s="1826"/>
      <c r="G132" s="1826"/>
      <c r="H132" s="1827"/>
      <c r="I132" s="1828"/>
      <c r="AA132" s="712"/>
    </row>
    <row r="133" spans="1:35" ht="21.75" customHeight="1">
      <c r="A133" s="1829"/>
      <c r="B133" s="1830"/>
      <c r="C133" s="1830"/>
      <c r="D133" s="1831"/>
      <c r="E133" s="1831"/>
      <c r="F133" s="1831"/>
      <c r="G133" s="1831"/>
      <c r="H133" s="1832"/>
      <c r="I133" s="1833"/>
    </row>
    <row r="134" spans="1:35" ht="21.75" customHeight="1">
      <c r="A134" s="1825"/>
      <c r="B134" s="1825"/>
      <c r="C134" s="1825"/>
      <c r="D134" s="1826"/>
      <c r="E134" s="1826"/>
      <c r="F134" s="1826"/>
      <c r="G134" s="1826"/>
      <c r="H134" s="1827"/>
      <c r="I134" s="712"/>
    </row>
    <row r="135" spans="1:35" ht="21.75" customHeight="1">
      <c r="A135" s="712"/>
      <c r="B135" s="712"/>
      <c r="C135" s="712"/>
      <c r="D135" s="712"/>
      <c r="E135" s="712"/>
      <c r="F135" s="1834" t="s">
        <v>1455</v>
      </c>
      <c r="G135" s="1835"/>
      <c r="H135" s="1835"/>
      <c r="I135" s="1836" t="s">
        <v>1456</v>
      </c>
    </row>
    <row r="136" spans="1:35" ht="21.75" customHeight="1">
      <c r="A136" s="712"/>
      <c r="B136" s="1837" t="s">
        <v>1457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5"/>
      <c r="C138" s="1835"/>
      <c r="D138" s="1835"/>
      <c r="E138" s="1835"/>
      <c r="F138" s="1835"/>
      <c r="G138" s="1835"/>
      <c r="H138" s="1835"/>
      <c r="I138" s="1836" t="s">
        <v>1458</v>
      </c>
    </row>
    <row r="139" spans="1:35" ht="21.75" customHeight="1">
      <c r="A139" s="712"/>
      <c r="B139" s="1837" t="s">
        <v>1459</v>
      </c>
      <c r="C139" s="712"/>
      <c r="D139" s="712"/>
      <c r="E139" s="712"/>
      <c r="F139" s="712"/>
      <c r="G139" s="712"/>
      <c r="H139" s="712"/>
      <c r="I139" s="712"/>
    </row>
    <row r="140" spans="1:35" ht="21.75" customHeight="1">
      <c r="A140" s="712"/>
      <c r="B140" s="1837"/>
      <c r="C140" s="712"/>
      <c r="D140" s="712"/>
      <c r="E140" s="712"/>
      <c r="F140" s="712"/>
      <c r="G140" s="712"/>
      <c r="H140" s="712"/>
      <c r="I140" s="712"/>
    </row>
    <row r="141" spans="1:35" ht="21.75" customHeight="1">
      <c r="A141" s="712"/>
      <c r="B141" s="1835"/>
      <c r="C141" s="1835"/>
      <c r="D141" s="1835"/>
      <c r="E141" s="1835"/>
      <c r="F141" s="1835"/>
      <c r="G141" s="1835"/>
      <c r="H141" s="1835"/>
      <c r="I141" s="1836" t="s">
        <v>1458</v>
      </c>
    </row>
    <row r="142" spans="1:35" ht="21.75" customHeight="1">
      <c r="A142" s="712"/>
      <c r="B142" s="1837"/>
      <c r="C142" s="1838"/>
      <c r="D142" s="1839"/>
      <c r="E142" s="1839"/>
      <c r="F142" s="1728"/>
      <c r="G142" s="712"/>
      <c r="H142" s="712"/>
      <c r="I142" s="712"/>
    </row>
    <row r="143" spans="1:35" s="120" customFormat="1" ht="21.75" customHeight="1">
      <c r="A143" s="712"/>
      <c r="B143" s="1837"/>
      <c r="C143" s="1838"/>
      <c r="D143" s="1839"/>
      <c r="E143" s="1839"/>
      <c r="F143" s="1728"/>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9"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9"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9"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9"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9"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9"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9"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9"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9"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9"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9"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9"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9"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9"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9"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9"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9"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9"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9"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9"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9"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9"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9"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9"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9"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9"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9"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9"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9"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9"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9"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9"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9"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9"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9"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9"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9"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9"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9"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9"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9"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9"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9"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9"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9"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9"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9"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9"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9"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9"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9"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9"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9"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9"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9"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9"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9"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9"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9"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9"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9"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9"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9"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9"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9"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9"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9"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9"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9"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9"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9"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9"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9"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9"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9"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9"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9"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9"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9"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9"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9"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9"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9"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9"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9"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9"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9"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9"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9"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9"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9"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9"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9"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9"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9"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9"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9"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9"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9"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9"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9"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9"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9"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9"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17" t="str">
        <f>项目基本情况!B1</f>
        <v>北京市海淀区板井路69号世纪金源大饭店房地产抵押价值预评估</v>
      </c>
      <c r="C37" s="3517"/>
      <c r="D37" s="3517"/>
      <c r="E37" s="3517"/>
      <c r="F37" s="3517"/>
      <c r="G37" s="3517"/>
      <c r="H37" s="3517"/>
      <c r="I37" s="3517"/>
    </row>
    <row r="38" spans="1:9">
      <c r="A38" s="831"/>
      <c r="B38" s="831"/>
    </row>
    <row r="39" spans="1:9">
      <c r="A39" s="829" t="s">
        <v>371</v>
      </c>
      <c r="B39" s="829" t="s">
        <v>373</v>
      </c>
    </row>
    <row r="40" spans="1:9">
      <c r="A40" s="829"/>
      <c r="B40" s="1461">
        <f>项目基本情况!B5</f>
        <v>0</v>
      </c>
    </row>
    <row r="41" spans="1:9">
      <c r="A41" s="829"/>
      <c r="B41" s="829"/>
    </row>
    <row r="42" spans="1:9">
      <c r="A42" s="829" t="s">
        <v>371</v>
      </c>
      <c r="B42" s="829" t="s">
        <v>374</v>
      </c>
    </row>
    <row r="43" spans="1:9">
      <c r="A43" s="829"/>
      <c r="B43" s="1461" t="s">
        <v>375</v>
      </c>
    </row>
    <row r="44" spans="1:9">
      <c r="A44" s="829"/>
      <c r="B44" s="829"/>
    </row>
    <row r="45" spans="1:9">
      <c r="A45" s="829" t="s">
        <v>371</v>
      </c>
      <c r="B45" s="829" t="s">
        <v>376</v>
      </c>
    </row>
    <row r="46" spans="1:9" s="829" customFormat="1" ht="12.75">
      <c r="B46" s="1461" t="str">
        <f ca="1">项目基本情况!K4</f>
        <v>吴薇（注册号：1419970001)、郑燚（注册号：1120070131)</v>
      </c>
    </row>
    <row r="47" spans="1:9">
      <c r="A47" s="829"/>
      <c r="B47" s="829" t="str">
        <f>项目基本情况!K5</f>
        <v>（注册号：0)、（注册号：0)</v>
      </c>
    </row>
    <row r="48" spans="1:9">
      <c r="A48" s="829" t="s">
        <v>371</v>
      </c>
      <c r="B48" s="829"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topLeftCell="O1" workbookViewId="0">
      <selection activeCell="AE1" sqref="AE1:AE1048576"/>
    </sheetView>
  </sheetViews>
  <sheetFormatPr defaultColWidth="9" defaultRowHeight="13.5"/>
  <cols>
    <col min="1" max="1" width="20" style="3496" customWidth="1"/>
    <col min="2" max="4" width="20" style="3496" hidden="1" customWidth="1"/>
    <col min="5" max="5" width="11.25" style="3496" customWidth="1"/>
    <col min="6" max="6" width="20" style="3496" customWidth="1"/>
    <col min="7" max="7" width="20" style="3496" hidden="1" customWidth="1"/>
    <col min="8" max="12" width="20" style="3496" customWidth="1"/>
    <col min="13" max="13" width="20" style="3496" hidden="1" customWidth="1"/>
    <col min="14" max="15" width="20" style="3496" customWidth="1"/>
    <col min="16" max="18" width="20" style="3496" hidden="1" customWidth="1"/>
    <col min="19" max="19" width="20" style="3496" customWidth="1"/>
    <col min="20" max="30" width="20" style="3496" hidden="1" customWidth="1"/>
    <col min="31" max="31" width="20" style="3499" customWidth="1"/>
    <col min="32" max="32" width="20" style="3496" customWidth="1"/>
    <col min="33" max="33" width="15.25" style="3496" customWidth="1"/>
    <col min="34" max="35" width="20" style="3496" customWidth="1"/>
    <col min="36" max="39" width="20" style="3496" hidden="1" customWidth="1"/>
    <col min="40" max="40" width="20" style="3496" customWidth="1"/>
    <col min="41" max="41" width="20" style="3496" hidden="1" customWidth="1"/>
    <col min="42" max="42" width="20" style="3496" customWidth="1"/>
    <col min="43" max="43" width="20" style="3496" hidden="1" customWidth="1"/>
    <col min="44" max="44" width="20" style="3496" customWidth="1"/>
    <col min="45" max="45" width="20" style="3496" hidden="1" customWidth="1"/>
    <col min="46" max="59" width="20" style="3496" customWidth="1"/>
    <col min="60" max="16384" width="9" style="3496"/>
  </cols>
  <sheetData>
    <row r="1" spans="1:58">
      <c r="A1" s="3496" t="s">
        <v>3498</v>
      </c>
      <c r="B1" s="3496" t="s">
        <v>3459</v>
      </c>
      <c r="C1" s="3496" t="s">
        <v>3499</v>
      </c>
      <c r="D1" s="3496" t="s">
        <v>3500</v>
      </c>
      <c r="E1" s="3496" t="s">
        <v>3501</v>
      </c>
      <c r="F1" s="3496" t="s">
        <v>3502</v>
      </c>
      <c r="G1" s="3496" t="s">
        <v>3503</v>
      </c>
      <c r="H1" s="3496" t="s">
        <v>3504</v>
      </c>
      <c r="I1" s="3496" t="s">
        <v>3505</v>
      </c>
      <c r="J1" s="3496" t="s">
        <v>3506</v>
      </c>
      <c r="K1" s="3496" t="s">
        <v>3507</v>
      </c>
      <c r="L1" s="3496" t="s">
        <v>3508</v>
      </c>
      <c r="M1" s="3496" t="s">
        <v>3509</v>
      </c>
      <c r="N1" s="3496" t="s">
        <v>3510</v>
      </c>
      <c r="O1" s="3496" t="s">
        <v>3511</v>
      </c>
      <c r="P1" s="3496" t="s">
        <v>3512</v>
      </c>
      <c r="Q1" s="3496" t="s">
        <v>3513</v>
      </c>
      <c r="R1" s="3496" t="s">
        <v>3514</v>
      </c>
      <c r="S1" s="3496" t="s">
        <v>3515</v>
      </c>
      <c r="T1" s="3496" t="s">
        <v>3516</v>
      </c>
      <c r="U1" s="3496" t="s">
        <v>3517</v>
      </c>
      <c r="V1" s="3496" t="s">
        <v>3518</v>
      </c>
      <c r="W1" s="3496" t="s">
        <v>3519</v>
      </c>
      <c r="X1" s="3496" t="s">
        <v>3520</v>
      </c>
      <c r="Y1" s="3496" t="s">
        <v>3521</v>
      </c>
      <c r="Z1" s="3496" t="s">
        <v>3522</v>
      </c>
      <c r="AA1" s="3496" t="s">
        <v>3523</v>
      </c>
      <c r="AB1" s="3496" t="s">
        <v>3524</v>
      </c>
      <c r="AC1" s="3496" t="s">
        <v>3525</v>
      </c>
      <c r="AD1" s="3496" t="s">
        <v>3526</v>
      </c>
      <c r="AE1" s="3499" t="s">
        <v>3527</v>
      </c>
      <c r="AF1" s="3496" t="s">
        <v>3528</v>
      </c>
      <c r="AG1" s="3496" t="s">
        <v>3529</v>
      </c>
      <c r="AH1" s="3496" t="s">
        <v>3530</v>
      </c>
      <c r="AI1" s="3496" t="s">
        <v>3531</v>
      </c>
      <c r="AJ1" s="3496" t="s">
        <v>3532</v>
      </c>
      <c r="AK1" s="3496" t="s">
        <v>3533</v>
      </c>
      <c r="AL1" s="3496" t="s">
        <v>3534</v>
      </c>
      <c r="AM1" s="3496" t="s">
        <v>3535</v>
      </c>
      <c r="AN1" s="3496" t="s">
        <v>3536</v>
      </c>
      <c r="AO1" s="3496" t="s">
        <v>3537</v>
      </c>
      <c r="AP1" s="3496" t="s">
        <v>3538</v>
      </c>
      <c r="AQ1" s="3496" t="s">
        <v>3539</v>
      </c>
      <c r="AR1" s="3496" t="s">
        <v>3540</v>
      </c>
      <c r="AS1" s="3496" t="s">
        <v>3541</v>
      </c>
      <c r="AT1" s="3496" t="s">
        <v>3542</v>
      </c>
      <c r="AU1" s="3496" t="s">
        <v>3543</v>
      </c>
      <c r="AV1" s="3496" t="s">
        <v>3544</v>
      </c>
      <c r="AW1" s="3496" t="s">
        <v>3545</v>
      </c>
      <c r="AX1" s="3496" t="s">
        <v>3546</v>
      </c>
      <c r="AY1" s="3496" t="s">
        <v>3547</v>
      </c>
      <c r="AZ1" s="3496" t="s">
        <v>3548</v>
      </c>
      <c r="BA1" s="3496" t="s">
        <v>3549</v>
      </c>
      <c r="BB1" s="3496" t="s">
        <v>3550</v>
      </c>
      <c r="BC1" s="3496" t="s">
        <v>3551</v>
      </c>
      <c r="BD1" s="3496" t="s">
        <v>3552</v>
      </c>
      <c r="BE1" s="3496" t="s">
        <v>3553</v>
      </c>
      <c r="BF1" s="3496" t="s">
        <v>3554</v>
      </c>
    </row>
    <row r="2" spans="1:58" s="3497" customFormat="1">
      <c r="A2" s="3497" t="s">
        <v>3555</v>
      </c>
      <c r="B2" s="3497" t="s">
        <v>3376</v>
      </c>
      <c r="C2" s="3497" t="s">
        <v>3556</v>
      </c>
      <c r="D2" s="3497" t="s">
        <v>3557</v>
      </c>
      <c r="E2" s="3497" t="s">
        <v>3558</v>
      </c>
      <c r="F2" s="3497" t="s">
        <v>3559</v>
      </c>
      <c r="G2" s="3497" t="s">
        <v>3560</v>
      </c>
      <c r="H2" s="3497" t="s">
        <v>3561</v>
      </c>
      <c r="I2" s="3497">
        <v>7467</v>
      </c>
      <c r="J2" s="3497">
        <v>52000</v>
      </c>
      <c r="K2" s="3497" t="s">
        <v>3562</v>
      </c>
      <c r="L2" s="3497">
        <v>7</v>
      </c>
      <c r="M2" s="3497" t="s">
        <v>3563</v>
      </c>
      <c r="N2" s="3497" t="s">
        <v>3564</v>
      </c>
      <c r="O2" s="3497" t="s">
        <v>3565</v>
      </c>
      <c r="P2" s="3497" t="s">
        <v>3566</v>
      </c>
      <c r="Q2" s="3497" t="s">
        <v>3567</v>
      </c>
      <c r="R2" s="3497" t="s">
        <v>3568</v>
      </c>
      <c r="S2" s="3497">
        <v>90</v>
      </c>
      <c r="T2" s="3497" t="s">
        <v>3568</v>
      </c>
      <c r="U2" s="3497" t="s">
        <v>3568</v>
      </c>
      <c r="V2" s="3497" t="s">
        <v>3568</v>
      </c>
      <c r="W2" s="3497" t="s">
        <v>3568</v>
      </c>
      <c r="X2" s="3497" t="s">
        <v>3568</v>
      </c>
      <c r="Y2" s="3497" t="s">
        <v>3568</v>
      </c>
      <c r="Z2" s="3497">
        <v>0</v>
      </c>
      <c r="AA2" s="3497">
        <v>0</v>
      </c>
      <c r="AB2" s="3497">
        <v>45254.000497685185</v>
      </c>
      <c r="AC2" s="3497">
        <v>45274.000497685185</v>
      </c>
      <c r="AD2" s="3497">
        <v>45288.000497685185</v>
      </c>
      <c r="AE2" s="3500">
        <v>45288.000497685185</v>
      </c>
      <c r="AF2" s="3497" t="s">
        <v>3569</v>
      </c>
      <c r="AG2" s="3497" t="s">
        <v>3570</v>
      </c>
      <c r="AH2" s="3497" t="s">
        <v>3571</v>
      </c>
      <c r="AI2" s="3497" t="s">
        <v>3572</v>
      </c>
      <c r="AJ2" s="3497" t="s">
        <v>3568</v>
      </c>
      <c r="AK2" s="3497">
        <v>118000</v>
      </c>
      <c r="AL2" s="3497">
        <v>24000</v>
      </c>
      <c r="AM2" s="3497" t="s">
        <v>3573</v>
      </c>
      <c r="AN2" s="3497">
        <v>118000</v>
      </c>
      <c r="AO2" s="3497">
        <v>158028.66</v>
      </c>
      <c r="AP2" s="3497">
        <v>158028.66</v>
      </c>
      <c r="AQ2" s="3497">
        <v>10535.24</v>
      </c>
      <c r="AR2" s="3497">
        <v>10535.24</v>
      </c>
      <c r="AS2" s="3497">
        <v>22692</v>
      </c>
      <c r="AT2" s="3497">
        <v>22692</v>
      </c>
      <c r="AU2" s="3497" t="s">
        <v>3568</v>
      </c>
      <c r="AV2" s="3497" t="s">
        <v>3568</v>
      </c>
      <c r="AW2" s="3497">
        <v>0</v>
      </c>
      <c r="AX2" s="3497" t="s">
        <v>3574</v>
      </c>
      <c r="AY2" s="3497" t="s">
        <v>3567</v>
      </c>
      <c r="AZ2" s="3497" t="s">
        <v>3568</v>
      </c>
      <c r="BA2" s="3497" t="s">
        <v>3567</v>
      </c>
      <c r="BB2" s="3497" t="s">
        <v>3568</v>
      </c>
      <c r="BC2" s="3497" t="s">
        <v>3568</v>
      </c>
      <c r="BD2" s="3497" t="s">
        <v>3568</v>
      </c>
      <c r="BE2" s="3497" t="s">
        <v>3568</v>
      </c>
      <c r="BF2" s="3497" t="s">
        <v>3575</v>
      </c>
    </row>
    <row r="3" spans="1:58">
      <c r="A3" s="3496" t="s">
        <v>3576</v>
      </c>
      <c r="B3" s="3496" t="s">
        <v>3376</v>
      </c>
      <c r="C3" s="3496" t="s">
        <v>3577</v>
      </c>
      <c r="D3" s="3496" t="s">
        <v>3557</v>
      </c>
      <c r="E3" s="3496" t="s">
        <v>3578</v>
      </c>
      <c r="F3" s="3496" t="s">
        <v>3579</v>
      </c>
      <c r="G3" s="3496" t="s">
        <v>3580</v>
      </c>
      <c r="H3" s="3496" t="s">
        <v>3561</v>
      </c>
      <c r="I3" s="3496">
        <v>49900.54</v>
      </c>
      <c r="J3" s="3496">
        <v>109781.19</v>
      </c>
      <c r="K3" s="3496">
        <v>2.2000000000000002</v>
      </c>
      <c r="L3" s="3496">
        <v>2.2000000000000002</v>
      </c>
      <c r="M3" s="3496" t="s">
        <v>3563</v>
      </c>
      <c r="N3" s="3496" t="s">
        <v>3581</v>
      </c>
      <c r="O3" s="3496" t="s">
        <v>3582</v>
      </c>
      <c r="P3" s="3496" t="s">
        <v>3566</v>
      </c>
      <c r="Q3" s="3496" t="s">
        <v>3567</v>
      </c>
      <c r="R3" s="3496" t="s">
        <v>3568</v>
      </c>
      <c r="S3" s="3496">
        <v>45</v>
      </c>
      <c r="T3" s="3496" t="s">
        <v>3568</v>
      </c>
      <c r="U3" s="3496" t="s">
        <v>3568</v>
      </c>
      <c r="V3" s="3496" t="s">
        <v>3568</v>
      </c>
      <c r="W3" s="3496" t="s">
        <v>3568</v>
      </c>
      <c r="X3" s="3496" t="s">
        <v>3568</v>
      </c>
      <c r="Y3" s="3496" t="s">
        <v>3568</v>
      </c>
      <c r="Z3" s="3496">
        <v>0</v>
      </c>
      <c r="AA3" s="3496">
        <v>0</v>
      </c>
      <c r="AB3" s="3496">
        <v>45107.000497685185</v>
      </c>
      <c r="AC3" s="3496">
        <v>45127.000497685185</v>
      </c>
      <c r="AD3" s="3496">
        <v>45141.000497685185</v>
      </c>
      <c r="AE3" s="3499">
        <v>45141.000497685185</v>
      </c>
      <c r="AF3" s="3496" t="s">
        <v>3583</v>
      </c>
      <c r="AG3" s="3496" t="s">
        <v>3570</v>
      </c>
      <c r="AH3" s="3496" t="s">
        <v>3584</v>
      </c>
      <c r="AI3" s="3496" t="s">
        <v>3585</v>
      </c>
      <c r="AJ3" s="3496" t="s">
        <v>3568</v>
      </c>
      <c r="AK3" s="3496">
        <v>227000</v>
      </c>
      <c r="AL3" s="3496">
        <v>46000</v>
      </c>
      <c r="AM3" s="3496" t="s">
        <v>3586</v>
      </c>
      <c r="AN3" s="3496">
        <v>227000</v>
      </c>
      <c r="AO3" s="3496">
        <v>45490.49</v>
      </c>
      <c r="AP3" s="3496">
        <v>45490.49</v>
      </c>
      <c r="AQ3" s="3496">
        <v>3032.7</v>
      </c>
      <c r="AR3" s="3496">
        <v>3032.7</v>
      </c>
      <c r="AS3" s="3496">
        <v>20677</v>
      </c>
      <c r="AT3" s="3496">
        <v>20677</v>
      </c>
      <c r="AU3" s="3496" t="s">
        <v>3568</v>
      </c>
      <c r="AV3" s="3496" t="s">
        <v>3568</v>
      </c>
      <c r="AW3" s="3496">
        <v>0</v>
      </c>
      <c r="AX3" s="3496" t="s">
        <v>3587</v>
      </c>
      <c r="AY3" s="3496" t="s">
        <v>3567</v>
      </c>
      <c r="AZ3" s="3496" t="s">
        <v>3568</v>
      </c>
      <c r="BA3" s="3496" t="s">
        <v>3567</v>
      </c>
      <c r="BB3" s="3496" t="s">
        <v>3568</v>
      </c>
      <c r="BC3" s="3496" t="s">
        <v>3568</v>
      </c>
      <c r="BD3" s="3496" t="s">
        <v>3568</v>
      </c>
      <c r="BE3" s="3496" t="s">
        <v>3568</v>
      </c>
      <c r="BF3" s="3496" t="s">
        <v>3588</v>
      </c>
    </row>
    <row r="4" spans="1:58" s="3498" customFormat="1">
      <c r="A4" s="3498" t="s">
        <v>3589</v>
      </c>
      <c r="B4" s="3498" t="s">
        <v>3376</v>
      </c>
      <c r="C4" s="3498" t="s">
        <v>3590</v>
      </c>
      <c r="D4" s="3498" t="s">
        <v>3557</v>
      </c>
      <c r="E4" s="3498" t="s">
        <v>3591</v>
      </c>
      <c r="F4" s="3498" t="s">
        <v>3592</v>
      </c>
      <c r="G4" s="3498" t="s">
        <v>3593</v>
      </c>
      <c r="H4" s="3498" t="s">
        <v>3561</v>
      </c>
      <c r="I4" s="3498">
        <v>10610.35</v>
      </c>
      <c r="J4" s="3498">
        <v>47747</v>
      </c>
      <c r="K4" s="3498">
        <v>4.5</v>
      </c>
      <c r="L4" s="3498">
        <v>4.5</v>
      </c>
      <c r="M4" s="3498" t="s">
        <v>3563</v>
      </c>
      <c r="N4" s="3498" t="s">
        <v>3564</v>
      </c>
      <c r="O4" s="3498" t="s">
        <v>3565</v>
      </c>
      <c r="P4" s="3498" t="s">
        <v>3566</v>
      </c>
      <c r="Q4" s="3498" t="s">
        <v>3567</v>
      </c>
      <c r="R4" s="3498" t="s">
        <v>3568</v>
      </c>
      <c r="S4" s="3498" t="s">
        <v>3568</v>
      </c>
      <c r="T4" s="3498" t="s">
        <v>3568</v>
      </c>
      <c r="U4" s="3498" t="s">
        <v>3568</v>
      </c>
      <c r="V4" s="3498" t="s">
        <v>3568</v>
      </c>
      <c r="W4" s="3498" t="s">
        <v>3568</v>
      </c>
      <c r="X4" s="3498" t="s">
        <v>3568</v>
      </c>
      <c r="Y4" s="3498" t="s">
        <v>3568</v>
      </c>
      <c r="Z4" s="3498">
        <v>0</v>
      </c>
      <c r="AA4" s="3498">
        <v>0</v>
      </c>
      <c r="AB4" s="3498">
        <v>45079.000497685185</v>
      </c>
      <c r="AC4" s="3498">
        <v>45102.000497685185</v>
      </c>
      <c r="AD4" s="3498">
        <v>45114.000497685185</v>
      </c>
      <c r="AE4" s="3501">
        <v>45114.000497685185</v>
      </c>
      <c r="AF4" s="3498" t="s">
        <v>3594</v>
      </c>
      <c r="AG4" s="3498" t="s">
        <v>3570</v>
      </c>
      <c r="AH4" s="3498" t="s">
        <v>3595</v>
      </c>
      <c r="AI4" s="3498" t="s">
        <v>3596</v>
      </c>
      <c r="AJ4" s="3498" t="s">
        <v>3597</v>
      </c>
      <c r="AK4" s="3498">
        <v>134000</v>
      </c>
      <c r="AL4" s="3498">
        <v>27000</v>
      </c>
      <c r="AM4" s="3498" t="s">
        <v>3598</v>
      </c>
      <c r="AN4" s="3498">
        <v>134000</v>
      </c>
      <c r="AO4" s="3498">
        <v>126291.78</v>
      </c>
      <c r="AP4" s="3498">
        <v>126291.78</v>
      </c>
      <c r="AQ4" s="3498">
        <v>8419.4500000000007</v>
      </c>
      <c r="AR4" s="3498">
        <v>8419.4500000000007</v>
      </c>
      <c r="AS4" s="3498">
        <v>28065</v>
      </c>
      <c r="AT4" s="3498">
        <v>28065</v>
      </c>
      <c r="AU4" s="3498" t="s">
        <v>3568</v>
      </c>
      <c r="AV4" s="3498" t="s">
        <v>3568</v>
      </c>
      <c r="AW4" s="3498">
        <v>0</v>
      </c>
      <c r="AX4" s="3498" t="s">
        <v>3587</v>
      </c>
      <c r="AY4" s="3498" t="s">
        <v>3567</v>
      </c>
      <c r="AZ4" s="3498" t="s">
        <v>3568</v>
      </c>
      <c r="BA4" s="3498" t="s">
        <v>3567</v>
      </c>
      <c r="BB4" s="3498" t="s">
        <v>3568</v>
      </c>
      <c r="BC4" s="3498" t="s">
        <v>3568</v>
      </c>
      <c r="BD4" s="3498" t="s">
        <v>3568</v>
      </c>
      <c r="BE4" s="3498" t="s">
        <v>3568</v>
      </c>
      <c r="BF4" s="3498" t="s">
        <v>3588</v>
      </c>
    </row>
    <row r="5" spans="1:58" s="3498" customFormat="1">
      <c r="A5" s="3498" t="s">
        <v>3599</v>
      </c>
      <c r="B5" s="3498" t="s">
        <v>3376</v>
      </c>
      <c r="C5" s="3498" t="s">
        <v>3600</v>
      </c>
      <c r="D5" s="3498" t="s">
        <v>3557</v>
      </c>
      <c r="E5" s="3498" t="s">
        <v>3558</v>
      </c>
      <c r="F5" s="3498" t="s">
        <v>3601</v>
      </c>
      <c r="G5" s="3498" t="s">
        <v>3560</v>
      </c>
      <c r="H5" s="3498" t="s">
        <v>3561</v>
      </c>
      <c r="I5" s="3498">
        <v>67829.210000000006</v>
      </c>
      <c r="J5" s="3498">
        <v>298100</v>
      </c>
      <c r="K5" s="3498">
        <v>4.4000000000000004</v>
      </c>
      <c r="L5" s="3498">
        <v>4.4000000000000004</v>
      </c>
      <c r="M5" s="3498" t="s">
        <v>3563</v>
      </c>
      <c r="N5" s="3498" t="s">
        <v>3602</v>
      </c>
      <c r="O5" s="3498" t="s">
        <v>3603</v>
      </c>
      <c r="P5" s="3498" t="s">
        <v>3566</v>
      </c>
      <c r="Q5" s="3498" t="s">
        <v>3567</v>
      </c>
      <c r="R5" s="3498" t="s">
        <v>3568</v>
      </c>
      <c r="S5" s="3498" t="s">
        <v>3568</v>
      </c>
      <c r="T5" s="3498" t="s">
        <v>3568</v>
      </c>
      <c r="U5" s="3498" t="s">
        <v>3568</v>
      </c>
      <c r="V5" s="3498" t="s">
        <v>3568</v>
      </c>
      <c r="W5" s="3498" t="s">
        <v>3568</v>
      </c>
      <c r="X5" s="3498" t="s">
        <v>3568</v>
      </c>
      <c r="Y5" s="3498" t="s">
        <v>3568</v>
      </c>
      <c r="Z5" s="3498">
        <v>0</v>
      </c>
      <c r="AA5" s="3498">
        <v>0</v>
      </c>
      <c r="AB5" s="3498">
        <v>45056.000497685185</v>
      </c>
      <c r="AC5" s="3498">
        <v>45076.000497685185</v>
      </c>
      <c r="AD5" s="3498">
        <v>45090.000497685185</v>
      </c>
      <c r="AE5" s="3501">
        <v>45090.000497685185</v>
      </c>
      <c r="AF5" s="3498" t="s">
        <v>3604</v>
      </c>
      <c r="AG5" s="3498" t="s">
        <v>3570</v>
      </c>
      <c r="AH5" s="3498" t="s">
        <v>3605</v>
      </c>
      <c r="AI5" s="3498" t="s">
        <v>3606</v>
      </c>
      <c r="AJ5" s="3498" t="s">
        <v>3607</v>
      </c>
      <c r="AK5" s="3498">
        <v>680000</v>
      </c>
      <c r="AL5" s="3498">
        <v>136000</v>
      </c>
      <c r="AM5" s="3498" t="s">
        <v>3608</v>
      </c>
      <c r="AN5" s="3498">
        <v>680000</v>
      </c>
      <c r="AO5" s="3498">
        <v>100251.8</v>
      </c>
      <c r="AP5" s="3498">
        <v>100251.8</v>
      </c>
      <c r="AQ5" s="3498">
        <v>6683.45</v>
      </c>
      <c r="AR5" s="3498">
        <v>6683.45</v>
      </c>
      <c r="AS5" s="3498">
        <v>22811</v>
      </c>
      <c r="AT5" s="3498">
        <v>22811</v>
      </c>
      <c r="AU5" s="3498" t="s">
        <v>3568</v>
      </c>
      <c r="AV5" s="3498" t="s">
        <v>3568</v>
      </c>
      <c r="AW5" s="3498">
        <v>0</v>
      </c>
      <c r="AX5" s="3498" t="s">
        <v>3587</v>
      </c>
      <c r="AY5" s="3498" t="s">
        <v>3567</v>
      </c>
      <c r="AZ5" s="3498" t="s">
        <v>3568</v>
      </c>
      <c r="BA5" s="3498" t="s">
        <v>3567</v>
      </c>
      <c r="BB5" s="3498" t="s">
        <v>3568</v>
      </c>
      <c r="BC5" s="3498" t="s">
        <v>3568</v>
      </c>
      <c r="BD5" s="3498" t="s">
        <v>3568</v>
      </c>
      <c r="BE5" s="3498" t="s">
        <v>3568</v>
      </c>
      <c r="BF5" s="3498" t="s">
        <v>3588</v>
      </c>
    </row>
    <row r="6" spans="1:58" s="3498" customFormat="1">
      <c r="A6" s="3498" t="s">
        <v>3609</v>
      </c>
      <c r="B6" s="3498" t="s">
        <v>3376</v>
      </c>
      <c r="C6" s="3498" t="s">
        <v>3610</v>
      </c>
      <c r="D6" s="3498" t="s">
        <v>3557</v>
      </c>
      <c r="E6" s="3498" t="s">
        <v>3591</v>
      </c>
      <c r="F6" s="3498" t="s">
        <v>3611</v>
      </c>
      <c r="G6" s="3498" t="s">
        <v>3612</v>
      </c>
      <c r="H6" s="3498" t="s">
        <v>3561</v>
      </c>
      <c r="I6" s="3498">
        <v>62796.800000000003</v>
      </c>
      <c r="J6" s="3498">
        <v>275500</v>
      </c>
      <c r="K6" s="3498">
        <v>4.3899999999999997</v>
      </c>
      <c r="L6" s="3498">
        <v>4.3899999999999997</v>
      </c>
      <c r="M6" s="3498" t="s">
        <v>3563</v>
      </c>
      <c r="N6" s="3498" t="s">
        <v>3581</v>
      </c>
      <c r="O6" s="3498" t="s">
        <v>3565</v>
      </c>
      <c r="P6" s="3498" t="s">
        <v>3566</v>
      </c>
      <c r="Q6" s="3498" t="s">
        <v>3567</v>
      </c>
      <c r="R6" s="3498" t="s">
        <v>3568</v>
      </c>
      <c r="S6" s="3498" t="s">
        <v>3568</v>
      </c>
      <c r="T6" s="3498" t="s">
        <v>3568</v>
      </c>
      <c r="U6" s="3498" t="s">
        <v>3568</v>
      </c>
      <c r="V6" s="3498" t="s">
        <v>3568</v>
      </c>
      <c r="W6" s="3498" t="s">
        <v>3568</v>
      </c>
      <c r="X6" s="3498" t="s">
        <v>3568</v>
      </c>
      <c r="Y6" s="3498" t="s">
        <v>3568</v>
      </c>
      <c r="Z6" s="3498">
        <v>0</v>
      </c>
      <c r="AA6" s="3498">
        <v>0</v>
      </c>
      <c r="AB6" s="3498">
        <v>44946.000497685185</v>
      </c>
      <c r="AC6" s="3498">
        <v>44966.000497685185</v>
      </c>
      <c r="AD6" s="3498">
        <v>44980.000497685185</v>
      </c>
      <c r="AE6" s="3501">
        <v>44980.000497685185</v>
      </c>
      <c r="AF6" s="3498" t="s">
        <v>3613</v>
      </c>
      <c r="AG6" s="3498" t="s">
        <v>3570</v>
      </c>
      <c r="AH6" s="3498" t="s">
        <v>3614</v>
      </c>
      <c r="AI6" s="3498" t="s">
        <v>3615</v>
      </c>
      <c r="AJ6" s="3498" t="s">
        <v>3616</v>
      </c>
      <c r="AK6" s="3498">
        <v>635800</v>
      </c>
      <c r="AL6" s="3498">
        <v>127500</v>
      </c>
      <c r="AM6" s="3498" t="s">
        <v>3617</v>
      </c>
      <c r="AN6" s="3498">
        <v>635800</v>
      </c>
      <c r="AO6" s="3498">
        <v>101247.19</v>
      </c>
      <c r="AP6" s="3498">
        <v>101247.19</v>
      </c>
      <c r="AQ6" s="3498">
        <v>6749.81</v>
      </c>
      <c r="AR6" s="3498">
        <v>6749.81</v>
      </c>
      <c r="AS6" s="3498">
        <v>23078</v>
      </c>
      <c r="AT6" s="3498">
        <v>23078</v>
      </c>
      <c r="AU6" s="3498" t="s">
        <v>3568</v>
      </c>
      <c r="AV6" s="3498" t="s">
        <v>3568</v>
      </c>
      <c r="AW6" s="3498">
        <v>0</v>
      </c>
      <c r="AX6" s="3498" t="s">
        <v>3587</v>
      </c>
      <c r="AY6" s="3498" t="s">
        <v>3567</v>
      </c>
      <c r="AZ6" s="3498" t="s">
        <v>3568</v>
      </c>
      <c r="BA6" s="3498" t="s">
        <v>3567</v>
      </c>
      <c r="BB6" s="3498" t="s">
        <v>3568</v>
      </c>
      <c r="BC6" s="3498" t="s">
        <v>3568</v>
      </c>
      <c r="BD6" s="3498" t="s">
        <v>3568</v>
      </c>
      <c r="BE6" s="3498" t="s">
        <v>3568</v>
      </c>
      <c r="BF6" s="3498" t="s">
        <v>3588</v>
      </c>
    </row>
    <row r="7" spans="1:58">
      <c r="A7" s="3496" t="s">
        <v>3618</v>
      </c>
      <c r="B7" s="3496" t="s">
        <v>3376</v>
      </c>
      <c r="C7" s="3496" t="s">
        <v>3619</v>
      </c>
      <c r="D7" s="3496" t="s">
        <v>3557</v>
      </c>
      <c r="E7" s="3496" t="s">
        <v>3578</v>
      </c>
      <c r="F7" s="3496" t="s">
        <v>3579</v>
      </c>
      <c r="G7" s="3496" t="s">
        <v>3620</v>
      </c>
      <c r="H7" s="3496" t="s">
        <v>3561</v>
      </c>
      <c r="I7" s="3496">
        <v>32733.22</v>
      </c>
      <c r="J7" s="3496">
        <v>72013.08</v>
      </c>
      <c r="K7" s="3496">
        <v>2.2000000000000002</v>
      </c>
      <c r="L7" s="3496">
        <v>2.2000000000000002</v>
      </c>
      <c r="M7" s="3496" t="s">
        <v>3563</v>
      </c>
      <c r="N7" s="3496" t="s">
        <v>3581</v>
      </c>
      <c r="O7" s="3496" t="s">
        <v>3582</v>
      </c>
      <c r="P7" s="3496" t="s">
        <v>3566</v>
      </c>
      <c r="Q7" s="3496" t="s">
        <v>3567</v>
      </c>
      <c r="R7" s="3496" t="s">
        <v>3568</v>
      </c>
      <c r="S7" s="3496" t="s">
        <v>3568</v>
      </c>
      <c r="T7" s="3496" t="s">
        <v>3568</v>
      </c>
      <c r="U7" s="3496" t="s">
        <v>3568</v>
      </c>
      <c r="V7" s="3496" t="s">
        <v>3568</v>
      </c>
      <c r="W7" s="3496" t="s">
        <v>3568</v>
      </c>
      <c r="X7" s="3496" t="s">
        <v>3568</v>
      </c>
      <c r="Y7" s="3496" t="s">
        <v>3568</v>
      </c>
      <c r="Z7" s="3496">
        <v>0</v>
      </c>
      <c r="AA7" s="3496">
        <v>0</v>
      </c>
      <c r="AB7" s="3496">
        <v>44830.000497685185</v>
      </c>
      <c r="AC7" s="3496">
        <v>44851.000497685185</v>
      </c>
      <c r="AD7" s="3496">
        <v>44865.000497685185</v>
      </c>
      <c r="AE7" s="3499">
        <v>44865.000497685185</v>
      </c>
      <c r="AF7" s="3496" t="s">
        <v>3621</v>
      </c>
      <c r="AG7" s="3496" t="s">
        <v>3570</v>
      </c>
      <c r="AH7" s="3496" t="s">
        <v>3622</v>
      </c>
      <c r="AI7" s="3496" t="s">
        <v>3623</v>
      </c>
      <c r="AJ7" s="3496" t="s">
        <v>3607</v>
      </c>
      <c r="AK7" s="3496">
        <v>149000</v>
      </c>
      <c r="AL7" s="3496">
        <v>30000</v>
      </c>
      <c r="AM7" s="3496" t="s">
        <v>3624</v>
      </c>
      <c r="AN7" s="3496">
        <v>149000</v>
      </c>
      <c r="AO7" s="3496">
        <v>45519.5</v>
      </c>
      <c r="AP7" s="3496">
        <v>45519.5</v>
      </c>
      <c r="AQ7" s="3496">
        <v>3034.63</v>
      </c>
      <c r="AR7" s="3496">
        <v>3034.63</v>
      </c>
      <c r="AS7" s="3496">
        <v>20691</v>
      </c>
      <c r="AT7" s="3496">
        <v>20691</v>
      </c>
      <c r="AU7" s="3496" t="s">
        <v>3568</v>
      </c>
      <c r="AV7" s="3496" t="s">
        <v>3568</v>
      </c>
      <c r="AW7" s="3496">
        <v>0</v>
      </c>
      <c r="AX7" s="3496" t="s">
        <v>3587</v>
      </c>
      <c r="AY7" s="3496" t="s">
        <v>3567</v>
      </c>
      <c r="AZ7" s="3496" t="s">
        <v>3568</v>
      </c>
      <c r="BA7" s="3496" t="s">
        <v>3567</v>
      </c>
      <c r="BB7" s="3496" t="s">
        <v>3568</v>
      </c>
      <c r="BC7" s="3496" t="s">
        <v>3568</v>
      </c>
      <c r="BD7" s="3496" t="s">
        <v>3568</v>
      </c>
      <c r="BE7" s="3496" t="s">
        <v>3568</v>
      </c>
      <c r="BF7" s="3496" t="s">
        <v>3588</v>
      </c>
    </row>
    <row r="8" spans="1:58">
      <c r="A8" s="3496" t="s">
        <v>3625</v>
      </c>
      <c r="B8" s="3496" t="s">
        <v>3376</v>
      </c>
      <c r="C8" s="3496" t="s">
        <v>3626</v>
      </c>
      <c r="D8" s="3496" t="s">
        <v>3557</v>
      </c>
      <c r="E8" s="3496" t="s">
        <v>3578</v>
      </c>
      <c r="F8" s="3496" t="s">
        <v>3579</v>
      </c>
      <c r="G8" s="3496" t="s">
        <v>3620</v>
      </c>
      <c r="H8" s="3496" t="s">
        <v>3561</v>
      </c>
      <c r="I8" s="3496">
        <v>29506.55</v>
      </c>
      <c r="J8" s="3496">
        <v>64914.41</v>
      </c>
      <c r="K8" s="3496">
        <v>2.2000000000000002</v>
      </c>
      <c r="L8" s="3496">
        <v>2.2000000000000002</v>
      </c>
      <c r="M8" s="3496" t="s">
        <v>3563</v>
      </c>
      <c r="N8" s="3496" t="s">
        <v>3581</v>
      </c>
      <c r="O8" s="3496" t="s">
        <v>3582</v>
      </c>
      <c r="P8" s="3496" t="s">
        <v>3566</v>
      </c>
      <c r="Q8" s="3496" t="s">
        <v>3567</v>
      </c>
      <c r="R8" s="3496" t="s">
        <v>3568</v>
      </c>
      <c r="S8" s="3496" t="s">
        <v>3568</v>
      </c>
      <c r="T8" s="3496" t="s">
        <v>3568</v>
      </c>
      <c r="U8" s="3496" t="s">
        <v>3568</v>
      </c>
      <c r="V8" s="3496" t="s">
        <v>3568</v>
      </c>
      <c r="W8" s="3496" t="s">
        <v>3568</v>
      </c>
      <c r="X8" s="3496" t="s">
        <v>3568</v>
      </c>
      <c r="Y8" s="3496" t="s">
        <v>3568</v>
      </c>
      <c r="Z8" s="3496">
        <v>0</v>
      </c>
      <c r="AA8" s="3496">
        <v>0</v>
      </c>
      <c r="AB8" s="3496">
        <v>44830.000497685185</v>
      </c>
      <c r="AC8" s="3496">
        <v>44851.000497685185</v>
      </c>
      <c r="AD8" s="3496">
        <v>44865.000497685185</v>
      </c>
      <c r="AE8" s="3499">
        <v>44865.000497685185</v>
      </c>
      <c r="AF8" s="3496" t="s">
        <v>3627</v>
      </c>
      <c r="AG8" s="3496" t="s">
        <v>3570</v>
      </c>
      <c r="AH8" s="3496" t="s">
        <v>3628</v>
      </c>
      <c r="AI8" s="3496" t="s">
        <v>3623</v>
      </c>
      <c r="AJ8" s="3496" t="s">
        <v>3607</v>
      </c>
      <c r="AK8" s="3496">
        <v>135000</v>
      </c>
      <c r="AL8" s="3496">
        <v>27000</v>
      </c>
      <c r="AM8" s="3496" t="s">
        <v>3624</v>
      </c>
      <c r="AN8" s="3496">
        <v>135000</v>
      </c>
      <c r="AO8" s="3496">
        <v>45752.55</v>
      </c>
      <c r="AP8" s="3496">
        <v>45752.55</v>
      </c>
      <c r="AQ8" s="3496">
        <v>3050.17</v>
      </c>
      <c r="AR8" s="3496">
        <v>3050.17</v>
      </c>
      <c r="AS8" s="3496">
        <v>20797</v>
      </c>
      <c r="AT8" s="3496">
        <v>20797</v>
      </c>
      <c r="AU8" s="3496" t="s">
        <v>3568</v>
      </c>
      <c r="AV8" s="3496" t="s">
        <v>3568</v>
      </c>
      <c r="AW8" s="3496">
        <v>0</v>
      </c>
      <c r="AX8" s="3496" t="s">
        <v>3587</v>
      </c>
      <c r="AY8" s="3496" t="s">
        <v>3567</v>
      </c>
      <c r="AZ8" s="3496" t="s">
        <v>3568</v>
      </c>
      <c r="BA8" s="3496" t="s">
        <v>3567</v>
      </c>
      <c r="BB8" s="3496" t="s">
        <v>3568</v>
      </c>
      <c r="BC8" s="3496" t="s">
        <v>3568</v>
      </c>
      <c r="BD8" s="3496" t="s">
        <v>3568</v>
      </c>
      <c r="BE8" s="3496" t="s">
        <v>3568</v>
      </c>
      <c r="BF8" s="3496" t="s">
        <v>3588</v>
      </c>
    </row>
    <row r="9" spans="1:58">
      <c r="A9" s="3496" t="s">
        <v>3629</v>
      </c>
      <c r="B9" s="3496" t="s">
        <v>3376</v>
      </c>
      <c r="C9" s="3496" t="s">
        <v>3630</v>
      </c>
      <c r="D9" s="3496" t="s">
        <v>3557</v>
      </c>
      <c r="E9" s="3496" t="s">
        <v>3558</v>
      </c>
      <c r="F9" s="3496" t="s">
        <v>3601</v>
      </c>
      <c r="G9" s="3496" t="s">
        <v>3560</v>
      </c>
      <c r="H9" s="3496" t="s">
        <v>3561</v>
      </c>
      <c r="I9" s="3496">
        <v>12629.88</v>
      </c>
      <c r="J9" s="3496">
        <v>80000</v>
      </c>
      <c r="K9" s="3496" t="s">
        <v>3631</v>
      </c>
      <c r="L9" s="3496">
        <v>6.33</v>
      </c>
      <c r="M9" s="3496" t="s">
        <v>3563</v>
      </c>
      <c r="N9" s="3496" t="s">
        <v>3581</v>
      </c>
      <c r="O9" s="3496" t="s">
        <v>3565</v>
      </c>
      <c r="P9" s="3496" t="s">
        <v>3566</v>
      </c>
      <c r="Q9" s="3496" t="s">
        <v>3567</v>
      </c>
      <c r="R9" s="3496">
        <v>0.4</v>
      </c>
      <c r="S9" s="3496" t="s">
        <v>3568</v>
      </c>
      <c r="T9" s="3496" t="s">
        <v>3568</v>
      </c>
      <c r="U9" s="3496" t="s">
        <v>3568</v>
      </c>
      <c r="V9" s="3496" t="s">
        <v>3568</v>
      </c>
      <c r="W9" s="3496" t="s">
        <v>3568</v>
      </c>
      <c r="X9" s="3496">
        <v>0</v>
      </c>
      <c r="Y9" s="3496">
        <v>0</v>
      </c>
      <c r="Z9" s="3496">
        <v>0</v>
      </c>
      <c r="AA9" s="3496">
        <v>0</v>
      </c>
      <c r="AB9" s="3496">
        <v>44764.000497685185</v>
      </c>
      <c r="AC9" s="3496">
        <v>44784.000497685185</v>
      </c>
      <c r="AD9" s="3496">
        <v>44798.000497685185</v>
      </c>
      <c r="AE9" s="3499">
        <v>44798.000497685185</v>
      </c>
      <c r="AF9" s="3496" t="s">
        <v>3632</v>
      </c>
      <c r="AG9" s="3496" t="s">
        <v>3570</v>
      </c>
      <c r="AH9" s="3496" t="s">
        <v>3633</v>
      </c>
      <c r="AI9" s="3496" t="s">
        <v>3634</v>
      </c>
      <c r="AJ9" s="3496" t="s">
        <v>3635</v>
      </c>
      <c r="AK9" s="3496">
        <v>166000</v>
      </c>
      <c r="AL9" s="3496">
        <v>34000</v>
      </c>
      <c r="AM9" s="3496" t="s">
        <v>3636</v>
      </c>
      <c r="AN9" s="3496">
        <v>166000</v>
      </c>
      <c r="AO9" s="3496">
        <v>131434.34</v>
      </c>
      <c r="AP9" s="3496">
        <v>131434.34</v>
      </c>
      <c r="AQ9" s="3496">
        <v>8762.2900000000009</v>
      </c>
      <c r="AR9" s="3496">
        <v>8762.2900000000009</v>
      </c>
      <c r="AS9" s="3496">
        <v>20750</v>
      </c>
      <c r="AT9" s="3496">
        <v>20750</v>
      </c>
      <c r="AU9" s="3496" t="s">
        <v>3568</v>
      </c>
      <c r="AV9" s="3496" t="s">
        <v>3568</v>
      </c>
      <c r="AW9" s="3496">
        <v>0</v>
      </c>
      <c r="AX9" s="3496" t="s">
        <v>3587</v>
      </c>
      <c r="AY9" s="3496" t="s">
        <v>3567</v>
      </c>
      <c r="AZ9" s="3496" t="s">
        <v>3568</v>
      </c>
      <c r="BA9" s="3496" t="s">
        <v>3567</v>
      </c>
      <c r="BB9" s="3496" t="s">
        <v>3568</v>
      </c>
      <c r="BC9" s="3496" t="s">
        <v>3568</v>
      </c>
      <c r="BD9" s="3496">
        <v>-20750</v>
      </c>
      <c r="BE9" s="3496">
        <v>0</v>
      </c>
      <c r="BF9" s="3496" t="s">
        <v>3588</v>
      </c>
    </row>
    <row r="10" spans="1:58">
      <c r="A10" s="3496" t="s">
        <v>3637</v>
      </c>
      <c r="B10" s="3496" t="s">
        <v>3376</v>
      </c>
      <c r="C10" s="3496" t="s">
        <v>3638</v>
      </c>
      <c r="D10" s="3496" t="s">
        <v>3557</v>
      </c>
      <c r="E10" s="3496" t="s">
        <v>3578</v>
      </c>
      <c r="F10" s="3496" t="s">
        <v>3579</v>
      </c>
      <c r="G10" s="3496" t="s">
        <v>3639</v>
      </c>
      <c r="H10" s="3496" t="s">
        <v>3561</v>
      </c>
      <c r="I10" s="3496">
        <v>38252.550000000003</v>
      </c>
      <c r="J10" s="3496">
        <v>84155.61</v>
      </c>
      <c r="K10" s="3496">
        <v>2.2000000000000002</v>
      </c>
      <c r="L10" s="3496">
        <v>2.2000000000000002</v>
      </c>
      <c r="M10" s="3496" t="s">
        <v>3563</v>
      </c>
      <c r="N10" s="3496" t="s">
        <v>3581</v>
      </c>
      <c r="O10" s="3496" t="s">
        <v>3582</v>
      </c>
      <c r="P10" s="3496" t="s">
        <v>3566</v>
      </c>
      <c r="Q10" s="3496" t="s">
        <v>3567</v>
      </c>
      <c r="R10" s="3496" t="s">
        <v>3568</v>
      </c>
      <c r="S10" s="3496">
        <v>45</v>
      </c>
      <c r="T10" s="3496" t="s">
        <v>3568</v>
      </c>
      <c r="U10" s="3496" t="s">
        <v>3568</v>
      </c>
      <c r="V10" s="3496" t="s">
        <v>3568</v>
      </c>
      <c r="W10" s="3496" t="s">
        <v>3568</v>
      </c>
      <c r="X10" s="3496" t="s">
        <v>3568</v>
      </c>
      <c r="Y10" s="3496" t="s">
        <v>3568</v>
      </c>
      <c r="Z10" s="3496">
        <v>0</v>
      </c>
      <c r="AA10" s="3496">
        <v>0</v>
      </c>
      <c r="AB10" s="3496">
        <v>44457.000497685185</v>
      </c>
      <c r="AC10" s="3496">
        <v>44481.000497685185</v>
      </c>
      <c r="AD10" s="3496">
        <v>44495.000497685185</v>
      </c>
      <c r="AE10" s="3499">
        <v>44495.000497685185</v>
      </c>
      <c r="AF10" s="3496" t="s">
        <v>3640</v>
      </c>
      <c r="AG10" s="3496" t="s">
        <v>3570</v>
      </c>
      <c r="AH10" s="3496" t="s">
        <v>3641</v>
      </c>
      <c r="AI10" s="3496" t="s">
        <v>3568</v>
      </c>
      <c r="AJ10" s="3496" t="s">
        <v>3568</v>
      </c>
      <c r="AK10" s="3496">
        <v>175000</v>
      </c>
      <c r="AL10" s="3496">
        <v>35000</v>
      </c>
      <c r="AM10" s="3496" t="s">
        <v>3642</v>
      </c>
      <c r="AN10" s="3496">
        <v>175000</v>
      </c>
      <c r="AO10" s="3496">
        <v>45748.58</v>
      </c>
      <c r="AP10" s="3496">
        <v>45748.58</v>
      </c>
      <c r="AQ10" s="3496">
        <v>3049.91</v>
      </c>
      <c r="AR10" s="3496">
        <v>3049.91</v>
      </c>
      <c r="AS10" s="3496">
        <v>20795</v>
      </c>
      <c r="AT10" s="3496">
        <v>20795</v>
      </c>
      <c r="AU10" s="3496" t="s">
        <v>3568</v>
      </c>
      <c r="AV10" s="3496" t="s">
        <v>3568</v>
      </c>
      <c r="AW10" s="3496">
        <v>0</v>
      </c>
      <c r="AX10" s="3496" t="s">
        <v>3643</v>
      </c>
      <c r="AY10" s="3496" t="s">
        <v>3567</v>
      </c>
      <c r="AZ10" s="3496" t="s">
        <v>3568</v>
      </c>
      <c r="BA10" s="3496" t="s">
        <v>3567</v>
      </c>
      <c r="BB10" s="3496" t="s">
        <v>3568</v>
      </c>
      <c r="BC10" s="3496" t="s">
        <v>3568</v>
      </c>
      <c r="BD10" s="3496" t="s">
        <v>3568</v>
      </c>
      <c r="BE10" s="3496" t="s">
        <v>3568</v>
      </c>
      <c r="BF10" s="3496" t="s">
        <v>3644</v>
      </c>
    </row>
    <row r="11" spans="1:58">
      <c r="A11" s="3496" t="s">
        <v>3645</v>
      </c>
      <c r="B11" s="3496" t="s">
        <v>3376</v>
      </c>
      <c r="C11" s="3496" t="s">
        <v>3646</v>
      </c>
      <c r="D11" s="3496" t="s">
        <v>3557</v>
      </c>
      <c r="E11" s="3496" t="s">
        <v>3578</v>
      </c>
      <c r="F11" s="3496" t="s">
        <v>3579</v>
      </c>
      <c r="G11" s="3496" t="s">
        <v>3639</v>
      </c>
      <c r="H11" s="3496" t="s">
        <v>3561</v>
      </c>
      <c r="I11" s="3496">
        <v>30025.18</v>
      </c>
      <c r="J11" s="3496">
        <v>66055.39</v>
      </c>
      <c r="K11" s="3496">
        <v>2.2000000000000002</v>
      </c>
      <c r="L11" s="3496">
        <v>2.2000000000000002</v>
      </c>
      <c r="M11" s="3496" t="s">
        <v>3563</v>
      </c>
      <c r="N11" s="3496" t="s">
        <v>3581</v>
      </c>
      <c r="O11" s="3496" t="s">
        <v>3582</v>
      </c>
      <c r="P11" s="3496" t="s">
        <v>3566</v>
      </c>
      <c r="Q11" s="3496" t="s">
        <v>3567</v>
      </c>
      <c r="R11" s="3496" t="s">
        <v>3568</v>
      </c>
      <c r="S11" s="3496">
        <v>45</v>
      </c>
      <c r="T11" s="3496" t="s">
        <v>3568</v>
      </c>
      <c r="U11" s="3496" t="s">
        <v>3568</v>
      </c>
      <c r="V11" s="3496" t="s">
        <v>3568</v>
      </c>
      <c r="W11" s="3496" t="s">
        <v>3568</v>
      </c>
      <c r="X11" s="3496" t="s">
        <v>3568</v>
      </c>
      <c r="Y11" s="3496" t="s">
        <v>3568</v>
      </c>
      <c r="Z11" s="3496">
        <v>0</v>
      </c>
      <c r="AA11" s="3496">
        <v>0</v>
      </c>
      <c r="AB11" s="3496">
        <v>44457.000497685185</v>
      </c>
      <c r="AC11" s="3496">
        <v>44481.000497685185</v>
      </c>
      <c r="AD11" s="3496">
        <v>44495.000497685185</v>
      </c>
      <c r="AE11" s="3499">
        <v>44495.000497685185</v>
      </c>
      <c r="AF11" s="3496" t="s">
        <v>3647</v>
      </c>
      <c r="AG11" s="3496" t="s">
        <v>3570</v>
      </c>
      <c r="AH11" s="3496" t="s">
        <v>3648</v>
      </c>
      <c r="AI11" s="3496" t="s">
        <v>3568</v>
      </c>
      <c r="AJ11" s="3496" t="s">
        <v>3568</v>
      </c>
      <c r="AK11" s="3496">
        <v>137000</v>
      </c>
      <c r="AL11" s="3496">
        <v>137000</v>
      </c>
      <c r="AM11" s="3496" t="s">
        <v>3642</v>
      </c>
      <c r="AN11" s="3496">
        <v>137000</v>
      </c>
      <c r="AO11" s="3496">
        <v>45628.37</v>
      </c>
      <c r="AP11" s="3496">
        <v>45628.37</v>
      </c>
      <c r="AQ11" s="3496">
        <v>3041.89</v>
      </c>
      <c r="AR11" s="3496">
        <v>3041.89</v>
      </c>
      <c r="AS11" s="3496">
        <v>20740</v>
      </c>
      <c r="AT11" s="3496">
        <v>20740</v>
      </c>
      <c r="AU11" s="3496" t="s">
        <v>3568</v>
      </c>
      <c r="AV11" s="3496" t="s">
        <v>3568</v>
      </c>
      <c r="AW11" s="3496">
        <v>0</v>
      </c>
      <c r="AX11" s="3496" t="s">
        <v>3643</v>
      </c>
      <c r="AY11" s="3496" t="s">
        <v>3567</v>
      </c>
      <c r="AZ11" s="3496" t="s">
        <v>3568</v>
      </c>
      <c r="BA11" s="3496" t="s">
        <v>3567</v>
      </c>
      <c r="BB11" s="3496" t="s">
        <v>3568</v>
      </c>
      <c r="BC11" s="3496" t="s">
        <v>3568</v>
      </c>
      <c r="BD11" s="3496" t="s">
        <v>3568</v>
      </c>
      <c r="BE11" s="3496" t="s">
        <v>3568</v>
      </c>
      <c r="BF11" s="3496" t="s">
        <v>3644</v>
      </c>
    </row>
    <row r="12" spans="1:58">
      <c r="A12" s="3496" t="s">
        <v>3649</v>
      </c>
      <c r="B12" s="3496" t="s">
        <v>3376</v>
      </c>
      <c r="C12" s="3496" t="s">
        <v>3650</v>
      </c>
      <c r="D12" s="3496" t="s">
        <v>3557</v>
      </c>
      <c r="E12" s="3496" t="s">
        <v>3651</v>
      </c>
      <c r="F12" s="3496" t="s">
        <v>3652</v>
      </c>
      <c r="G12" s="3496" t="s">
        <v>3653</v>
      </c>
      <c r="H12" s="3496" t="s">
        <v>3561</v>
      </c>
      <c r="I12" s="3496">
        <v>5907.54</v>
      </c>
      <c r="J12" s="3496">
        <v>21900</v>
      </c>
      <c r="K12" s="3496">
        <v>3.71</v>
      </c>
      <c r="L12" s="3496">
        <v>3.71</v>
      </c>
      <c r="M12" s="3496" t="s">
        <v>3563</v>
      </c>
      <c r="N12" s="3496" t="s">
        <v>3581</v>
      </c>
      <c r="O12" s="3496" t="s">
        <v>3654</v>
      </c>
      <c r="P12" s="3496" t="s">
        <v>3566</v>
      </c>
      <c r="Q12" s="3496" t="s">
        <v>3567</v>
      </c>
      <c r="R12" s="3496" t="s">
        <v>3568</v>
      </c>
      <c r="S12" s="3496">
        <v>45</v>
      </c>
      <c r="T12" s="3496" t="s">
        <v>3568</v>
      </c>
      <c r="U12" s="3496" t="s">
        <v>3568</v>
      </c>
      <c r="V12" s="3496" t="s">
        <v>3568</v>
      </c>
      <c r="W12" s="3496" t="s">
        <v>3568</v>
      </c>
      <c r="X12" s="3496" t="s">
        <v>3568</v>
      </c>
      <c r="Y12" s="3496" t="s">
        <v>3568</v>
      </c>
      <c r="Z12" s="3496">
        <v>0</v>
      </c>
      <c r="AA12" s="3496">
        <v>0</v>
      </c>
      <c r="AB12" s="3496">
        <v>44457.000497685185</v>
      </c>
      <c r="AC12" s="3496">
        <v>44481.000497685185</v>
      </c>
      <c r="AD12" s="3496">
        <v>44495.000497685185</v>
      </c>
      <c r="AE12" s="3499">
        <v>44495.000497685185</v>
      </c>
      <c r="AF12" s="3496" t="s">
        <v>3655</v>
      </c>
      <c r="AG12" s="3496" t="s">
        <v>3570</v>
      </c>
      <c r="AH12" s="3496" t="s">
        <v>3656</v>
      </c>
      <c r="AI12" s="3496" t="s">
        <v>3568</v>
      </c>
      <c r="AJ12" s="3496" t="s">
        <v>3568</v>
      </c>
      <c r="AK12" s="3496">
        <v>46000</v>
      </c>
      <c r="AL12" s="3496">
        <v>9500</v>
      </c>
      <c r="AM12" s="3496" t="s">
        <v>3642</v>
      </c>
      <c r="AN12" s="3496">
        <v>46000</v>
      </c>
      <c r="AO12" s="3496">
        <v>77866.59</v>
      </c>
      <c r="AP12" s="3496">
        <v>77866.59</v>
      </c>
      <c r="AQ12" s="3496">
        <v>5191.1099999999997</v>
      </c>
      <c r="AR12" s="3496">
        <v>5191.1099999999997</v>
      </c>
      <c r="AS12" s="3496">
        <v>21005</v>
      </c>
      <c r="AT12" s="3496">
        <v>21005</v>
      </c>
      <c r="AU12" s="3496" t="s">
        <v>3568</v>
      </c>
      <c r="AV12" s="3496" t="s">
        <v>3568</v>
      </c>
      <c r="AW12" s="3496">
        <v>0</v>
      </c>
      <c r="AX12" s="3496" t="s">
        <v>3643</v>
      </c>
      <c r="AY12" s="3496" t="s">
        <v>3567</v>
      </c>
      <c r="AZ12" s="3496" t="s">
        <v>3568</v>
      </c>
      <c r="BA12" s="3496" t="s">
        <v>3567</v>
      </c>
      <c r="BB12" s="3496" t="s">
        <v>3568</v>
      </c>
      <c r="BC12" s="3496" t="s">
        <v>3568</v>
      </c>
      <c r="BD12" s="3496" t="s">
        <v>3568</v>
      </c>
      <c r="BE12" s="3496" t="s">
        <v>3568</v>
      </c>
      <c r="BF12" s="3496" t="s">
        <v>3644</v>
      </c>
    </row>
    <row r="13" spans="1:58">
      <c r="A13" s="3496" t="s">
        <v>3657</v>
      </c>
      <c r="B13" s="3496" t="s">
        <v>3376</v>
      </c>
      <c r="C13" s="3496" t="s">
        <v>3658</v>
      </c>
      <c r="D13" s="3496" t="s">
        <v>3557</v>
      </c>
      <c r="E13" s="3496" t="s">
        <v>3578</v>
      </c>
      <c r="F13" s="3496" t="s">
        <v>3579</v>
      </c>
      <c r="G13" s="3496" t="s">
        <v>3639</v>
      </c>
      <c r="H13" s="3496" t="s">
        <v>3561</v>
      </c>
      <c r="I13" s="3496">
        <v>25121.77</v>
      </c>
      <c r="J13" s="3496">
        <v>55267.89</v>
      </c>
      <c r="K13" s="3496">
        <v>2.2000000000000002</v>
      </c>
      <c r="L13" s="3496">
        <v>2.2000000000000002</v>
      </c>
      <c r="M13" s="3496" t="s">
        <v>3563</v>
      </c>
      <c r="N13" s="3496" t="s">
        <v>3581</v>
      </c>
      <c r="O13" s="3496" t="s">
        <v>3582</v>
      </c>
      <c r="P13" s="3496" t="s">
        <v>3566</v>
      </c>
      <c r="Q13" s="3496" t="s">
        <v>3567</v>
      </c>
      <c r="R13" s="3496" t="s">
        <v>3568</v>
      </c>
      <c r="S13" s="3496">
        <v>45</v>
      </c>
      <c r="T13" s="3496" t="s">
        <v>3568</v>
      </c>
      <c r="U13" s="3496" t="s">
        <v>3568</v>
      </c>
      <c r="V13" s="3496" t="s">
        <v>3568</v>
      </c>
      <c r="W13" s="3496" t="s">
        <v>3568</v>
      </c>
      <c r="X13" s="3496" t="s">
        <v>3568</v>
      </c>
      <c r="Y13" s="3496" t="s">
        <v>3568</v>
      </c>
      <c r="Z13" s="3496">
        <v>0</v>
      </c>
      <c r="AA13" s="3496">
        <v>0</v>
      </c>
      <c r="AB13" s="3496">
        <v>44457.000497685185</v>
      </c>
      <c r="AC13" s="3496">
        <v>44481.000497685185</v>
      </c>
      <c r="AD13" s="3496">
        <v>44495.000497685185</v>
      </c>
      <c r="AE13" s="3499">
        <v>44495.000497685185</v>
      </c>
      <c r="AF13" s="3496" t="s">
        <v>3659</v>
      </c>
      <c r="AG13" s="3496" t="s">
        <v>3570</v>
      </c>
      <c r="AH13" s="3496" t="s">
        <v>3660</v>
      </c>
      <c r="AI13" s="3496" t="s">
        <v>3568</v>
      </c>
      <c r="AJ13" s="3496" t="s">
        <v>3568</v>
      </c>
      <c r="AK13" s="3496">
        <v>115000</v>
      </c>
      <c r="AL13" s="3496">
        <v>23000</v>
      </c>
      <c r="AM13" s="3496" t="s">
        <v>3642</v>
      </c>
      <c r="AN13" s="3496">
        <v>115000</v>
      </c>
      <c r="AO13" s="3496">
        <v>45777.02</v>
      </c>
      <c r="AP13" s="3496">
        <v>45777.02</v>
      </c>
      <c r="AQ13" s="3496">
        <v>3051.8</v>
      </c>
      <c r="AR13" s="3496">
        <v>3051.8</v>
      </c>
      <c r="AS13" s="3496">
        <v>20808</v>
      </c>
      <c r="AT13" s="3496">
        <v>20808</v>
      </c>
      <c r="AU13" s="3496" t="s">
        <v>3568</v>
      </c>
      <c r="AV13" s="3496" t="s">
        <v>3568</v>
      </c>
      <c r="AW13" s="3496">
        <v>0</v>
      </c>
      <c r="AX13" s="3496" t="s">
        <v>3643</v>
      </c>
      <c r="AY13" s="3496" t="s">
        <v>3567</v>
      </c>
      <c r="AZ13" s="3496" t="s">
        <v>3568</v>
      </c>
      <c r="BA13" s="3496" t="s">
        <v>3567</v>
      </c>
      <c r="BB13" s="3496" t="s">
        <v>3568</v>
      </c>
      <c r="BC13" s="3496" t="s">
        <v>3568</v>
      </c>
      <c r="BD13" s="3496" t="s">
        <v>3568</v>
      </c>
      <c r="BE13" s="3496" t="s">
        <v>3568</v>
      </c>
      <c r="BF13" s="3496" t="s">
        <v>3644</v>
      </c>
    </row>
    <row r="14" spans="1:58">
      <c r="A14" s="3496" t="s">
        <v>3661</v>
      </c>
      <c r="B14" s="3496" t="s">
        <v>3376</v>
      </c>
      <c r="C14" s="3496" t="s">
        <v>3662</v>
      </c>
      <c r="D14" s="3496" t="s">
        <v>3557</v>
      </c>
      <c r="E14" s="3496" t="s">
        <v>3578</v>
      </c>
      <c r="F14" s="3496" t="s">
        <v>3663</v>
      </c>
      <c r="G14" s="3496" t="s">
        <v>3664</v>
      </c>
      <c r="H14" s="3496" t="s">
        <v>3561</v>
      </c>
      <c r="I14" s="3496">
        <v>51788.13</v>
      </c>
      <c r="J14" s="3496">
        <v>184800</v>
      </c>
      <c r="K14" s="3496" t="s">
        <v>3665</v>
      </c>
      <c r="L14" s="3496">
        <v>4.5</v>
      </c>
      <c r="M14" s="3496" t="s">
        <v>3563</v>
      </c>
      <c r="N14" s="3496" t="s">
        <v>3564</v>
      </c>
      <c r="O14" s="3496" t="s">
        <v>3565</v>
      </c>
      <c r="P14" s="3496" t="s">
        <v>3566</v>
      </c>
      <c r="Q14" s="3496" t="s">
        <v>3567</v>
      </c>
      <c r="R14" s="3496" t="s">
        <v>3568</v>
      </c>
      <c r="S14" s="3496" t="s">
        <v>3666</v>
      </c>
      <c r="T14" s="3496" t="s">
        <v>3568</v>
      </c>
      <c r="U14" s="3496" t="s">
        <v>3568</v>
      </c>
      <c r="V14" s="3496" t="s">
        <v>3568</v>
      </c>
      <c r="W14" s="3496" t="s">
        <v>3568</v>
      </c>
      <c r="X14" s="3496">
        <v>0</v>
      </c>
      <c r="Y14" s="3496">
        <v>0</v>
      </c>
      <c r="Z14" s="3496">
        <v>0</v>
      </c>
      <c r="AA14" s="3496">
        <v>0</v>
      </c>
      <c r="AB14" s="3496">
        <v>44133.000497685185</v>
      </c>
      <c r="AC14" s="3496">
        <v>44153.000497685185</v>
      </c>
      <c r="AD14" s="3496">
        <v>44167.000497685185</v>
      </c>
      <c r="AE14" s="3499">
        <v>44167.000497685185</v>
      </c>
      <c r="AF14" s="3496" t="s">
        <v>3667</v>
      </c>
      <c r="AG14" s="3496" t="s">
        <v>3570</v>
      </c>
      <c r="AH14" s="3496" t="s">
        <v>3668</v>
      </c>
      <c r="AI14" s="3496" t="s">
        <v>3669</v>
      </c>
      <c r="AJ14" s="3496" t="s">
        <v>3616</v>
      </c>
      <c r="AK14" s="3496">
        <v>570500</v>
      </c>
      <c r="AL14" s="3496">
        <v>115000</v>
      </c>
      <c r="AM14" s="3496" t="s">
        <v>3670</v>
      </c>
      <c r="AN14" s="3496">
        <v>579500</v>
      </c>
      <c r="AO14" s="3496">
        <v>110160.37</v>
      </c>
      <c r="AP14" s="3496">
        <v>111898.23</v>
      </c>
      <c r="AQ14" s="3496">
        <v>7344.03</v>
      </c>
      <c r="AR14" s="3496">
        <v>7459.88</v>
      </c>
      <c r="AS14" s="3496">
        <v>30871</v>
      </c>
      <c r="AT14" s="3496">
        <v>31358</v>
      </c>
      <c r="AU14" s="3496" t="s">
        <v>3568</v>
      </c>
      <c r="AV14" s="3496" t="s">
        <v>3568</v>
      </c>
      <c r="AW14" s="3496">
        <v>1.58</v>
      </c>
      <c r="AX14" s="3496" t="s">
        <v>3671</v>
      </c>
      <c r="AY14" s="3496" t="s">
        <v>3567</v>
      </c>
      <c r="AZ14" s="3496" t="s">
        <v>3568</v>
      </c>
      <c r="BA14" s="3496" t="s">
        <v>3567</v>
      </c>
      <c r="BB14" s="3496" t="s">
        <v>3568</v>
      </c>
      <c r="BC14" s="3496" t="s">
        <v>3568</v>
      </c>
      <c r="BD14" s="3496" t="s">
        <v>3568</v>
      </c>
      <c r="BE14" s="3496" t="s">
        <v>3568</v>
      </c>
      <c r="BF14" s="3496" t="s">
        <v>3644</v>
      </c>
    </row>
    <row r="15" spans="1:58">
      <c r="A15" s="3496" t="s">
        <v>3672</v>
      </c>
      <c r="B15" s="3496" t="s">
        <v>3376</v>
      </c>
      <c r="C15" s="3496" t="s">
        <v>3673</v>
      </c>
      <c r="D15" s="3496" t="s">
        <v>3557</v>
      </c>
      <c r="E15" s="3496" t="s">
        <v>3591</v>
      </c>
      <c r="F15" s="3496" t="s">
        <v>3674</v>
      </c>
      <c r="G15" s="3496" t="s">
        <v>3675</v>
      </c>
      <c r="H15" s="3496" t="s">
        <v>3561</v>
      </c>
      <c r="I15" s="3496">
        <v>7289.19</v>
      </c>
      <c r="J15" s="3496">
        <v>21867.57</v>
      </c>
      <c r="K15" s="3496" t="s">
        <v>3676</v>
      </c>
      <c r="L15" s="3496">
        <v>3</v>
      </c>
      <c r="M15" s="3496" t="s">
        <v>3563</v>
      </c>
      <c r="N15" s="3496" t="s">
        <v>3564</v>
      </c>
      <c r="O15" s="3496" t="s">
        <v>3677</v>
      </c>
      <c r="P15" s="3496" t="s">
        <v>3566</v>
      </c>
      <c r="Q15" s="3496" t="s">
        <v>3567</v>
      </c>
      <c r="R15" s="3496" t="s">
        <v>3678</v>
      </c>
      <c r="S15" s="3496" t="s">
        <v>3679</v>
      </c>
      <c r="T15" s="3496" t="s">
        <v>3568</v>
      </c>
      <c r="U15" s="3496" t="s">
        <v>3568</v>
      </c>
      <c r="V15" s="3496" t="s">
        <v>3568</v>
      </c>
      <c r="W15" s="3496" t="s">
        <v>3568</v>
      </c>
      <c r="X15" s="3496">
        <v>0</v>
      </c>
      <c r="Y15" s="3496">
        <v>0</v>
      </c>
      <c r="Z15" s="3496">
        <v>0</v>
      </c>
      <c r="AA15" s="3496">
        <v>0</v>
      </c>
      <c r="AB15" s="3496">
        <v>43889.000497685185</v>
      </c>
      <c r="AC15" s="3496">
        <v>43909.000497685185</v>
      </c>
      <c r="AD15" s="3496">
        <v>43923.000497685185</v>
      </c>
      <c r="AE15" s="3499">
        <v>43923.000497685185</v>
      </c>
      <c r="AF15" s="3496" t="s">
        <v>3680</v>
      </c>
      <c r="AG15" s="3496" t="s">
        <v>3570</v>
      </c>
      <c r="AH15" s="3496" t="s">
        <v>3681</v>
      </c>
      <c r="AI15" s="3496" t="s">
        <v>3682</v>
      </c>
      <c r="AJ15" s="3496" t="s">
        <v>3607</v>
      </c>
      <c r="AK15" s="3496">
        <v>35200</v>
      </c>
      <c r="AL15" s="3496">
        <v>7100</v>
      </c>
      <c r="AM15" s="3496" t="s">
        <v>3683</v>
      </c>
      <c r="AN15" s="3496">
        <v>35200</v>
      </c>
      <c r="AO15" s="3496">
        <v>48290.68</v>
      </c>
      <c r="AP15" s="3496">
        <v>48290.68</v>
      </c>
      <c r="AQ15" s="3496">
        <v>3219.38</v>
      </c>
      <c r="AR15" s="3496">
        <v>3219.38</v>
      </c>
      <c r="AS15" s="3496">
        <v>16097</v>
      </c>
      <c r="AT15" s="3496">
        <v>16097</v>
      </c>
      <c r="AU15" s="3496" t="s">
        <v>3568</v>
      </c>
      <c r="AV15" s="3496" t="s">
        <v>3568</v>
      </c>
      <c r="AW15" s="3496">
        <v>0</v>
      </c>
      <c r="AX15" s="3496" t="s">
        <v>3671</v>
      </c>
      <c r="AY15" s="3496" t="s">
        <v>3567</v>
      </c>
      <c r="AZ15" s="3496" t="s">
        <v>3568</v>
      </c>
      <c r="BA15" s="3496" t="s">
        <v>3567</v>
      </c>
      <c r="BB15" s="3496" t="s">
        <v>3568</v>
      </c>
      <c r="BC15" s="3496" t="s">
        <v>3568</v>
      </c>
      <c r="BD15" s="3496" t="s">
        <v>3568</v>
      </c>
      <c r="BE15" s="3496" t="s">
        <v>3568</v>
      </c>
      <c r="BF15" s="3496" t="s">
        <v>3644</v>
      </c>
    </row>
    <row r="16" spans="1:58">
      <c r="A16" s="3496" t="s">
        <v>3684</v>
      </c>
      <c r="B16" s="3496" t="s">
        <v>3376</v>
      </c>
      <c r="C16" s="3496" t="s">
        <v>3685</v>
      </c>
      <c r="D16" s="3496" t="s">
        <v>3557</v>
      </c>
      <c r="E16" s="3496" t="s">
        <v>3578</v>
      </c>
      <c r="F16" s="3496" t="s">
        <v>3686</v>
      </c>
      <c r="G16" s="3496" t="s">
        <v>3687</v>
      </c>
      <c r="H16" s="3496" t="s">
        <v>3561</v>
      </c>
      <c r="I16" s="3496">
        <v>70601.070000000007</v>
      </c>
      <c r="J16" s="3496">
        <v>285523</v>
      </c>
      <c r="K16" s="3496" t="s">
        <v>3688</v>
      </c>
      <c r="L16" s="3496">
        <v>4.04</v>
      </c>
      <c r="M16" s="3496" t="s">
        <v>3689</v>
      </c>
      <c r="N16" s="3496" t="s">
        <v>3564</v>
      </c>
      <c r="O16" s="3496" t="s">
        <v>3690</v>
      </c>
      <c r="P16" s="3496" t="s">
        <v>3566</v>
      </c>
      <c r="Q16" s="3496" t="s">
        <v>3567</v>
      </c>
      <c r="R16" s="3496" t="s">
        <v>3568</v>
      </c>
      <c r="S16" s="3496" t="s">
        <v>3568</v>
      </c>
      <c r="T16" s="3496" t="s">
        <v>3568</v>
      </c>
      <c r="U16" s="3496" t="s">
        <v>3568</v>
      </c>
      <c r="V16" s="3496" t="s">
        <v>3568</v>
      </c>
      <c r="W16" s="3496" t="s">
        <v>3568</v>
      </c>
      <c r="X16" s="3496">
        <v>0</v>
      </c>
      <c r="Y16" s="3496">
        <v>0</v>
      </c>
      <c r="Z16" s="3496">
        <v>0</v>
      </c>
      <c r="AA16" s="3496">
        <v>0</v>
      </c>
      <c r="AB16" s="3496">
        <v>43770.000497685185</v>
      </c>
      <c r="AC16" s="3496">
        <v>43798.000497685185</v>
      </c>
      <c r="AD16" s="3496">
        <v>43801.000497685185</v>
      </c>
      <c r="AE16" s="3499">
        <v>43801.000497685185</v>
      </c>
      <c r="AF16" s="3496" t="s">
        <v>3691</v>
      </c>
      <c r="AG16" s="3496" t="s">
        <v>3570</v>
      </c>
      <c r="AH16" s="3496" t="s">
        <v>3692</v>
      </c>
      <c r="AI16" s="3496" t="s">
        <v>3693</v>
      </c>
      <c r="AJ16" s="3496" t="s">
        <v>3616</v>
      </c>
      <c r="AK16" s="3496" t="s">
        <v>3568</v>
      </c>
      <c r="AL16" s="3496">
        <v>131000</v>
      </c>
      <c r="AM16" s="3496" t="s">
        <v>633</v>
      </c>
      <c r="AN16" s="3496">
        <v>660900</v>
      </c>
      <c r="AO16" s="3496" t="s">
        <v>3568</v>
      </c>
      <c r="AP16" s="3496">
        <v>93610.48</v>
      </c>
      <c r="AQ16" s="3496" t="s">
        <v>3568</v>
      </c>
      <c r="AR16" s="3496">
        <v>6240.7</v>
      </c>
      <c r="AS16" s="3496" t="s">
        <v>3568</v>
      </c>
      <c r="AT16" s="3496">
        <v>23147</v>
      </c>
      <c r="AU16" s="3496" t="s">
        <v>3568</v>
      </c>
      <c r="AV16" s="3496" t="s">
        <v>3568</v>
      </c>
      <c r="AW16" s="3496">
        <v>0</v>
      </c>
      <c r="AX16" s="3496" t="s">
        <v>3671</v>
      </c>
      <c r="AY16" s="3496" t="s">
        <v>3567</v>
      </c>
      <c r="AZ16" s="3496" t="s">
        <v>3568</v>
      </c>
      <c r="BA16" s="3496" t="s">
        <v>3567</v>
      </c>
      <c r="BB16" s="3496" t="s">
        <v>3568</v>
      </c>
      <c r="BC16" s="3496" t="s">
        <v>3568</v>
      </c>
      <c r="BD16" s="3496" t="s">
        <v>3568</v>
      </c>
      <c r="BE16" s="3496" t="s">
        <v>3568</v>
      </c>
      <c r="BF16" s="3496" t="s">
        <v>3644</v>
      </c>
    </row>
    <row r="17" spans="1:58">
      <c r="A17" s="3496" t="s">
        <v>3694</v>
      </c>
      <c r="B17" s="3496" t="s">
        <v>3376</v>
      </c>
      <c r="C17" s="3496" t="s">
        <v>3695</v>
      </c>
      <c r="D17" s="3496" t="s">
        <v>3557</v>
      </c>
      <c r="E17" s="3496" t="s">
        <v>3578</v>
      </c>
      <c r="F17" s="3496" t="s">
        <v>3696</v>
      </c>
      <c r="G17" s="3496" t="s">
        <v>3697</v>
      </c>
      <c r="H17" s="3496" t="s">
        <v>3561</v>
      </c>
      <c r="I17" s="3496">
        <v>22035.93</v>
      </c>
      <c r="J17" s="3496">
        <v>61700.6</v>
      </c>
      <c r="K17" s="3496" t="s">
        <v>3698</v>
      </c>
      <c r="L17" s="3496">
        <v>2.8</v>
      </c>
      <c r="M17" s="3496" t="s">
        <v>3563</v>
      </c>
      <c r="N17" s="3496" t="s">
        <v>3699</v>
      </c>
      <c r="O17" s="3496" t="s">
        <v>3565</v>
      </c>
      <c r="P17" s="3496" t="s">
        <v>3566</v>
      </c>
      <c r="Q17" s="3496" t="s">
        <v>3567</v>
      </c>
      <c r="R17" s="3496" t="s">
        <v>3700</v>
      </c>
      <c r="S17" s="3496" t="s">
        <v>3679</v>
      </c>
      <c r="T17" s="3496" t="s">
        <v>3568</v>
      </c>
      <c r="U17" s="3496" t="s">
        <v>3568</v>
      </c>
      <c r="V17" s="3496" t="s">
        <v>3568</v>
      </c>
      <c r="W17" s="3496" t="s">
        <v>3568</v>
      </c>
      <c r="X17" s="3496">
        <v>0</v>
      </c>
      <c r="Y17" s="3496">
        <v>0</v>
      </c>
      <c r="Z17" s="3496">
        <v>0</v>
      </c>
      <c r="AA17" s="3496">
        <v>0</v>
      </c>
      <c r="AB17" s="3496">
        <v>43616.000497685185</v>
      </c>
      <c r="AC17" s="3496">
        <v>43636.000497685185</v>
      </c>
      <c r="AD17" s="3496">
        <v>43650.000497685185</v>
      </c>
      <c r="AE17" s="3499">
        <v>43650.000497685185</v>
      </c>
      <c r="AF17" s="3496" t="s">
        <v>3701</v>
      </c>
      <c r="AG17" s="3496" t="s">
        <v>3570</v>
      </c>
      <c r="AH17" s="3496" t="s">
        <v>3702</v>
      </c>
      <c r="AI17" s="3496" t="s">
        <v>3615</v>
      </c>
      <c r="AJ17" s="3496" t="s">
        <v>3616</v>
      </c>
      <c r="AK17" s="3496">
        <v>103700</v>
      </c>
      <c r="AL17" s="3496">
        <v>21000</v>
      </c>
      <c r="AM17" s="3496" t="s">
        <v>633</v>
      </c>
      <c r="AN17" s="3496">
        <v>103700</v>
      </c>
      <c r="AO17" s="3496">
        <v>47059.5</v>
      </c>
      <c r="AP17" s="3496">
        <v>47059.5</v>
      </c>
      <c r="AQ17" s="3496">
        <v>3137.3</v>
      </c>
      <c r="AR17" s="3496">
        <v>3137.3</v>
      </c>
      <c r="AS17" s="3496">
        <v>16807</v>
      </c>
      <c r="AT17" s="3496">
        <v>16807</v>
      </c>
      <c r="AU17" s="3496" t="s">
        <v>3568</v>
      </c>
      <c r="AV17" s="3496" t="s">
        <v>3568</v>
      </c>
      <c r="AW17" s="3496">
        <v>0</v>
      </c>
      <c r="AX17" s="3496" t="s">
        <v>3671</v>
      </c>
      <c r="AY17" s="3496" t="s">
        <v>3567</v>
      </c>
      <c r="AZ17" s="3496" t="s">
        <v>3568</v>
      </c>
      <c r="BA17" s="3496" t="s">
        <v>3567</v>
      </c>
      <c r="BB17" s="3496" t="s">
        <v>3568</v>
      </c>
      <c r="BC17" s="3496" t="s">
        <v>3568</v>
      </c>
      <c r="BD17" s="3496" t="s">
        <v>3568</v>
      </c>
      <c r="BE17" s="3496" t="s">
        <v>3568</v>
      </c>
      <c r="BF17" s="3496" t="s">
        <v>3644</v>
      </c>
    </row>
    <row r="18" spans="1:58">
      <c r="A18" s="3496" t="s">
        <v>3703</v>
      </c>
      <c r="B18" s="3496" t="s">
        <v>3376</v>
      </c>
      <c r="C18" s="3496" t="s">
        <v>3704</v>
      </c>
      <c r="D18" s="3496" t="s">
        <v>3557</v>
      </c>
      <c r="E18" s="3496" t="s">
        <v>3578</v>
      </c>
      <c r="F18" s="3496" t="s">
        <v>3579</v>
      </c>
      <c r="G18" s="3496" t="s">
        <v>3705</v>
      </c>
      <c r="H18" s="3496" t="s">
        <v>3561</v>
      </c>
      <c r="I18" s="3496">
        <v>32158.94</v>
      </c>
      <c r="J18" s="3496">
        <v>96476.82</v>
      </c>
      <c r="K18" s="3496" t="s">
        <v>3676</v>
      </c>
      <c r="L18" s="3496">
        <v>3</v>
      </c>
      <c r="M18" s="3496" t="s">
        <v>3563</v>
      </c>
      <c r="N18" s="3496" t="s">
        <v>3706</v>
      </c>
      <c r="O18" s="3496" t="s">
        <v>3707</v>
      </c>
      <c r="P18" s="3496" t="s">
        <v>3566</v>
      </c>
      <c r="Q18" s="3496" t="s">
        <v>3567</v>
      </c>
      <c r="R18" s="3496" t="s">
        <v>3678</v>
      </c>
      <c r="S18" s="3496" t="s">
        <v>3708</v>
      </c>
      <c r="T18" s="3496" t="s">
        <v>3568</v>
      </c>
      <c r="U18" s="3496" t="s">
        <v>3568</v>
      </c>
      <c r="V18" s="3496" t="s">
        <v>3568</v>
      </c>
      <c r="W18" s="3496" t="s">
        <v>3568</v>
      </c>
      <c r="X18" s="3496">
        <v>0</v>
      </c>
      <c r="Y18" s="3496">
        <v>0</v>
      </c>
      <c r="Z18" s="3496">
        <v>0</v>
      </c>
      <c r="AA18" s="3496">
        <v>0</v>
      </c>
      <c r="AB18" s="3496">
        <v>43579.000497685185</v>
      </c>
      <c r="AC18" s="3496">
        <v>43599.000497685185</v>
      </c>
      <c r="AD18" s="3496">
        <v>43613.000497685185</v>
      </c>
      <c r="AE18" s="3499">
        <v>43613.000497685185</v>
      </c>
      <c r="AF18" s="3496" t="s">
        <v>3709</v>
      </c>
      <c r="AG18" s="3496" t="s">
        <v>3570</v>
      </c>
      <c r="AH18" s="3496" t="s">
        <v>3710</v>
      </c>
      <c r="AI18" s="3496" t="s">
        <v>3623</v>
      </c>
      <c r="AJ18" s="3496" t="s">
        <v>3607</v>
      </c>
      <c r="AK18" s="3496">
        <v>263800</v>
      </c>
      <c r="AL18" s="3496">
        <v>53000</v>
      </c>
      <c r="AM18" s="3496" t="s">
        <v>633</v>
      </c>
      <c r="AN18" s="3496">
        <v>263800</v>
      </c>
      <c r="AO18" s="3496">
        <v>82030.070000000007</v>
      </c>
      <c r="AP18" s="3496">
        <v>82030.070000000007</v>
      </c>
      <c r="AQ18" s="3496">
        <v>5468.67</v>
      </c>
      <c r="AR18" s="3496">
        <v>5468.67</v>
      </c>
      <c r="AS18" s="3496">
        <v>27343</v>
      </c>
      <c r="AT18" s="3496">
        <v>27343</v>
      </c>
      <c r="AU18" s="3496" t="s">
        <v>3568</v>
      </c>
      <c r="AV18" s="3496" t="s">
        <v>3568</v>
      </c>
      <c r="AW18" s="3496">
        <v>0</v>
      </c>
      <c r="AX18" s="3496" t="s">
        <v>3671</v>
      </c>
      <c r="AY18" s="3496" t="s">
        <v>3567</v>
      </c>
      <c r="AZ18" s="3496" t="s">
        <v>3568</v>
      </c>
      <c r="BA18" s="3496" t="s">
        <v>3567</v>
      </c>
      <c r="BB18" s="3496" t="s">
        <v>3568</v>
      </c>
      <c r="BC18" s="3496" t="s">
        <v>3568</v>
      </c>
      <c r="BD18" s="3496" t="s">
        <v>3568</v>
      </c>
      <c r="BE18" s="3496" t="s">
        <v>3568</v>
      </c>
      <c r="BF18" s="3496" t="s">
        <v>3644</v>
      </c>
    </row>
    <row r="19" spans="1:58">
      <c r="A19" s="3496" t="s">
        <v>3711</v>
      </c>
      <c r="B19" s="3496" t="s">
        <v>3376</v>
      </c>
      <c r="C19" s="3496" t="s">
        <v>3712</v>
      </c>
      <c r="D19" s="3496" t="s">
        <v>3557</v>
      </c>
      <c r="E19" s="3496" t="s">
        <v>3591</v>
      </c>
      <c r="F19" s="3496" t="s">
        <v>3713</v>
      </c>
      <c r="G19" s="3496" t="s">
        <v>3714</v>
      </c>
      <c r="H19" s="3496" t="s">
        <v>3561</v>
      </c>
      <c r="I19" s="3496">
        <v>138746.29999999999</v>
      </c>
      <c r="J19" s="3496">
        <v>486596</v>
      </c>
      <c r="K19" s="3496">
        <v>3.51</v>
      </c>
      <c r="L19" s="3496">
        <v>3.51</v>
      </c>
      <c r="M19" s="3496" t="s">
        <v>3563</v>
      </c>
      <c r="N19" s="3496" t="s">
        <v>3564</v>
      </c>
      <c r="O19" s="3496" t="s">
        <v>3715</v>
      </c>
      <c r="P19" s="3496" t="s">
        <v>3566</v>
      </c>
      <c r="Q19" s="3496" t="s">
        <v>3567</v>
      </c>
      <c r="R19" s="3496" t="s">
        <v>3568</v>
      </c>
      <c r="S19" s="3496" t="s">
        <v>3716</v>
      </c>
      <c r="T19" s="3496" t="s">
        <v>3568</v>
      </c>
      <c r="U19" s="3496" t="s">
        <v>3568</v>
      </c>
      <c r="V19" s="3496" t="s">
        <v>3568</v>
      </c>
      <c r="W19" s="3496" t="s">
        <v>3568</v>
      </c>
      <c r="X19" s="3496">
        <v>0</v>
      </c>
      <c r="Y19" s="3496">
        <v>0</v>
      </c>
      <c r="Z19" s="3496">
        <v>0</v>
      </c>
      <c r="AA19" s="3496">
        <v>0</v>
      </c>
      <c r="AB19" s="3496">
        <v>43373.000497685185</v>
      </c>
      <c r="AC19" s="3496">
        <v>43395.000497685185</v>
      </c>
      <c r="AD19" s="3496">
        <v>43409.000497685185</v>
      </c>
      <c r="AE19" s="3499">
        <v>43409.000497685185</v>
      </c>
      <c r="AF19" s="3496" t="s">
        <v>3717</v>
      </c>
      <c r="AG19" s="3496" t="s">
        <v>3570</v>
      </c>
      <c r="AH19" s="3496" t="s">
        <v>3718</v>
      </c>
      <c r="AI19" s="3496" t="s">
        <v>3719</v>
      </c>
      <c r="AJ19" s="3496" t="s">
        <v>3607</v>
      </c>
      <c r="AK19" s="3496">
        <v>866300</v>
      </c>
      <c r="AL19" s="3496">
        <v>174000</v>
      </c>
      <c r="AM19" s="3496" t="s">
        <v>633</v>
      </c>
      <c r="AN19" s="3496">
        <v>866300</v>
      </c>
      <c r="AO19" s="3496">
        <v>62437.7</v>
      </c>
      <c r="AP19" s="3496">
        <v>62437.7</v>
      </c>
      <c r="AQ19" s="3496">
        <v>4162.51</v>
      </c>
      <c r="AR19" s="3496">
        <v>4162.51</v>
      </c>
      <c r="AS19" s="3496">
        <v>17803</v>
      </c>
      <c r="AT19" s="3496">
        <v>17803</v>
      </c>
      <c r="AU19" s="3496" t="s">
        <v>3568</v>
      </c>
      <c r="AV19" s="3496" t="s">
        <v>3568</v>
      </c>
      <c r="AW19" s="3496">
        <v>0</v>
      </c>
      <c r="AX19" s="3496" t="s">
        <v>3671</v>
      </c>
      <c r="AY19" s="3496" t="s">
        <v>3567</v>
      </c>
      <c r="AZ19" s="3496" t="s">
        <v>3568</v>
      </c>
      <c r="BA19" s="3496" t="s">
        <v>3567</v>
      </c>
      <c r="BB19" s="3496" t="s">
        <v>3568</v>
      </c>
      <c r="BC19" s="3496" t="s">
        <v>3568</v>
      </c>
      <c r="BD19" s="3496" t="s">
        <v>3568</v>
      </c>
      <c r="BE19" s="3496">
        <v>0</v>
      </c>
      <c r="BF19" s="3496" t="s">
        <v>3644</v>
      </c>
    </row>
    <row r="20" spans="1:58">
      <c r="A20" s="3496" t="s">
        <v>3720</v>
      </c>
      <c r="B20" s="3496" t="s">
        <v>3376</v>
      </c>
      <c r="C20" s="3496" t="s">
        <v>3721</v>
      </c>
      <c r="D20" s="3496" t="s">
        <v>3557</v>
      </c>
      <c r="E20" s="3496" t="s">
        <v>3558</v>
      </c>
      <c r="F20" s="3496" t="s">
        <v>3601</v>
      </c>
      <c r="G20" s="3496" t="s">
        <v>3722</v>
      </c>
      <c r="H20" s="3496" t="s">
        <v>3561</v>
      </c>
      <c r="I20" s="3496">
        <v>39410.74</v>
      </c>
      <c r="J20" s="3496">
        <v>120000</v>
      </c>
      <c r="K20" s="3496">
        <v>3.04</v>
      </c>
      <c r="L20" s="3496">
        <v>3.04</v>
      </c>
      <c r="M20" s="3496" t="s">
        <v>3689</v>
      </c>
      <c r="N20" s="3496" t="s">
        <v>3581</v>
      </c>
      <c r="O20" s="3496" t="s">
        <v>3582</v>
      </c>
      <c r="P20" s="3496" t="s">
        <v>3566</v>
      </c>
      <c r="Q20" s="3496" t="s">
        <v>3567</v>
      </c>
      <c r="R20" s="3496" t="s">
        <v>3723</v>
      </c>
      <c r="S20" s="3496" t="s">
        <v>3724</v>
      </c>
      <c r="T20" s="3496" t="s">
        <v>3568</v>
      </c>
      <c r="U20" s="3496" t="s">
        <v>3568</v>
      </c>
      <c r="V20" s="3496" t="s">
        <v>3568</v>
      </c>
      <c r="W20" s="3496" t="s">
        <v>3568</v>
      </c>
      <c r="X20" s="3496">
        <v>0</v>
      </c>
      <c r="Y20" s="3496">
        <v>0</v>
      </c>
      <c r="Z20" s="3496">
        <v>0</v>
      </c>
      <c r="AA20" s="3496">
        <v>0</v>
      </c>
      <c r="AB20" s="3496">
        <v>43251.000497685185</v>
      </c>
      <c r="AC20" s="3496">
        <v>43287.000497685185</v>
      </c>
      <c r="AD20" s="3496">
        <v>43287.000497685185</v>
      </c>
      <c r="AE20" s="3499">
        <v>43287.000497685185</v>
      </c>
      <c r="AF20" s="3496" t="s">
        <v>3725</v>
      </c>
      <c r="AG20" s="3496" t="s">
        <v>3570</v>
      </c>
      <c r="AH20" s="3496" t="s">
        <v>3726</v>
      </c>
      <c r="AI20" s="3496" t="s">
        <v>3727</v>
      </c>
      <c r="AJ20" s="3496" t="s">
        <v>3597</v>
      </c>
      <c r="AK20" s="3496" t="s">
        <v>3568</v>
      </c>
      <c r="AL20" s="3496">
        <v>85000</v>
      </c>
      <c r="AM20" s="3496" t="s">
        <v>633</v>
      </c>
      <c r="AN20" s="3496">
        <v>318758</v>
      </c>
      <c r="AO20" s="3496" t="s">
        <v>3568</v>
      </c>
      <c r="AP20" s="3496">
        <v>80881</v>
      </c>
      <c r="AQ20" s="3496" t="s">
        <v>3568</v>
      </c>
      <c r="AR20" s="3496">
        <v>5392.07</v>
      </c>
      <c r="AS20" s="3496" t="s">
        <v>3568</v>
      </c>
      <c r="AT20" s="3496">
        <v>26563</v>
      </c>
      <c r="AU20" s="3496" t="s">
        <v>3568</v>
      </c>
      <c r="AV20" s="3496" t="s">
        <v>3568</v>
      </c>
      <c r="AW20" s="3496">
        <v>0</v>
      </c>
      <c r="AX20" s="3496" t="s">
        <v>3671</v>
      </c>
      <c r="AY20" s="3496" t="s">
        <v>3567</v>
      </c>
      <c r="AZ20" s="3496" t="s">
        <v>3568</v>
      </c>
      <c r="BA20" s="3496" t="s">
        <v>3567</v>
      </c>
      <c r="BB20" s="3496" t="s">
        <v>3568</v>
      </c>
      <c r="BC20" s="3496" t="s">
        <v>3568</v>
      </c>
      <c r="BD20" s="3496" t="s">
        <v>3568</v>
      </c>
      <c r="BE20" s="3496">
        <v>0</v>
      </c>
      <c r="BF20" s="3496" t="s">
        <v>3644</v>
      </c>
    </row>
    <row r="21" spans="1:58">
      <c r="A21" s="3496" t="s">
        <v>3728</v>
      </c>
      <c r="B21" s="3496" t="s">
        <v>3376</v>
      </c>
      <c r="C21" s="3496" t="s">
        <v>3729</v>
      </c>
      <c r="D21" s="3496" t="s">
        <v>3557</v>
      </c>
      <c r="E21" s="3496" t="s">
        <v>3578</v>
      </c>
      <c r="F21" s="3496" t="s">
        <v>3663</v>
      </c>
      <c r="G21" s="3496" t="s">
        <v>3664</v>
      </c>
      <c r="H21" s="3496" t="s">
        <v>3561</v>
      </c>
      <c r="I21" s="3496">
        <v>15240.2</v>
      </c>
      <c r="J21" s="3496">
        <v>86800</v>
      </c>
      <c r="K21" s="3496">
        <v>5.7</v>
      </c>
      <c r="L21" s="3496">
        <v>5.7</v>
      </c>
      <c r="M21" s="3496" t="s">
        <v>3563</v>
      </c>
      <c r="N21" s="3496" t="s">
        <v>3564</v>
      </c>
      <c r="O21" s="3496" t="s">
        <v>3565</v>
      </c>
      <c r="P21" s="3496" t="s">
        <v>3566</v>
      </c>
      <c r="Q21" s="3496" t="s">
        <v>3567</v>
      </c>
      <c r="R21" s="3496" t="s">
        <v>3568</v>
      </c>
      <c r="S21" s="3496" t="s">
        <v>3568</v>
      </c>
      <c r="T21" s="3496" t="s">
        <v>3568</v>
      </c>
      <c r="U21" s="3496" t="s">
        <v>3568</v>
      </c>
      <c r="V21" s="3496" t="s">
        <v>3568</v>
      </c>
      <c r="W21" s="3496" t="s">
        <v>3568</v>
      </c>
      <c r="X21" s="3496">
        <v>0</v>
      </c>
      <c r="Y21" s="3496">
        <v>0</v>
      </c>
      <c r="Z21" s="3496">
        <v>0</v>
      </c>
      <c r="AA21" s="3496">
        <v>0</v>
      </c>
      <c r="AB21" s="3496">
        <v>43021.000497685185</v>
      </c>
      <c r="AC21" s="3496">
        <v>43041.000497685185</v>
      </c>
      <c r="AD21" s="3496">
        <v>43055.000497685185</v>
      </c>
      <c r="AE21" s="3499">
        <v>43055.000497685185</v>
      </c>
      <c r="AF21" s="3496" t="s">
        <v>3730</v>
      </c>
      <c r="AG21" s="3496" t="s">
        <v>3570</v>
      </c>
      <c r="AH21" s="3496" t="s">
        <v>3731</v>
      </c>
      <c r="AI21" s="3496" t="s">
        <v>3568</v>
      </c>
      <c r="AJ21" s="3496" t="s">
        <v>3568</v>
      </c>
      <c r="AK21" s="3496">
        <v>237500</v>
      </c>
      <c r="AL21" s="3496">
        <v>72000</v>
      </c>
      <c r="AM21" s="3496" t="s">
        <v>633</v>
      </c>
      <c r="AN21" s="3496">
        <v>242500</v>
      </c>
      <c r="AO21" s="3496">
        <v>155837.84</v>
      </c>
      <c r="AP21" s="3496">
        <v>159118.64000000001</v>
      </c>
      <c r="AQ21" s="3496">
        <v>10389.19</v>
      </c>
      <c r="AR21" s="3496">
        <v>10607.91</v>
      </c>
      <c r="AS21" s="3496">
        <v>27362</v>
      </c>
      <c r="AT21" s="3496">
        <v>27938</v>
      </c>
      <c r="AU21" s="3496" t="s">
        <v>3568</v>
      </c>
      <c r="AV21" s="3496" t="s">
        <v>3568</v>
      </c>
      <c r="AW21" s="3496">
        <v>2.11</v>
      </c>
      <c r="AX21" s="3496" t="s">
        <v>3671</v>
      </c>
      <c r="AY21" s="3496" t="s">
        <v>3567</v>
      </c>
      <c r="AZ21" s="3496" t="s">
        <v>3568</v>
      </c>
      <c r="BA21" s="3496" t="s">
        <v>3567</v>
      </c>
      <c r="BB21" s="3496" t="s">
        <v>3568</v>
      </c>
      <c r="BC21" s="3496" t="s">
        <v>3568</v>
      </c>
      <c r="BD21" s="3496">
        <v>-65896</v>
      </c>
      <c r="BE21" s="3496">
        <v>0</v>
      </c>
      <c r="BF21" s="3496" t="s">
        <v>3644</v>
      </c>
    </row>
    <row r="22" spans="1:58">
      <c r="A22" s="3496" t="s">
        <v>3732</v>
      </c>
      <c r="B22" s="3496" t="s">
        <v>3376</v>
      </c>
      <c r="C22" s="3496" t="s">
        <v>3733</v>
      </c>
      <c r="D22" s="3496" t="s">
        <v>3557</v>
      </c>
      <c r="E22" s="3496" t="s">
        <v>3558</v>
      </c>
      <c r="F22" s="3496" t="s">
        <v>3601</v>
      </c>
      <c r="G22" s="3496" t="s">
        <v>3722</v>
      </c>
      <c r="H22" s="3496" t="s">
        <v>3561</v>
      </c>
      <c r="I22" s="3496">
        <v>14089.17</v>
      </c>
      <c r="J22" s="3496">
        <v>105000</v>
      </c>
      <c r="K22" s="3496">
        <v>7.45</v>
      </c>
      <c r="L22" s="3496">
        <v>7.45</v>
      </c>
      <c r="M22" s="3496" t="s">
        <v>3563</v>
      </c>
      <c r="N22" s="3496" t="s">
        <v>3564</v>
      </c>
      <c r="O22" s="3496" t="s">
        <v>3565</v>
      </c>
      <c r="P22" s="3496" t="s">
        <v>3566</v>
      </c>
      <c r="Q22" s="3496" t="s">
        <v>3567</v>
      </c>
      <c r="R22" s="3496" t="s">
        <v>3723</v>
      </c>
      <c r="S22" s="3496" t="s">
        <v>3734</v>
      </c>
      <c r="T22" s="3496" t="s">
        <v>3568</v>
      </c>
      <c r="U22" s="3496" t="s">
        <v>3568</v>
      </c>
      <c r="V22" s="3496" t="s">
        <v>3568</v>
      </c>
      <c r="W22" s="3496" t="s">
        <v>3568</v>
      </c>
      <c r="X22" s="3496">
        <v>0</v>
      </c>
      <c r="Y22" s="3496">
        <v>0</v>
      </c>
      <c r="Z22" s="3496">
        <v>0</v>
      </c>
      <c r="AA22" s="3496">
        <v>0</v>
      </c>
      <c r="AB22" s="3496">
        <v>43019.000497685185</v>
      </c>
      <c r="AC22" s="3496">
        <v>43039.000497685185</v>
      </c>
      <c r="AD22" s="3496">
        <v>43053.000497685185</v>
      </c>
      <c r="AE22" s="3499">
        <v>43053.000497685185</v>
      </c>
      <c r="AF22" s="3496" t="s">
        <v>3735</v>
      </c>
      <c r="AG22" s="3496" t="s">
        <v>3570</v>
      </c>
      <c r="AH22" s="3496" t="s">
        <v>3736</v>
      </c>
      <c r="AI22" s="3496" t="s">
        <v>3737</v>
      </c>
      <c r="AJ22" s="3496" t="s">
        <v>3597</v>
      </c>
      <c r="AK22" s="3496">
        <v>252000</v>
      </c>
      <c r="AL22" s="3496">
        <v>76000</v>
      </c>
      <c r="AM22" s="3496" t="s">
        <v>633</v>
      </c>
      <c r="AN22" s="3496">
        <v>355000</v>
      </c>
      <c r="AO22" s="3496">
        <v>178860.78</v>
      </c>
      <c r="AP22" s="3496">
        <v>251966.58</v>
      </c>
      <c r="AQ22" s="3496">
        <v>11924.05</v>
      </c>
      <c r="AR22" s="3496">
        <v>16797.77</v>
      </c>
      <c r="AS22" s="3496">
        <v>24000</v>
      </c>
      <c r="AT22" s="3496">
        <v>33810</v>
      </c>
      <c r="AU22" s="3496" t="s">
        <v>3568</v>
      </c>
      <c r="AV22" s="3496" t="s">
        <v>3568</v>
      </c>
      <c r="AW22" s="3496">
        <v>40.869999999999997</v>
      </c>
      <c r="AX22" s="3496" t="s">
        <v>3671</v>
      </c>
      <c r="AY22" s="3496" t="s">
        <v>3567</v>
      </c>
      <c r="AZ22" s="3496" t="s">
        <v>3568</v>
      </c>
      <c r="BA22" s="3496" t="s">
        <v>3567</v>
      </c>
      <c r="BB22" s="3496" t="s">
        <v>3568</v>
      </c>
      <c r="BC22" s="3496" t="s">
        <v>3568</v>
      </c>
      <c r="BD22" s="3496" t="s">
        <v>3568</v>
      </c>
      <c r="BE22" s="3496">
        <v>0</v>
      </c>
      <c r="BF22" s="3496" t="s">
        <v>3644</v>
      </c>
    </row>
    <row r="23" spans="1:58">
      <c r="A23" s="3496" t="s">
        <v>3738</v>
      </c>
      <c r="B23" s="3496" t="s">
        <v>3376</v>
      </c>
      <c r="C23" s="3496" t="s">
        <v>3739</v>
      </c>
      <c r="D23" s="3496" t="s">
        <v>3557</v>
      </c>
      <c r="E23" s="3496" t="s">
        <v>3558</v>
      </c>
      <c r="F23" s="3496" t="s">
        <v>3601</v>
      </c>
      <c r="G23" s="3496" t="s">
        <v>3722</v>
      </c>
      <c r="H23" s="3496" t="s">
        <v>3561</v>
      </c>
      <c r="I23" s="3496">
        <v>27295.08</v>
      </c>
      <c r="J23" s="3496">
        <v>160000</v>
      </c>
      <c r="K23" s="3496">
        <v>5.8</v>
      </c>
      <c r="L23" s="3496">
        <v>5.8</v>
      </c>
      <c r="M23" s="3496" t="s">
        <v>3563</v>
      </c>
      <c r="N23" s="3496" t="s">
        <v>3581</v>
      </c>
      <c r="O23" s="3496" t="s">
        <v>3582</v>
      </c>
      <c r="P23" s="3496" t="s">
        <v>3566</v>
      </c>
      <c r="Q23" s="3496" t="s">
        <v>3567</v>
      </c>
      <c r="R23" s="3496" t="s">
        <v>3568</v>
      </c>
      <c r="S23" s="3496" t="s">
        <v>3568</v>
      </c>
      <c r="T23" s="3496" t="s">
        <v>3568</v>
      </c>
      <c r="U23" s="3496" t="s">
        <v>3568</v>
      </c>
      <c r="V23" s="3496" t="s">
        <v>3568</v>
      </c>
      <c r="W23" s="3496" t="s">
        <v>3568</v>
      </c>
      <c r="X23" s="3496">
        <v>0</v>
      </c>
      <c r="Y23" s="3496">
        <v>0</v>
      </c>
      <c r="Z23" s="3496">
        <v>0</v>
      </c>
      <c r="AA23" s="3496">
        <v>0</v>
      </c>
      <c r="AB23" s="3496">
        <v>42839.000497685185</v>
      </c>
      <c r="AC23" s="3496">
        <v>42859.000497685185</v>
      </c>
      <c r="AD23" s="3496">
        <v>42873.000497685185</v>
      </c>
      <c r="AE23" s="3499">
        <v>42873.000497685185</v>
      </c>
      <c r="AF23" s="3496" t="s">
        <v>3740</v>
      </c>
      <c r="AG23" s="3496" t="s">
        <v>3570</v>
      </c>
      <c r="AH23" s="3496" t="s">
        <v>3741</v>
      </c>
      <c r="AI23" s="3496" t="s">
        <v>3742</v>
      </c>
      <c r="AJ23" s="3496" t="s">
        <v>3743</v>
      </c>
      <c r="AK23" s="3496">
        <v>432000</v>
      </c>
      <c r="AL23" s="3496">
        <v>130000</v>
      </c>
      <c r="AM23" s="3496" t="s">
        <v>633</v>
      </c>
      <c r="AN23" s="3496">
        <v>434000</v>
      </c>
      <c r="AO23" s="3496">
        <v>158270.28</v>
      </c>
      <c r="AP23" s="3496">
        <v>159003.01999999999</v>
      </c>
      <c r="AQ23" s="3496">
        <v>10551.35</v>
      </c>
      <c r="AR23" s="3496">
        <v>10600.2</v>
      </c>
      <c r="AS23" s="3496">
        <v>27000</v>
      </c>
      <c r="AT23" s="3496">
        <v>27125</v>
      </c>
      <c r="AU23" s="3496" t="s">
        <v>3568</v>
      </c>
      <c r="AV23" s="3496" t="s">
        <v>3568</v>
      </c>
      <c r="AW23" s="3496">
        <v>0.46</v>
      </c>
      <c r="AX23" s="3496" t="s">
        <v>3587</v>
      </c>
      <c r="AY23" s="3496" t="s">
        <v>3567</v>
      </c>
      <c r="AZ23" s="3496" t="s">
        <v>3568</v>
      </c>
      <c r="BA23" s="3496" t="s">
        <v>3567</v>
      </c>
      <c r="BB23" s="3496" t="s">
        <v>3568</v>
      </c>
      <c r="BC23" s="3496" t="s">
        <v>3568</v>
      </c>
      <c r="BD23" s="3496" t="s">
        <v>3568</v>
      </c>
      <c r="BE23" s="3496">
        <v>0</v>
      </c>
      <c r="BF23" s="3496" t="s">
        <v>3644</v>
      </c>
    </row>
    <row r="24" spans="1:58">
      <c r="A24" s="3496" t="s">
        <v>3744</v>
      </c>
      <c r="B24" s="3496" t="s">
        <v>3376</v>
      </c>
      <c r="C24" s="3496" t="s">
        <v>3745</v>
      </c>
      <c r="D24" s="3496" t="s">
        <v>3557</v>
      </c>
      <c r="E24" s="3496" t="s">
        <v>3591</v>
      </c>
      <c r="F24" s="3496" t="s">
        <v>3746</v>
      </c>
      <c r="G24" s="3496" t="s">
        <v>3747</v>
      </c>
      <c r="H24" s="3496" t="s">
        <v>3561</v>
      </c>
      <c r="I24" s="3496">
        <v>92055.95</v>
      </c>
      <c r="J24" s="3496">
        <v>92056</v>
      </c>
      <c r="K24" s="3496">
        <v>1</v>
      </c>
      <c r="L24" s="3496">
        <v>1</v>
      </c>
      <c r="M24" s="3496" t="s">
        <v>3689</v>
      </c>
      <c r="N24" s="3496" t="s">
        <v>3564</v>
      </c>
      <c r="O24" s="3496" t="s">
        <v>3565</v>
      </c>
      <c r="P24" s="3496" t="s">
        <v>3566</v>
      </c>
      <c r="Q24" s="3496" t="s">
        <v>3567</v>
      </c>
      <c r="R24" s="3496">
        <v>50</v>
      </c>
      <c r="S24" s="3496">
        <v>12</v>
      </c>
      <c r="T24" s="3496" t="s">
        <v>3568</v>
      </c>
      <c r="U24" s="3496" t="s">
        <v>3568</v>
      </c>
      <c r="V24" s="3496" t="s">
        <v>3568</v>
      </c>
      <c r="W24" s="3496" t="s">
        <v>3568</v>
      </c>
      <c r="X24" s="3496">
        <v>0</v>
      </c>
      <c r="Y24" s="3496">
        <v>0</v>
      </c>
      <c r="Z24" s="3496">
        <v>0</v>
      </c>
      <c r="AA24" s="3496">
        <v>0</v>
      </c>
      <c r="AB24" s="3496">
        <v>42810.000497685185</v>
      </c>
      <c r="AC24" s="3496">
        <v>42832.000497685185</v>
      </c>
      <c r="AD24" s="3496">
        <v>42836.000497685185</v>
      </c>
      <c r="AE24" s="3499">
        <v>42836.000497685185</v>
      </c>
      <c r="AF24" s="3496" t="s">
        <v>3748</v>
      </c>
      <c r="AG24" s="3496" t="s">
        <v>3570</v>
      </c>
      <c r="AH24" s="3496" t="s">
        <v>3749</v>
      </c>
      <c r="AI24" s="3496" t="s">
        <v>3750</v>
      </c>
      <c r="AJ24" s="3496" t="s">
        <v>3607</v>
      </c>
      <c r="AK24" s="3496" t="s">
        <v>3568</v>
      </c>
      <c r="AL24" s="3496">
        <v>57000</v>
      </c>
      <c r="AM24" s="3496" t="s">
        <v>633</v>
      </c>
      <c r="AN24" s="3496">
        <v>285373.59999999998</v>
      </c>
      <c r="AO24" s="3496" t="s">
        <v>3568</v>
      </c>
      <c r="AP24" s="3496">
        <v>31000.01</v>
      </c>
      <c r="AQ24" s="3496" t="s">
        <v>3568</v>
      </c>
      <c r="AR24" s="3496">
        <v>2066.67</v>
      </c>
      <c r="AS24" s="3496" t="s">
        <v>3568</v>
      </c>
      <c r="AT24" s="3496">
        <v>31000</v>
      </c>
      <c r="AU24" s="3496" t="s">
        <v>3568</v>
      </c>
      <c r="AV24" s="3496" t="s">
        <v>3568</v>
      </c>
      <c r="AW24" s="3496">
        <v>0</v>
      </c>
      <c r="AX24" s="3496" t="s">
        <v>3565</v>
      </c>
      <c r="AY24" s="3496" t="s">
        <v>3567</v>
      </c>
      <c r="AZ24" s="3496" t="s">
        <v>3568</v>
      </c>
      <c r="BA24" s="3496" t="s">
        <v>3567</v>
      </c>
      <c r="BB24" s="3496" t="s">
        <v>3568</v>
      </c>
      <c r="BC24" s="3496" t="s">
        <v>3568</v>
      </c>
      <c r="BD24" s="3496" t="s">
        <v>3568</v>
      </c>
      <c r="BE24" s="3496" t="s">
        <v>3568</v>
      </c>
      <c r="BF24" s="3496" t="s">
        <v>3644</v>
      </c>
    </row>
    <row r="25" spans="1:58">
      <c r="A25" s="3496" t="s">
        <v>3751</v>
      </c>
      <c r="B25" s="3496" t="s">
        <v>3376</v>
      </c>
      <c r="C25" s="3496" t="s">
        <v>3752</v>
      </c>
      <c r="D25" s="3496" t="s">
        <v>3557</v>
      </c>
      <c r="E25" s="3496" t="s">
        <v>3591</v>
      </c>
      <c r="F25" s="3496" t="s">
        <v>3753</v>
      </c>
      <c r="G25" s="3496" t="s">
        <v>3754</v>
      </c>
      <c r="H25" s="3496" t="s">
        <v>3561</v>
      </c>
      <c r="I25" s="3496">
        <v>39744.120000000003</v>
      </c>
      <c r="J25" s="3496">
        <v>119232</v>
      </c>
      <c r="K25" s="3496">
        <v>3</v>
      </c>
      <c r="L25" s="3496">
        <v>3</v>
      </c>
      <c r="M25" s="3496" t="s">
        <v>3563</v>
      </c>
      <c r="N25" s="3496" t="s">
        <v>3706</v>
      </c>
      <c r="O25" s="3496" t="s">
        <v>3707</v>
      </c>
      <c r="P25" s="3496" t="s">
        <v>3566</v>
      </c>
      <c r="Q25" s="3496" t="s">
        <v>3567</v>
      </c>
      <c r="R25" s="3496">
        <v>0.4</v>
      </c>
      <c r="S25" s="3496" t="s">
        <v>3755</v>
      </c>
      <c r="T25" s="3496" t="s">
        <v>3568</v>
      </c>
      <c r="U25" s="3496" t="s">
        <v>3568</v>
      </c>
      <c r="V25" s="3496" t="s">
        <v>3568</v>
      </c>
      <c r="W25" s="3496" t="s">
        <v>3568</v>
      </c>
      <c r="X25" s="3496">
        <v>0</v>
      </c>
      <c r="Y25" s="3496">
        <v>0</v>
      </c>
      <c r="Z25" s="3496">
        <v>0</v>
      </c>
      <c r="AA25" s="3496">
        <v>0</v>
      </c>
      <c r="AB25" s="3496">
        <v>42804.000497685185</v>
      </c>
      <c r="AC25" s="3496">
        <v>42824.000497685185</v>
      </c>
      <c r="AD25" s="3496">
        <v>42839.000497685185</v>
      </c>
      <c r="AE25" s="3499">
        <v>42839.000497685185</v>
      </c>
      <c r="AF25" s="3496" t="s">
        <v>3756</v>
      </c>
      <c r="AG25" s="3496" t="s">
        <v>3570</v>
      </c>
      <c r="AH25" s="3496" t="s">
        <v>3757</v>
      </c>
      <c r="AI25" s="3496" t="s">
        <v>3758</v>
      </c>
      <c r="AJ25" s="3496" t="s">
        <v>3759</v>
      </c>
      <c r="AK25" s="3496">
        <v>227000</v>
      </c>
      <c r="AL25" s="3496">
        <v>68500</v>
      </c>
      <c r="AM25" s="3496" t="s">
        <v>633</v>
      </c>
      <c r="AN25" s="3496">
        <v>292000</v>
      </c>
      <c r="AO25" s="3496">
        <v>57115.360000000001</v>
      </c>
      <c r="AP25" s="3496">
        <v>73469.98</v>
      </c>
      <c r="AQ25" s="3496">
        <v>3807.69</v>
      </c>
      <c r="AR25" s="3496">
        <v>4898</v>
      </c>
      <c r="AS25" s="3496">
        <v>19039</v>
      </c>
      <c r="AT25" s="3496">
        <v>24490</v>
      </c>
      <c r="AU25" s="3496" t="s">
        <v>3568</v>
      </c>
      <c r="AV25" s="3496" t="s">
        <v>3568</v>
      </c>
      <c r="AW25" s="3496">
        <v>28.63</v>
      </c>
      <c r="AX25" s="3496" t="s">
        <v>3574</v>
      </c>
      <c r="AY25" s="3496" t="s">
        <v>3567</v>
      </c>
      <c r="AZ25" s="3496" t="s">
        <v>3568</v>
      </c>
      <c r="BA25" s="3496" t="s">
        <v>3567</v>
      </c>
      <c r="BB25" s="3496" t="s">
        <v>3568</v>
      </c>
      <c r="BC25" s="3496" t="s">
        <v>3568</v>
      </c>
      <c r="BD25" s="3496" t="s">
        <v>3568</v>
      </c>
      <c r="BE25" s="3496" t="s">
        <v>3568</v>
      </c>
      <c r="BF25" s="3496" t="s">
        <v>3644</v>
      </c>
    </row>
    <row r="26" spans="1:58">
      <c r="A26" s="3496" t="s">
        <v>3760</v>
      </c>
      <c r="B26" s="3496" t="s">
        <v>3376</v>
      </c>
      <c r="C26" s="3496" t="s">
        <v>3761</v>
      </c>
      <c r="D26" s="3496" t="s">
        <v>3557</v>
      </c>
      <c r="E26" s="3496" t="s">
        <v>3591</v>
      </c>
      <c r="F26" s="3496" t="s">
        <v>3753</v>
      </c>
      <c r="G26" s="3496" t="s">
        <v>3762</v>
      </c>
      <c r="H26" s="3496" t="s">
        <v>3561</v>
      </c>
      <c r="I26" s="3496">
        <v>46165.91</v>
      </c>
      <c r="J26" s="3496">
        <v>92332</v>
      </c>
      <c r="K26" s="3496">
        <v>2</v>
      </c>
      <c r="L26" s="3496">
        <v>2</v>
      </c>
      <c r="M26" s="3496" t="s">
        <v>3563</v>
      </c>
      <c r="N26" s="3496" t="s">
        <v>3581</v>
      </c>
      <c r="O26" s="3496" t="s">
        <v>3582</v>
      </c>
      <c r="P26" s="3496" t="s">
        <v>3566</v>
      </c>
      <c r="Q26" s="3496" t="s">
        <v>3567</v>
      </c>
      <c r="R26" s="3496" t="s">
        <v>3568</v>
      </c>
      <c r="S26" s="3496" t="s">
        <v>3568</v>
      </c>
      <c r="T26" s="3496" t="s">
        <v>3568</v>
      </c>
      <c r="U26" s="3496" t="s">
        <v>3568</v>
      </c>
      <c r="V26" s="3496" t="s">
        <v>3568</v>
      </c>
      <c r="W26" s="3496" t="s">
        <v>3568</v>
      </c>
      <c r="X26" s="3496">
        <v>0</v>
      </c>
      <c r="Y26" s="3496">
        <v>0</v>
      </c>
      <c r="Z26" s="3496">
        <v>0</v>
      </c>
      <c r="AA26" s="3496">
        <v>0</v>
      </c>
      <c r="AB26" s="3496">
        <v>42790.000497685185</v>
      </c>
      <c r="AC26" s="3496">
        <v>42810.000497685185</v>
      </c>
      <c r="AD26" s="3496">
        <v>42824.000497685185</v>
      </c>
      <c r="AE26" s="3499">
        <v>42824.000497685185</v>
      </c>
      <c r="AF26" s="3496" t="s">
        <v>3763</v>
      </c>
      <c r="AG26" s="3496" t="s">
        <v>3570</v>
      </c>
      <c r="AH26" s="3496" t="s">
        <v>3764</v>
      </c>
      <c r="AI26" s="3496" t="s">
        <v>3765</v>
      </c>
      <c r="AJ26" s="3496" t="s">
        <v>3766</v>
      </c>
      <c r="AK26" s="3496">
        <v>176000</v>
      </c>
      <c r="AL26" s="3496">
        <v>53000</v>
      </c>
      <c r="AM26" s="3496" t="s">
        <v>633</v>
      </c>
      <c r="AN26" s="3496">
        <v>225000</v>
      </c>
      <c r="AO26" s="3496">
        <v>38123.360000000001</v>
      </c>
      <c r="AP26" s="3496">
        <v>48737.26</v>
      </c>
      <c r="AQ26" s="3496">
        <v>2541.56</v>
      </c>
      <c r="AR26" s="3496">
        <v>3249.15</v>
      </c>
      <c r="AS26" s="3496">
        <v>19062</v>
      </c>
      <c r="AT26" s="3496">
        <v>24369</v>
      </c>
      <c r="AU26" s="3496" t="s">
        <v>3568</v>
      </c>
      <c r="AV26" s="3496" t="s">
        <v>3568</v>
      </c>
      <c r="AW26" s="3496">
        <v>27.84</v>
      </c>
      <c r="AX26" s="3496" t="s">
        <v>3671</v>
      </c>
      <c r="AY26" s="3496" t="s">
        <v>3567</v>
      </c>
      <c r="AZ26" s="3496" t="s">
        <v>3568</v>
      </c>
      <c r="BA26" s="3496" t="s">
        <v>3567</v>
      </c>
      <c r="BB26" s="3496" t="s">
        <v>3568</v>
      </c>
      <c r="BC26" s="3496" t="s">
        <v>3568</v>
      </c>
      <c r="BD26" s="3496">
        <v>-48737</v>
      </c>
      <c r="BE26" s="3496">
        <v>0</v>
      </c>
      <c r="BF26" s="3496" t="s">
        <v>3644</v>
      </c>
    </row>
    <row r="27" spans="1:58">
      <c r="A27" s="3496" t="s">
        <v>3767</v>
      </c>
      <c r="B27" s="3496" t="s">
        <v>3376</v>
      </c>
      <c r="C27" s="3496" t="s">
        <v>3768</v>
      </c>
      <c r="D27" s="3496" t="s">
        <v>3557</v>
      </c>
      <c r="E27" s="3496" t="s">
        <v>3591</v>
      </c>
      <c r="F27" s="3496" t="s">
        <v>3753</v>
      </c>
      <c r="G27" s="3496" t="s">
        <v>3762</v>
      </c>
      <c r="H27" s="3496" t="s">
        <v>3561</v>
      </c>
      <c r="I27" s="3496">
        <v>38100</v>
      </c>
      <c r="J27" s="3496">
        <v>76200</v>
      </c>
      <c r="K27" s="3496">
        <v>2</v>
      </c>
      <c r="L27" s="3496">
        <v>2</v>
      </c>
      <c r="M27" s="3496" t="s">
        <v>3563</v>
      </c>
      <c r="N27" s="3496" t="s">
        <v>3581</v>
      </c>
      <c r="O27" s="3496" t="s">
        <v>3582</v>
      </c>
      <c r="P27" s="3496" t="s">
        <v>3566</v>
      </c>
      <c r="Q27" s="3496" t="s">
        <v>3567</v>
      </c>
      <c r="R27" s="3496" t="s">
        <v>3568</v>
      </c>
      <c r="S27" s="3496" t="s">
        <v>3568</v>
      </c>
      <c r="T27" s="3496" t="s">
        <v>3568</v>
      </c>
      <c r="U27" s="3496" t="s">
        <v>3568</v>
      </c>
      <c r="V27" s="3496" t="s">
        <v>3568</v>
      </c>
      <c r="W27" s="3496" t="s">
        <v>3568</v>
      </c>
      <c r="X27" s="3496">
        <v>0</v>
      </c>
      <c r="Y27" s="3496">
        <v>0</v>
      </c>
      <c r="Z27" s="3496">
        <v>0</v>
      </c>
      <c r="AA27" s="3496">
        <v>0</v>
      </c>
      <c r="AB27" s="3496">
        <v>42790.000497685185</v>
      </c>
      <c r="AC27" s="3496">
        <v>42810.000497685185</v>
      </c>
      <c r="AD27" s="3496">
        <v>42824.000497685185</v>
      </c>
      <c r="AE27" s="3499">
        <v>42824.000497685185</v>
      </c>
      <c r="AF27" s="3496" t="s">
        <v>3769</v>
      </c>
      <c r="AG27" s="3496" t="s">
        <v>3570</v>
      </c>
      <c r="AH27" s="3496" t="s">
        <v>3770</v>
      </c>
      <c r="AI27" s="3496" t="s">
        <v>3771</v>
      </c>
      <c r="AJ27" s="3496" t="s">
        <v>3616</v>
      </c>
      <c r="AK27" s="3496">
        <v>145000</v>
      </c>
      <c r="AL27" s="3496">
        <v>43500</v>
      </c>
      <c r="AM27" s="3496" t="s">
        <v>633</v>
      </c>
      <c r="AN27" s="3496">
        <v>204000</v>
      </c>
      <c r="AO27" s="3496">
        <v>38057.74</v>
      </c>
      <c r="AP27" s="3496">
        <v>53543.31</v>
      </c>
      <c r="AQ27" s="3496">
        <v>2537.1799999999998</v>
      </c>
      <c r="AR27" s="3496">
        <v>3569.55</v>
      </c>
      <c r="AS27" s="3496">
        <v>19029</v>
      </c>
      <c r="AT27" s="3496">
        <v>26772</v>
      </c>
      <c r="AU27" s="3496" t="s">
        <v>3568</v>
      </c>
      <c r="AV27" s="3496" t="s">
        <v>3568</v>
      </c>
      <c r="AW27" s="3496">
        <v>40.69</v>
      </c>
      <c r="AX27" s="3496" t="s">
        <v>3671</v>
      </c>
      <c r="AY27" s="3496" t="s">
        <v>3567</v>
      </c>
      <c r="AZ27" s="3496" t="s">
        <v>3568</v>
      </c>
      <c r="BA27" s="3496" t="s">
        <v>3567</v>
      </c>
      <c r="BB27" s="3496" t="s">
        <v>3568</v>
      </c>
      <c r="BC27" s="3496" t="s">
        <v>3568</v>
      </c>
      <c r="BD27" s="3496">
        <v>-53543</v>
      </c>
      <c r="BE27" s="3496">
        <v>0</v>
      </c>
      <c r="BF27" s="3496" t="s">
        <v>3644</v>
      </c>
    </row>
    <row r="28" spans="1:58">
      <c r="A28" s="3496" t="s">
        <v>3772</v>
      </c>
      <c r="B28" s="3496" t="s">
        <v>3376</v>
      </c>
      <c r="C28" s="3496" t="s">
        <v>3773</v>
      </c>
      <c r="D28" s="3496" t="s">
        <v>3557</v>
      </c>
      <c r="E28" s="3496" t="s">
        <v>3578</v>
      </c>
      <c r="F28" s="3496" t="s">
        <v>3579</v>
      </c>
      <c r="G28" s="3496" t="s">
        <v>3774</v>
      </c>
      <c r="H28" s="3496" t="s">
        <v>3561</v>
      </c>
      <c r="I28" s="3496">
        <v>13326.99</v>
      </c>
      <c r="J28" s="3496">
        <v>46644</v>
      </c>
      <c r="K28" s="3496">
        <v>3.5</v>
      </c>
      <c r="L28" s="3496">
        <v>3.5</v>
      </c>
      <c r="M28" s="3496" t="s">
        <v>3563</v>
      </c>
      <c r="N28" s="3496" t="s">
        <v>3775</v>
      </c>
      <c r="O28" s="3496" t="s">
        <v>3776</v>
      </c>
      <c r="P28" s="3496" t="s">
        <v>3566</v>
      </c>
      <c r="Q28" s="3496" t="s">
        <v>3567</v>
      </c>
      <c r="R28" s="3496" t="s">
        <v>3568</v>
      </c>
      <c r="S28" s="3496" t="s">
        <v>3568</v>
      </c>
      <c r="T28" s="3496" t="s">
        <v>3568</v>
      </c>
      <c r="U28" s="3496" t="s">
        <v>3568</v>
      </c>
      <c r="V28" s="3496" t="s">
        <v>3568</v>
      </c>
      <c r="W28" s="3496" t="s">
        <v>3568</v>
      </c>
      <c r="X28" s="3496">
        <v>0</v>
      </c>
      <c r="Y28" s="3496">
        <v>0</v>
      </c>
      <c r="Z28" s="3496">
        <v>0</v>
      </c>
      <c r="AA28" s="3496">
        <v>0</v>
      </c>
      <c r="AB28" s="3496">
        <v>42489.000497685185</v>
      </c>
      <c r="AC28" s="3496">
        <v>42509.000497685185</v>
      </c>
      <c r="AD28" s="3496">
        <v>42523.000497685185</v>
      </c>
      <c r="AE28" s="3499">
        <v>42523.000497685185</v>
      </c>
      <c r="AF28" s="3496" t="s">
        <v>3777</v>
      </c>
      <c r="AG28" s="3496" t="s">
        <v>3570</v>
      </c>
      <c r="AH28" s="3496" t="s">
        <v>3778</v>
      </c>
      <c r="AI28" s="3496" t="s">
        <v>3779</v>
      </c>
      <c r="AJ28" s="3496" t="s">
        <v>3597</v>
      </c>
      <c r="AK28" s="3496">
        <v>68000</v>
      </c>
      <c r="AL28" s="3496">
        <v>20500</v>
      </c>
      <c r="AM28" s="3496" t="s">
        <v>633</v>
      </c>
      <c r="AN28" s="3496">
        <v>141000</v>
      </c>
      <c r="AO28" s="3496">
        <v>51024.27</v>
      </c>
      <c r="AP28" s="3496">
        <v>105800.33</v>
      </c>
      <c r="AQ28" s="3496">
        <v>3401.62</v>
      </c>
      <c r="AR28" s="3496">
        <v>7053.36</v>
      </c>
      <c r="AS28" s="3496">
        <v>14579</v>
      </c>
      <c r="AT28" s="3496">
        <v>30229</v>
      </c>
      <c r="AU28" s="3496" t="s">
        <v>3568</v>
      </c>
      <c r="AV28" s="3496" t="s">
        <v>3568</v>
      </c>
      <c r="AW28" s="3496">
        <v>107.35</v>
      </c>
      <c r="AX28" s="3496" t="s">
        <v>3671</v>
      </c>
      <c r="AY28" s="3496" t="s">
        <v>3567</v>
      </c>
      <c r="AZ28" s="3496" t="s">
        <v>3568</v>
      </c>
      <c r="BA28" s="3496" t="s">
        <v>3567</v>
      </c>
      <c r="BB28" s="3496" t="s">
        <v>3568</v>
      </c>
      <c r="BC28" s="3496" t="s">
        <v>3568</v>
      </c>
      <c r="BD28" s="3496" t="s">
        <v>3568</v>
      </c>
      <c r="BE28" s="3496" t="s">
        <v>3568</v>
      </c>
      <c r="BF28" s="3496" t="s">
        <v>3644</v>
      </c>
    </row>
    <row r="29" spans="1:58">
      <c r="A29" s="3496" t="s">
        <v>3780</v>
      </c>
      <c r="B29" s="3496" t="s">
        <v>3376</v>
      </c>
      <c r="C29" s="3496" t="s">
        <v>3781</v>
      </c>
      <c r="D29" s="3496" t="s">
        <v>3557</v>
      </c>
      <c r="E29" s="3496" t="s">
        <v>3591</v>
      </c>
      <c r="F29" s="3496" t="s">
        <v>3782</v>
      </c>
      <c r="G29" s="3496" t="s">
        <v>3783</v>
      </c>
      <c r="H29" s="3496" t="s">
        <v>3561</v>
      </c>
      <c r="I29" s="3496">
        <v>18313.7</v>
      </c>
      <c r="J29" s="3496">
        <v>119400</v>
      </c>
      <c r="K29" s="3496">
        <v>6.52</v>
      </c>
      <c r="L29" s="3496">
        <v>0</v>
      </c>
      <c r="M29" s="3496" t="s">
        <v>3689</v>
      </c>
      <c r="N29" s="3496" t="s">
        <v>3564</v>
      </c>
      <c r="O29" s="3496" t="s">
        <v>3565</v>
      </c>
      <c r="P29" s="3496" t="s">
        <v>3566</v>
      </c>
      <c r="Q29" s="3496" t="s">
        <v>3567</v>
      </c>
      <c r="R29" s="3496" t="s">
        <v>3568</v>
      </c>
      <c r="S29" s="3496" t="s">
        <v>3568</v>
      </c>
      <c r="T29" s="3496" t="s">
        <v>3568</v>
      </c>
      <c r="U29" s="3496" t="s">
        <v>3568</v>
      </c>
      <c r="V29" s="3496" t="s">
        <v>3568</v>
      </c>
      <c r="W29" s="3496" t="s">
        <v>3568</v>
      </c>
      <c r="X29" s="3496">
        <v>0</v>
      </c>
      <c r="Y29" s="3496">
        <v>0</v>
      </c>
      <c r="Z29" s="3496">
        <v>0</v>
      </c>
      <c r="AA29" s="3496">
        <v>0</v>
      </c>
      <c r="AB29" s="3496">
        <v>42369.000497685185</v>
      </c>
      <c r="AC29" s="3496">
        <v>42391.000497685185</v>
      </c>
      <c r="AD29" s="3496">
        <v>42395.000497685185</v>
      </c>
      <c r="AE29" s="3499">
        <v>42395.000497685185</v>
      </c>
      <c r="AF29" s="3496" t="s">
        <v>3784</v>
      </c>
      <c r="AG29" s="3496" t="s">
        <v>3570</v>
      </c>
      <c r="AH29" s="3496" t="s">
        <v>3785</v>
      </c>
      <c r="AI29" s="3496" t="s">
        <v>3750</v>
      </c>
      <c r="AJ29" s="3496" t="s">
        <v>3607</v>
      </c>
      <c r="AK29" s="3496" t="s">
        <v>3568</v>
      </c>
      <c r="AL29" s="3496">
        <v>75000</v>
      </c>
      <c r="AM29" s="3496" t="s">
        <v>633</v>
      </c>
      <c r="AN29" s="3496">
        <v>415000</v>
      </c>
      <c r="AO29" s="3496" t="s">
        <v>3568</v>
      </c>
      <c r="AP29" s="3496">
        <v>226606.31</v>
      </c>
      <c r="AQ29" s="3496" t="s">
        <v>3568</v>
      </c>
      <c r="AR29" s="3496">
        <v>15107.09</v>
      </c>
      <c r="AS29" s="3496" t="s">
        <v>3568</v>
      </c>
      <c r="AT29" s="3496">
        <v>34757</v>
      </c>
      <c r="AU29" s="3496" t="s">
        <v>3568</v>
      </c>
      <c r="AV29" s="3496" t="s">
        <v>3568</v>
      </c>
      <c r="AW29" s="3496">
        <v>0</v>
      </c>
      <c r="AX29" s="3496" t="s">
        <v>3671</v>
      </c>
      <c r="AY29" s="3496" t="s">
        <v>3567</v>
      </c>
      <c r="AZ29" s="3496" t="s">
        <v>3568</v>
      </c>
      <c r="BA29" s="3496" t="s">
        <v>3567</v>
      </c>
      <c r="BB29" s="3496" t="s">
        <v>3568</v>
      </c>
      <c r="BC29" s="3496" t="s">
        <v>3568</v>
      </c>
      <c r="BD29" s="3496" t="s">
        <v>3568</v>
      </c>
      <c r="BE29" s="3496" t="s">
        <v>3568</v>
      </c>
      <c r="BF29" s="3496" t="s">
        <v>3588</v>
      </c>
    </row>
    <row r="30" spans="1:58">
      <c r="A30" s="3496" t="s">
        <v>3786</v>
      </c>
      <c r="B30" s="3496" t="s">
        <v>3376</v>
      </c>
      <c r="C30" s="3496" t="s">
        <v>3787</v>
      </c>
      <c r="D30" s="3496" t="s">
        <v>3557</v>
      </c>
      <c r="E30" s="3496" t="s">
        <v>3578</v>
      </c>
      <c r="F30" s="3496" t="s">
        <v>3579</v>
      </c>
      <c r="G30" s="3496" t="s">
        <v>3788</v>
      </c>
      <c r="H30" s="3496" t="s">
        <v>3561</v>
      </c>
      <c r="I30" s="3496">
        <v>17629.740000000002</v>
      </c>
      <c r="J30" s="3496">
        <v>52889</v>
      </c>
      <c r="K30" s="3496">
        <v>3</v>
      </c>
      <c r="L30" s="3496">
        <v>3</v>
      </c>
      <c r="M30" s="3496" t="s">
        <v>3563</v>
      </c>
      <c r="N30" s="3496" t="s">
        <v>3775</v>
      </c>
      <c r="O30" s="3496" t="s">
        <v>3776</v>
      </c>
      <c r="P30" s="3496" t="s">
        <v>3566</v>
      </c>
      <c r="Q30" s="3496" t="s">
        <v>3567</v>
      </c>
      <c r="R30" s="3496" t="s">
        <v>3568</v>
      </c>
      <c r="S30" s="3496" t="s">
        <v>3568</v>
      </c>
      <c r="T30" s="3496" t="s">
        <v>3568</v>
      </c>
      <c r="U30" s="3496" t="s">
        <v>3568</v>
      </c>
      <c r="V30" s="3496" t="s">
        <v>3568</v>
      </c>
      <c r="W30" s="3496" t="s">
        <v>3568</v>
      </c>
      <c r="X30" s="3496">
        <v>0</v>
      </c>
      <c r="Y30" s="3496">
        <v>0</v>
      </c>
      <c r="Z30" s="3496">
        <v>0</v>
      </c>
      <c r="AA30" s="3496">
        <v>0</v>
      </c>
      <c r="AB30" s="3496">
        <v>42271.000497685185</v>
      </c>
      <c r="AC30" s="3496">
        <v>42291.000497685185</v>
      </c>
      <c r="AD30" s="3496">
        <v>42305.000497685185</v>
      </c>
      <c r="AE30" s="3499">
        <v>42305.000497685185</v>
      </c>
      <c r="AF30" s="3496" t="s">
        <v>3789</v>
      </c>
      <c r="AG30" s="3496" t="s">
        <v>3570</v>
      </c>
      <c r="AH30" s="3496" t="s">
        <v>3790</v>
      </c>
      <c r="AI30" s="3496" t="s">
        <v>3791</v>
      </c>
      <c r="AJ30" s="3496" t="s">
        <v>3759</v>
      </c>
      <c r="AK30" s="3496">
        <v>63500</v>
      </c>
      <c r="AL30" s="3496">
        <v>19000</v>
      </c>
      <c r="AM30" s="3496" t="s">
        <v>633</v>
      </c>
      <c r="AN30" s="3496">
        <v>64200</v>
      </c>
      <c r="AO30" s="3496">
        <v>36018.68</v>
      </c>
      <c r="AP30" s="3496">
        <v>36415.74</v>
      </c>
      <c r="AQ30" s="3496">
        <v>2401.25</v>
      </c>
      <c r="AR30" s="3496">
        <v>2427.7199999999998</v>
      </c>
      <c r="AS30" s="3496">
        <v>12006</v>
      </c>
      <c r="AT30" s="3496">
        <v>12139</v>
      </c>
      <c r="AU30" s="3496" t="s">
        <v>3568</v>
      </c>
      <c r="AV30" s="3496" t="s">
        <v>3568</v>
      </c>
      <c r="AW30" s="3496">
        <v>1.1000000000000001</v>
      </c>
      <c r="AX30" s="3496" t="s">
        <v>3671</v>
      </c>
      <c r="AY30" s="3496" t="s">
        <v>3567</v>
      </c>
      <c r="AZ30" s="3496" t="s">
        <v>3568</v>
      </c>
      <c r="BA30" s="3496" t="s">
        <v>3567</v>
      </c>
      <c r="BB30" s="3496" t="s">
        <v>3568</v>
      </c>
      <c r="BC30" s="3496" t="s">
        <v>3568</v>
      </c>
      <c r="BD30" s="3496" t="s">
        <v>3568</v>
      </c>
      <c r="BE30" s="3496" t="s">
        <v>3568</v>
      </c>
      <c r="BF30" s="3496" t="s">
        <v>3644</v>
      </c>
    </row>
    <row r="31" spans="1:58">
      <c r="A31" s="3496" t="s">
        <v>3792</v>
      </c>
      <c r="B31" s="3496" t="s">
        <v>3376</v>
      </c>
      <c r="C31" s="3496" t="s">
        <v>3793</v>
      </c>
      <c r="D31" s="3496" t="s">
        <v>3557</v>
      </c>
      <c r="E31" s="3496" t="s">
        <v>3578</v>
      </c>
      <c r="F31" s="3496" t="s">
        <v>3579</v>
      </c>
      <c r="G31" s="3496" t="s">
        <v>3788</v>
      </c>
      <c r="H31" s="3496" t="s">
        <v>3561</v>
      </c>
      <c r="I31" s="3496">
        <v>20680.23</v>
      </c>
      <c r="J31" s="3496">
        <v>62041</v>
      </c>
      <c r="K31" s="3496">
        <v>3</v>
      </c>
      <c r="L31" s="3496">
        <v>3</v>
      </c>
      <c r="M31" s="3496" t="s">
        <v>3563</v>
      </c>
      <c r="N31" s="3496" t="s">
        <v>3775</v>
      </c>
      <c r="O31" s="3496" t="s">
        <v>3794</v>
      </c>
      <c r="P31" s="3496" t="s">
        <v>3566</v>
      </c>
      <c r="Q31" s="3496" t="s">
        <v>3567</v>
      </c>
      <c r="R31" s="3496" t="s">
        <v>3568</v>
      </c>
      <c r="S31" s="3496" t="s">
        <v>3568</v>
      </c>
      <c r="T31" s="3496" t="s">
        <v>3568</v>
      </c>
      <c r="U31" s="3496" t="s">
        <v>3568</v>
      </c>
      <c r="V31" s="3496" t="s">
        <v>3568</v>
      </c>
      <c r="W31" s="3496" t="s">
        <v>3568</v>
      </c>
      <c r="X31" s="3496">
        <v>0</v>
      </c>
      <c r="Y31" s="3496">
        <v>0</v>
      </c>
      <c r="Z31" s="3496">
        <v>0</v>
      </c>
      <c r="AA31" s="3496">
        <v>0</v>
      </c>
      <c r="AB31" s="3496">
        <v>42265.000497685185</v>
      </c>
      <c r="AC31" s="3496">
        <v>42290.000497685185</v>
      </c>
      <c r="AD31" s="3496">
        <v>42304.000497685185</v>
      </c>
      <c r="AE31" s="3499">
        <v>42304.000497685185</v>
      </c>
      <c r="AF31" s="3496" t="s">
        <v>3795</v>
      </c>
      <c r="AG31" s="3496" t="s">
        <v>3570</v>
      </c>
      <c r="AH31" s="3496" t="s">
        <v>3796</v>
      </c>
      <c r="AI31" s="3496" t="s">
        <v>3791</v>
      </c>
      <c r="AJ31" s="3496" t="s">
        <v>3759</v>
      </c>
      <c r="AK31" s="3496">
        <v>75000</v>
      </c>
      <c r="AL31" s="3496">
        <v>23000</v>
      </c>
      <c r="AM31" s="3496" t="s">
        <v>633</v>
      </c>
      <c r="AN31" s="3496">
        <v>81000</v>
      </c>
      <c r="AO31" s="3496">
        <v>36266.519999999997</v>
      </c>
      <c r="AP31" s="3496">
        <v>39167.839999999997</v>
      </c>
      <c r="AQ31" s="3496">
        <v>2417.77</v>
      </c>
      <c r="AR31" s="3496">
        <v>2611.19</v>
      </c>
      <c r="AS31" s="3496">
        <v>12089</v>
      </c>
      <c r="AT31" s="3496">
        <v>13056</v>
      </c>
      <c r="AU31" s="3496" t="s">
        <v>3568</v>
      </c>
      <c r="AV31" s="3496" t="s">
        <v>3568</v>
      </c>
      <c r="AW31" s="3496">
        <v>8</v>
      </c>
      <c r="AX31" s="3496" t="s">
        <v>3671</v>
      </c>
      <c r="AY31" s="3496" t="s">
        <v>3567</v>
      </c>
      <c r="AZ31" s="3496" t="s">
        <v>3568</v>
      </c>
      <c r="BA31" s="3496" t="s">
        <v>3567</v>
      </c>
      <c r="BB31" s="3496" t="s">
        <v>3568</v>
      </c>
      <c r="BC31" s="3496" t="s">
        <v>3568</v>
      </c>
      <c r="BD31" s="3496" t="s">
        <v>3568</v>
      </c>
      <c r="BE31" s="3496" t="s">
        <v>3568</v>
      </c>
      <c r="BF31" s="3496" t="s">
        <v>3644</v>
      </c>
    </row>
  </sheetData>
  <phoneticPr fontId="13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T131"/>
  <sheetViews>
    <sheetView view="pageBreakPreview" topLeftCell="A19" zoomScaleNormal="70" zoomScaleSheetLayoutView="100" workbookViewId="0">
      <selection activeCell="K37" sqref="K37"/>
    </sheetView>
  </sheetViews>
  <sheetFormatPr defaultColWidth="9" defaultRowHeight="14.25"/>
  <cols>
    <col min="1" max="1" width="10.5" style="347" customWidth="1"/>
    <col min="2" max="2" width="15.75" style="347" customWidth="1"/>
    <col min="3" max="3" width="22.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29" width="12.75" style="347" bestFit="1" customWidth="1"/>
    <col min="30" max="32" width="11.375" style="347" bestFit="1" customWidth="1"/>
    <col min="33" max="38" width="10.25" style="347" bestFit="1" customWidth="1"/>
    <col min="39" max="16384" width="9" style="347"/>
  </cols>
  <sheetData>
    <row r="1" spans="1:29" s="1220" customFormat="1" ht="28.5" customHeight="1" thickBot="1">
      <c r="A1" s="1209" t="s">
        <v>1659</v>
      </c>
      <c r="B1" s="1865" t="s">
        <v>1765</v>
      </c>
      <c r="C1" s="1225" t="s">
        <v>1661</v>
      </c>
      <c r="D1" s="1212" t="s">
        <v>3422</v>
      </c>
      <c r="E1" s="3403" t="s">
        <v>3496</v>
      </c>
      <c r="F1" s="1866" t="s">
        <v>3497</v>
      </c>
      <c r="G1" s="1222" t="s">
        <v>1766</v>
      </c>
      <c r="H1" s="1221"/>
      <c r="I1" s="1221"/>
      <c r="J1" s="1221"/>
      <c r="K1" s="1223"/>
      <c r="L1" s="1224"/>
      <c r="M1" s="1225"/>
      <c r="N1" s="1225"/>
      <c r="O1" s="1225"/>
      <c r="P1" s="1936"/>
      <c r="Q1" s="1937"/>
      <c r="R1" s="1937"/>
      <c r="S1" s="1937"/>
      <c r="T1" s="1937"/>
      <c r="U1" s="1937"/>
      <c r="V1" s="1937"/>
      <c r="W1" s="1937"/>
      <c r="X1" s="1937"/>
      <c r="Y1" s="1937"/>
      <c r="Z1" s="1937"/>
      <c r="AA1" s="1937"/>
      <c r="AB1" s="1937"/>
      <c r="AC1" s="1938"/>
    </row>
    <row r="2" spans="1:29" s="342" customFormat="1" ht="28.5" customHeight="1" thickTop="1">
      <c r="A2" s="1208" t="s">
        <v>1461</v>
      </c>
      <c r="B2" s="1151">
        <f>IF(E1="项目模式",IF(C2="——",ROUND(C49*D3/10000,0),ROUND(C49*D3/10000,0)-D2),IF(E1="单套模式",IF(C2="——",ROUND(C49*D3/10000,4),ROUND(C49*D3/10000,4)-D2)))</f>
        <v>383201</v>
      </c>
      <c r="C2" s="1868" t="s">
        <v>43</v>
      </c>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1939"/>
      <c r="Q2" s="899"/>
      <c r="R2" s="899"/>
      <c r="S2" s="899"/>
      <c r="T2" s="899"/>
      <c r="U2" s="899"/>
      <c r="V2" s="899"/>
      <c r="W2" s="899"/>
      <c r="X2" s="899"/>
      <c r="Y2" s="899"/>
      <c r="Z2" s="899"/>
      <c r="AA2" s="899"/>
      <c r="AB2" s="899"/>
      <c r="AC2" s="1940"/>
    </row>
    <row r="3" spans="1:29" s="342" customFormat="1" ht="28.5" customHeight="1" thickBot="1">
      <c r="A3" s="193" t="s">
        <v>1463</v>
      </c>
      <c r="B3" s="548">
        <f>IF(C2="——",C49,ROUND(B2*10000/D3,0))</f>
        <v>38978</v>
      </c>
      <c r="C3" s="344" t="s">
        <v>1767</v>
      </c>
      <c r="D3" s="343">
        <f>IF(D1="",'数据-汇总表'!E3,SUMIF('数据-汇总表'!$C19:$C33,D1,'数据-汇总表'!$E19:$E33))</f>
        <v>98312.17</v>
      </c>
      <c r="E3" s="1941"/>
      <c r="F3" s="896"/>
      <c r="G3" s="895"/>
      <c r="H3" s="895"/>
      <c r="I3" s="895"/>
      <c r="J3" s="895"/>
      <c r="K3" s="897"/>
      <c r="L3" s="2719"/>
      <c r="M3" s="2720"/>
      <c r="N3" s="2720"/>
      <c r="O3" s="2720"/>
      <c r="P3" s="1939"/>
      <c r="Q3" s="899"/>
      <c r="R3" s="899"/>
      <c r="S3" s="899"/>
      <c r="T3" s="899"/>
      <c r="U3" s="899"/>
      <c r="V3" s="899"/>
      <c r="W3" s="899"/>
      <c r="X3" s="899"/>
      <c r="Y3" s="899"/>
      <c r="Z3" s="899"/>
      <c r="AA3" s="899"/>
      <c r="AB3" s="899"/>
      <c r="AC3" s="1941"/>
    </row>
    <row r="4" spans="1:29" ht="15">
      <c r="A4" s="345" t="s">
        <v>1768</v>
      </c>
      <c r="B4" s="346"/>
      <c r="C4" s="3719" t="s">
        <v>1769</v>
      </c>
      <c r="D4" s="3720"/>
      <c r="E4" s="3721" t="s">
        <v>1770</v>
      </c>
      <c r="F4" s="3722"/>
      <c r="G4" s="3719" t="s">
        <v>1771</v>
      </c>
      <c r="H4" s="3720"/>
      <c r="I4" s="3719" t="s">
        <v>1772</v>
      </c>
      <c r="J4" s="3720"/>
      <c r="K4" s="549" t="s">
        <v>1773</v>
      </c>
      <c r="L4" s="2700"/>
      <c r="M4" s="2701"/>
      <c r="N4" s="2701"/>
      <c r="O4" s="2701"/>
      <c r="P4" s="3723" t="s">
        <v>1774</v>
      </c>
      <c r="Q4" s="3724"/>
      <c r="R4" s="3729" t="s">
        <v>1770</v>
      </c>
      <c r="S4" s="3730"/>
      <c r="T4" s="3729" t="s">
        <v>1771</v>
      </c>
      <c r="U4" s="3730"/>
      <c r="V4" s="3714" t="s">
        <v>1772</v>
      </c>
      <c r="W4" s="3714"/>
      <c r="X4" s="1342"/>
      <c r="Y4" s="3729" t="s">
        <v>1774</v>
      </c>
      <c r="Z4" s="3730"/>
      <c r="AA4" s="3716" t="s">
        <v>1770</v>
      </c>
      <c r="AB4" s="3714" t="s">
        <v>1771</v>
      </c>
      <c r="AC4" s="3716" t="s">
        <v>1772</v>
      </c>
    </row>
    <row r="5" spans="1:29" ht="15">
      <c r="A5" s="348"/>
      <c r="B5" s="349"/>
      <c r="C5" s="3737" t="s">
        <v>1672</v>
      </c>
      <c r="D5" s="3738"/>
      <c r="E5" s="3745" t="s">
        <v>3829</v>
      </c>
      <c r="F5" s="3746"/>
      <c r="G5" s="3737" t="s">
        <v>3834</v>
      </c>
      <c r="H5" s="3738"/>
      <c r="I5" s="3742" t="s">
        <v>3833</v>
      </c>
      <c r="J5" s="3738"/>
      <c r="K5" s="549"/>
      <c r="L5" s="2700"/>
      <c r="M5" s="2701"/>
      <c r="N5" s="2701"/>
      <c r="O5" s="2701"/>
      <c r="P5" s="3725"/>
      <c r="Q5" s="3726"/>
      <c r="R5" s="3731"/>
      <c r="S5" s="3732"/>
      <c r="T5" s="3731"/>
      <c r="U5" s="3732"/>
      <c r="V5" s="3714"/>
      <c r="W5" s="3714"/>
      <c r="X5" s="1342"/>
      <c r="Y5" s="3731"/>
      <c r="Z5" s="3732"/>
      <c r="AA5" s="3717"/>
      <c r="AB5" s="3714"/>
      <c r="AC5" s="3717"/>
    </row>
    <row r="6" spans="1:29" ht="15.75" thickBot="1">
      <c r="A6" s="350"/>
      <c r="B6" s="351"/>
      <c r="C6" s="3735" t="s">
        <v>1676</v>
      </c>
      <c r="D6" s="3736"/>
      <c r="E6" s="3743" t="s">
        <v>3460</v>
      </c>
      <c r="F6" s="3744"/>
      <c r="G6" s="3735" t="s">
        <v>3460</v>
      </c>
      <c r="H6" s="3736"/>
      <c r="I6" s="3735" t="s">
        <v>3460</v>
      </c>
      <c r="J6" s="3736"/>
      <c r="K6" s="549" t="s">
        <v>1677</v>
      </c>
      <c r="L6" s="2700"/>
      <c r="M6" s="2701"/>
      <c r="N6" s="2701"/>
      <c r="O6" s="2701"/>
      <c r="P6" s="3727"/>
      <c r="Q6" s="3728"/>
      <c r="R6" s="3731"/>
      <c r="S6" s="3732"/>
      <c r="T6" s="3733"/>
      <c r="U6" s="3734"/>
      <c r="V6" s="3714"/>
      <c r="W6" s="3714"/>
      <c r="X6" s="1342"/>
      <c r="Y6" s="3733"/>
      <c r="Z6" s="3734"/>
      <c r="AA6" s="3718"/>
      <c r="AB6" s="3714"/>
      <c r="AC6" s="3718"/>
    </row>
    <row r="7" spans="1:29" s="105" customFormat="1" ht="15.75" thickBot="1">
      <c r="A7" s="352" t="s">
        <v>1678</v>
      </c>
      <c r="B7" s="353"/>
      <c r="C7" s="354">
        <f>'数据-取费表'!B2</f>
        <v>45373</v>
      </c>
      <c r="D7" s="355">
        <v>100</v>
      </c>
      <c r="E7" s="356">
        <v>44348</v>
      </c>
      <c r="F7" s="357">
        <f>SUMIF(58:58,YEAR(E7)&amp;"-"&amp;MONTH(E7),59:59)</f>
        <v>100</v>
      </c>
      <c r="G7" s="356">
        <v>44713</v>
      </c>
      <c r="H7" s="355">
        <f>SUMIF(58:58,YEAR(G7)&amp;"-"&amp;MONTH(G7),59:59)</f>
        <v>100</v>
      </c>
      <c r="I7" s="356">
        <v>44287</v>
      </c>
      <c r="J7" s="355">
        <f>SUMIF(58:58,YEAR(I7)&amp;"-"&amp;MONTH(I7),59:59)</f>
        <v>100</v>
      </c>
      <c r="K7" s="550"/>
      <c r="L7" s="2702"/>
      <c r="M7" s="2703"/>
      <c r="N7" s="2703"/>
      <c r="O7" s="2703"/>
      <c r="P7" s="3739" t="s">
        <v>1679</v>
      </c>
      <c r="Q7" s="3741"/>
      <c r="R7" s="688" t="s">
        <v>14</v>
      </c>
      <c r="S7" s="689">
        <f t="shared" ref="S7:S15" si="0">F7</f>
        <v>100</v>
      </c>
      <c r="T7" s="688" t="s">
        <v>14</v>
      </c>
      <c r="U7" s="689">
        <f t="shared" ref="U7:U15" si="1">H7</f>
        <v>100</v>
      </c>
      <c r="V7" s="688" t="s">
        <v>14</v>
      </c>
      <c r="W7" s="689">
        <f t="shared" ref="W7:W15" si="2">J7</f>
        <v>100</v>
      </c>
      <c r="X7" s="690"/>
      <c r="Y7" s="3739" t="s">
        <v>1679</v>
      </c>
      <c r="Z7" s="3740"/>
      <c r="AA7" s="691">
        <f>D7/F7</f>
        <v>1</v>
      </c>
      <c r="AB7" s="691">
        <f>D7/H7</f>
        <v>1</v>
      </c>
      <c r="AC7" s="691">
        <f>D7/J7</f>
        <v>1</v>
      </c>
    </row>
    <row r="8" spans="1:29" s="105" customFormat="1" ht="15.75" thickBot="1">
      <c r="A8" s="352" t="s">
        <v>1680</v>
      </c>
      <c r="B8" s="353"/>
      <c r="C8" s="358" t="s">
        <v>3408</v>
      </c>
      <c r="D8" s="355">
        <v>100</v>
      </c>
      <c r="E8" s="358" t="s">
        <v>3408</v>
      </c>
      <c r="F8" s="357">
        <f>SUMIF(61:61,E8,62:62)-SUMIF(61:61,C8,62:62)+100</f>
        <v>100</v>
      </c>
      <c r="G8" s="358" t="s">
        <v>3408</v>
      </c>
      <c r="H8" s="355">
        <f>SUMIF(61:61,G8,62:62)-SUMIF(61:61,C8,62:62)+100</f>
        <v>100</v>
      </c>
      <c r="I8" s="358" t="s">
        <v>3408</v>
      </c>
      <c r="J8" s="355">
        <f>SUMIF(61:61,I8,62:62)-SUMIF(61:61,C8,62:62)+100</f>
        <v>100</v>
      </c>
      <c r="K8" s="550"/>
      <c r="L8" s="2702"/>
      <c r="M8" s="2703"/>
      <c r="N8" s="2703"/>
      <c r="O8" s="2703"/>
      <c r="P8" s="3739" t="s">
        <v>1682</v>
      </c>
      <c r="Q8" s="3740"/>
      <c r="R8" s="688" t="s">
        <v>14</v>
      </c>
      <c r="S8" s="689">
        <f t="shared" si="0"/>
        <v>100</v>
      </c>
      <c r="T8" s="688" t="s">
        <v>14</v>
      </c>
      <c r="U8" s="689">
        <f t="shared" si="1"/>
        <v>100</v>
      </c>
      <c r="V8" s="688" t="s">
        <v>14</v>
      </c>
      <c r="W8" s="689">
        <f t="shared" si="2"/>
        <v>100</v>
      </c>
      <c r="X8" s="690"/>
      <c r="Y8" s="3739" t="s">
        <v>1682</v>
      </c>
      <c r="Z8" s="3740"/>
      <c r="AA8" s="691">
        <f t="shared" ref="AA8:AA46" si="3">D8/F8</f>
        <v>1</v>
      </c>
      <c r="AB8" s="691">
        <f t="shared" ref="AB8:AB46" si="4">D8/H8</f>
        <v>1</v>
      </c>
      <c r="AC8" s="691">
        <f t="shared" ref="AC8:AC46" si="5">D8/J8</f>
        <v>1</v>
      </c>
    </row>
    <row r="9" spans="1:29" s="105" customFormat="1">
      <c r="A9" s="359" t="s">
        <v>1683</v>
      </c>
      <c r="B9" s="63" t="s">
        <v>1684</v>
      </c>
      <c r="C9" s="3489" t="s">
        <v>3476</v>
      </c>
      <c r="D9" s="116">
        <v>100</v>
      </c>
      <c r="E9" s="361" t="s">
        <v>673</v>
      </c>
      <c r="F9" s="362">
        <f>SUMIF(63:63,E9,64:64)-SUMIF(63:63,C9,64:64)+100</f>
        <v>100</v>
      </c>
      <c r="G9" s="361" t="s">
        <v>673</v>
      </c>
      <c r="H9" s="116">
        <f>SUMIF(63:63,G9,64:64)-SUMIF(63:63,C9,64:64)+100</f>
        <v>100</v>
      </c>
      <c r="I9" s="361" t="s">
        <v>673</v>
      </c>
      <c r="J9" s="116">
        <f>SUMIF(63:63,I9,64:64)-SUMIF(63:63,C9,64:64)+100</f>
        <v>100</v>
      </c>
      <c r="K9" s="550"/>
      <c r="L9" s="2702"/>
      <c r="M9" s="2703"/>
      <c r="N9" s="2703"/>
      <c r="O9" s="2703"/>
      <c r="P9" s="3715" t="s">
        <v>1685</v>
      </c>
      <c r="Q9" s="1330" t="str">
        <f t="shared" ref="Q9:Q15" si="6">B9</f>
        <v>用途</v>
      </c>
      <c r="R9" s="688" t="s">
        <v>14</v>
      </c>
      <c r="S9" s="689">
        <f t="shared" si="0"/>
        <v>100</v>
      </c>
      <c r="T9" s="688" t="s">
        <v>14</v>
      </c>
      <c r="U9" s="689">
        <f t="shared" si="1"/>
        <v>100</v>
      </c>
      <c r="V9" s="688" t="s">
        <v>14</v>
      </c>
      <c r="W9" s="689">
        <f t="shared" si="2"/>
        <v>100</v>
      </c>
      <c r="X9" s="690"/>
      <c r="Y9" s="3607" t="s">
        <v>1686</v>
      </c>
      <c r="Z9" s="52" t="str">
        <f t="shared" ref="Z9:Z15" si="7">Q9</f>
        <v>用途</v>
      </c>
      <c r="AA9" s="691">
        <f t="shared" si="3"/>
        <v>1</v>
      </c>
      <c r="AB9" s="691">
        <f t="shared" si="4"/>
        <v>1</v>
      </c>
      <c r="AC9" s="691">
        <f t="shared" si="5"/>
        <v>1</v>
      </c>
    </row>
    <row r="10" spans="1:29" s="368" customFormat="1" ht="27">
      <c r="A10" s="364"/>
      <c r="B10" s="365" t="s">
        <v>1687</v>
      </c>
      <c r="C10" s="3411" t="s">
        <v>3475</v>
      </c>
      <c r="D10" s="117">
        <v>100</v>
      </c>
      <c r="E10" s="3412" t="s">
        <v>3475</v>
      </c>
      <c r="F10" s="366">
        <f>SUMIF(65:65,E10,66:66)-SUMIF(65:65,C10,66:66)+100</f>
        <v>100</v>
      </c>
      <c r="G10" s="3411" t="s">
        <v>3467</v>
      </c>
      <c r="H10" s="117">
        <f>SUMIF(65:65,G10,66:66)-SUMIF(65:65,C10,66:66)+100</f>
        <v>101</v>
      </c>
      <c r="I10" s="3411" t="s">
        <v>3475</v>
      </c>
      <c r="J10" s="117">
        <f>SUMIF(65:65,I10,66:66)-SUMIF(65:65,C10,66:66)+100</f>
        <v>100</v>
      </c>
      <c r="K10" s="550"/>
      <c r="L10" s="2704"/>
      <c r="M10" s="2705"/>
      <c r="N10" s="2705"/>
      <c r="O10" s="2705"/>
      <c r="P10" s="3715"/>
      <c r="Q10" s="1330" t="str">
        <f t="shared" si="6"/>
        <v>土地使用年限（年）</v>
      </c>
      <c r="R10" s="688" t="s">
        <v>14</v>
      </c>
      <c r="S10" s="689">
        <f t="shared" si="0"/>
        <v>100</v>
      </c>
      <c r="T10" s="688" t="s">
        <v>14</v>
      </c>
      <c r="U10" s="689">
        <f t="shared" si="1"/>
        <v>101</v>
      </c>
      <c r="V10" s="688" t="s">
        <v>14</v>
      </c>
      <c r="W10" s="689">
        <f t="shared" si="2"/>
        <v>100</v>
      </c>
      <c r="X10" s="690"/>
      <c r="Y10" s="3607"/>
      <c r="Z10" s="52" t="str">
        <f t="shared" si="7"/>
        <v>土地使用年限（年）</v>
      </c>
      <c r="AA10" s="691">
        <f t="shared" si="3"/>
        <v>1</v>
      </c>
      <c r="AB10" s="691">
        <f t="shared" si="4"/>
        <v>0.99009900990099009</v>
      </c>
      <c r="AC10" s="691">
        <f t="shared" si="5"/>
        <v>1</v>
      </c>
    </row>
    <row r="11" spans="1:29" ht="15">
      <c r="A11" s="369"/>
      <c r="B11" s="365" t="s">
        <v>1688</v>
      </c>
      <c r="C11" s="370"/>
      <c r="D11" s="117">
        <v>100</v>
      </c>
      <c r="E11" s="371"/>
      <c r="F11" s="366">
        <f>LOOKUP(E11,68:68,69:69)-LOOKUP(C11,68:68,69:69)+100</f>
        <v>100</v>
      </c>
      <c r="G11" s="370"/>
      <c r="H11" s="117">
        <f>LOOKUP(G11,68:68,69:69)-LOOKUP(C11,68:68,69:69)+100</f>
        <v>100</v>
      </c>
      <c r="I11" s="3515"/>
      <c r="J11" s="117">
        <f>LOOKUP(I11,68:68,69:69)-LOOKUP(C11,68:68,69:69)+100</f>
        <v>100</v>
      </c>
      <c r="K11" s="551"/>
      <c r="L11" s="2706"/>
      <c r="M11" s="2701"/>
      <c r="N11" s="2701"/>
      <c r="O11" s="2701"/>
      <c r="P11" s="3715"/>
      <c r="Q11" s="1330" t="str">
        <f t="shared" si="6"/>
        <v>容积率</v>
      </c>
      <c r="R11" s="688" t="s">
        <v>14</v>
      </c>
      <c r="S11" s="689">
        <f t="shared" si="0"/>
        <v>100</v>
      </c>
      <c r="T11" s="688" t="s">
        <v>14</v>
      </c>
      <c r="U11" s="689">
        <f t="shared" si="1"/>
        <v>100</v>
      </c>
      <c r="V11" s="688" t="s">
        <v>14</v>
      </c>
      <c r="W11" s="689">
        <f t="shared" si="2"/>
        <v>100</v>
      </c>
      <c r="X11" s="690"/>
      <c r="Y11" s="3607"/>
      <c r="Z11" s="52" t="str">
        <f t="shared" si="7"/>
        <v>容积率</v>
      </c>
      <c r="AA11" s="691">
        <f t="shared" si="3"/>
        <v>1</v>
      </c>
      <c r="AB11" s="691">
        <f t="shared" si="4"/>
        <v>1</v>
      </c>
      <c r="AC11" s="691">
        <f t="shared" si="5"/>
        <v>1</v>
      </c>
    </row>
    <row r="12" spans="1:29" s="105" customFormat="1" ht="15">
      <c r="A12" s="372"/>
      <c r="B12" s="1880">
        <v>111</v>
      </c>
      <c r="C12" s="373"/>
      <c r="D12" s="374">
        <v>100</v>
      </c>
      <c r="E12" s="375">
        <v>2009</v>
      </c>
      <c r="F12" s="366">
        <f>SUMIF(70:70,E12,71:71)-SUMIF(70:70,C12,71:71)+100</f>
        <v>100</v>
      </c>
      <c r="G12" s="375">
        <v>2008</v>
      </c>
      <c r="H12" s="117">
        <f>SUMIF(70:70,G12,71:71)-SUMIF(70:70,C12,71:71)+100</f>
        <v>100</v>
      </c>
      <c r="I12" s="375">
        <v>1998</v>
      </c>
      <c r="J12" s="117">
        <f>SUMIF(70:70,I12,71:71)-SUMIF(70:70,C12,71:71)+100</f>
        <v>100</v>
      </c>
      <c r="K12" s="552"/>
      <c r="L12" s="2702"/>
      <c r="M12" s="2703"/>
      <c r="N12" s="2703"/>
      <c r="O12" s="2703"/>
      <c r="P12" s="3715"/>
      <c r="Q12" s="1330">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
      <c r="A13" s="369"/>
      <c r="B13" s="1880">
        <v>111</v>
      </c>
      <c r="C13" s="375"/>
      <c r="D13" s="376">
        <v>100</v>
      </c>
      <c r="E13" s="3515">
        <f>ROUND((1-0)-(2024-E12)/60,2)</f>
        <v>0.75</v>
      </c>
      <c r="F13" s="366">
        <f>SUMIF(72:72,E13,73:73)-SUMIF(72:72,C13,73:73)+100</f>
        <v>100</v>
      </c>
      <c r="G13" s="3515">
        <f>ROUND((1-0)-(2024-G12)/60,2)</f>
        <v>0.73</v>
      </c>
      <c r="H13" s="376">
        <f>SUMIF(72:72,G13,73:73)-SUMIF(72:72,C13,73:73)+100</f>
        <v>100</v>
      </c>
      <c r="I13" s="3515">
        <f>ROUND((1-0)-(2024-I12)/60,2)</f>
        <v>0.56999999999999995</v>
      </c>
      <c r="J13" s="376">
        <f>SUMIF(72:72,I13,73:73)-SUMIF(72:72,C13,73:73)+100</f>
        <v>100</v>
      </c>
      <c r="K13" s="552"/>
      <c r="L13" s="2707"/>
      <c r="M13" s="2701"/>
      <c r="N13" s="2701"/>
      <c r="O13" s="2701"/>
      <c r="P13" s="3715"/>
      <c r="Q13" s="1330">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5.75" thickBot="1">
      <c r="A14" s="377"/>
      <c r="B14" s="1882">
        <v>111</v>
      </c>
      <c r="C14" s="378"/>
      <c r="D14" s="379">
        <v>100</v>
      </c>
      <c r="E14" s="375"/>
      <c r="F14" s="380">
        <f>SUMIF(74:74,E14,75:75)-SUMIF(74:74,C14,75:75)+100</f>
        <v>100</v>
      </c>
      <c r="G14" s="375"/>
      <c r="H14" s="379">
        <f>SUMIF(74:74,G14,75:75)-SUMIF(74:74,C14,75:75)+100</f>
        <v>100</v>
      </c>
      <c r="I14" s="375"/>
      <c r="J14" s="379">
        <f>SUMIF(74:74,I14,75:75)-SUMIF(74:74,C14,75:75)+100</f>
        <v>100</v>
      </c>
      <c r="K14" s="552"/>
      <c r="L14" s="2707"/>
      <c r="M14" s="2701"/>
      <c r="N14" s="2701"/>
      <c r="O14" s="2701"/>
      <c r="P14" s="3715"/>
      <c r="Q14" s="1330">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691">
        <f t="shared" si="5"/>
        <v>1</v>
      </c>
    </row>
    <row r="15" spans="1:29" ht="57">
      <c r="A15" s="381" t="s">
        <v>1689</v>
      </c>
      <c r="B15" s="61" t="s">
        <v>1776</v>
      </c>
      <c r="C15" s="1883" t="str">
        <f>估价对象房地状况!C4</f>
        <v>估价对象位于板井路，周边商业氛围较成熟，人流量较大，世纪金源购物中心等，商业繁华度较好</v>
      </c>
      <c r="D15" s="382">
        <v>100</v>
      </c>
      <c r="E15" s="383" t="s">
        <v>3389</v>
      </c>
      <c r="F15" s="384">
        <f>SUMIF(76:76,E16,77:77)-SUMIF(76:76,C16,77:77)+100</f>
        <v>105</v>
      </c>
      <c r="G15" s="385"/>
      <c r="H15" s="382">
        <f>SUMIF(76:76,G16,77:77)-SUMIF(76:76,C16,77:77)+100</f>
        <v>95</v>
      </c>
      <c r="I15" s="383"/>
      <c r="J15" s="382">
        <f>SUMIF(76:76,I16,77:77)-SUMIF(76:76,C16,77:77)+100</f>
        <v>95</v>
      </c>
      <c r="K15" s="553">
        <v>5</v>
      </c>
      <c r="L15" s="2707"/>
      <c r="M15" s="2701"/>
      <c r="N15" s="2701"/>
      <c r="O15" s="2701"/>
      <c r="P15" s="3705" t="s">
        <v>1690</v>
      </c>
      <c r="Q15" s="1339" t="str">
        <f t="shared" si="6"/>
        <v>商业繁华度</v>
      </c>
      <c r="R15" s="692" t="s">
        <v>14</v>
      </c>
      <c r="S15" s="693">
        <f t="shared" si="0"/>
        <v>105</v>
      </c>
      <c r="T15" s="692" t="s">
        <v>14</v>
      </c>
      <c r="U15" s="693">
        <f t="shared" si="1"/>
        <v>95</v>
      </c>
      <c r="V15" s="692" t="s">
        <v>14</v>
      </c>
      <c r="W15" s="693">
        <f t="shared" si="2"/>
        <v>95</v>
      </c>
      <c r="X15" s="1342"/>
      <c r="Y15" s="3707" t="s">
        <v>1690</v>
      </c>
      <c r="Z15" s="1343" t="str">
        <f t="shared" si="7"/>
        <v>商业繁华度</v>
      </c>
      <c r="AA15" s="1340">
        <f t="shared" si="3"/>
        <v>0.95238095238095233</v>
      </c>
      <c r="AB15" s="1340">
        <f t="shared" si="4"/>
        <v>1.0526315789473684</v>
      </c>
      <c r="AC15" s="1340">
        <f t="shared" si="5"/>
        <v>1.0526315789473684</v>
      </c>
    </row>
    <row r="16" spans="1:29" ht="15">
      <c r="A16" s="369"/>
      <c r="B16" s="387"/>
      <c r="C16" s="388" t="s">
        <v>3389</v>
      </c>
      <c r="D16" s="389"/>
      <c r="E16" s="388" t="s">
        <v>3816</v>
      </c>
      <c r="F16" s="390"/>
      <c r="G16" s="388" t="s">
        <v>3390</v>
      </c>
      <c r="H16" s="391"/>
      <c r="I16" s="388" t="s">
        <v>3390</v>
      </c>
      <c r="J16" s="389"/>
      <c r="K16" s="554"/>
      <c r="L16" s="2707"/>
      <c r="M16" s="2701"/>
      <c r="N16" s="2701"/>
      <c r="O16" s="2701"/>
      <c r="P16" s="3706"/>
      <c r="Q16" s="1339"/>
      <c r="R16" s="692"/>
      <c r="S16" s="693"/>
      <c r="T16" s="692"/>
      <c r="U16" s="693"/>
      <c r="V16" s="692"/>
      <c r="W16" s="693"/>
      <c r="X16" s="1342"/>
      <c r="Y16" s="3708"/>
      <c r="Z16" s="1343"/>
      <c r="AA16" s="1340">
        <v>1</v>
      </c>
      <c r="AB16" s="1340">
        <v>1</v>
      </c>
      <c r="AC16" s="1340">
        <v>1</v>
      </c>
    </row>
    <row r="17" spans="1:29" ht="57">
      <c r="A17" s="369"/>
      <c r="B17" s="392" t="s">
        <v>1259</v>
      </c>
      <c r="C17" s="1887" t="str">
        <f>估价对象房地状况!C6</f>
        <v>估价对象周边道路状况、公共交通通达情况、停车便捷程度，综合评价交通便捷度较好</v>
      </c>
      <c r="D17" s="391">
        <v>100</v>
      </c>
      <c r="E17" s="393" t="s">
        <v>3816</v>
      </c>
      <c r="F17" s="394">
        <f>SUMIF(78:78,E18,79:79)-SUMIF(78:78,C18,79:79)+100</f>
        <v>102</v>
      </c>
      <c r="G17" s="395"/>
      <c r="H17" s="396">
        <f>SUMIF(78:78,G18,79:79)-SUMIF(78:78,C18,79:79)+100</f>
        <v>100</v>
      </c>
      <c r="I17" s="393"/>
      <c r="J17" s="396">
        <f>SUMIF(78:78,I18,79:79)-SUMIF(78:78,C18,79:79)+100</f>
        <v>100</v>
      </c>
      <c r="K17" s="553">
        <v>2</v>
      </c>
      <c r="L17" s="2707"/>
      <c r="M17" s="2701"/>
      <c r="N17" s="2701"/>
      <c r="O17" s="2701"/>
      <c r="P17" s="3706"/>
      <c r="Q17" s="1339" t="str">
        <f>B17</f>
        <v>交通便捷度</v>
      </c>
      <c r="R17" s="692" t="s">
        <v>14</v>
      </c>
      <c r="S17" s="693">
        <f>F17</f>
        <v>102</v>
      </c>
      <c r="T17" s="692" t="s">
        <v>14</v>
      </c>
      <c r="U17" s="693">
        <f>H17</f>
        <v>100</v>
      </c>
      <c r="V17" s="692" t="s">
        <v>14</v>
      </c>
      <c r="W17" s="693">
        <f>J17</f>
        <v>100</v>
      </c>
      <c r="X17" s="1342"/>
      <c r="Y17" s="3708"/>
      <c r="Z17" s="1343" t="str">
        <f>Q17</f>
        <v>交通便捷度</v>
      </c>
      <c r="AA17" s="1340">
        <f t="shared" si="3"/>
        <v>0.98039215686274506</v>
      </c>
      <c r="AB17" s="1340">
        <f t="shared" si="4"/>
        <v>1</v>
      </c>
      <c r="AC17" s="1340">
        <f t="shared" si="5"/>
        <v>1</v>
      </c>
    </row>
    <row r="18" spans="1:29" ht="15">
      <c r="A18" s="369"/>
      <c r="B18" s="397"/>
      <c r="C18" s="1888" t="s">
        <v>3389</v>
      </c>
      <c r="D18" s="391"/>
      <c r="E18" s="1890" t="s">
        <v>3816</v>
      </c>
      <c r="F18" s="394"/>
      <c r="G18" s="1889" t="s">
        <v>3389</v>
      </c>
      <c r="H18" s="389"/>
      <c r="I18" s="1890" t="s">
        <v>3389</v>
      </c>
      <c r="J18" s="389"/>
      <c r="K18" s="554"/>
      <c r="L18" s="2707"/>
      <c r="M18" s="2701"/>
      <c r="N18" s="2701"/>
      <c r="O18" s="2701"/>
      <c r="P18" s="3706"/>
      <c r="Q18" s="1339"/>
      <c r="R18" s="692"/>
      <c r="S18" s="693"/>
      <c r="T18" s="692"/>
      <c r="U18" s="693"/>
      <c r="V18" s="692"/>
      <c r="W18" s="693"/>
      <c r="X18" s="1342"/>
      <c r="Y18" s="3708"/>
      <c r="Z18" s="1343"/>
      <c r="AA18" s="1340">
        <v>1</v>
      </c>
      <c r="AB18" s="1340">
        <v>1</v>
      </c>
      <c r="AC18" s="1340">
        <v>1</v>
      </c>
    </row>
    <row r="19" spans="1:29" ht="28.5">
      <c r="A19" s="369"/>
      <c r="B19" s="392" t="s">
        <v>1777</v>
      </c>
      <c r="C19" s="1887" t="str">
        <f>估价对象房地状况!C7</f>
        <v>估价对象所在区域公共配套设施齐备情况较好</v>
      </c>
      <c r="D19" s="396">
        <v>100</v>
      </c>
      <c r="E19" s="398" t="s">
        <v>3389</v>
      </c>
      <c r="F19" s="399">
        <f>SUMIF(80:80,E20,81:81)-SUMIF(80:80,C20,81:81)+100</f>
        <v>100</v>
      </c>
      <c r="G19" s="400"/>
      <c r="H19" s="391">
        <f>SUMIF(80:80,G20,81:81)-SUMIF(80:80,C20,81:81)+100</f>
        <v>100</v>
      </c>
      <c r="I19" s="398"/>
      <c r="J19" s="391">
        <f>SUMIF(80:80,I20,81:81)-SUMIF(80:80,C20,81:81)+100</f>
        <v>100</v>
      </c>
      <c r="K19" s="553">
        <v>2</v>
      </c>
      <c r="L19" s="2707"/>
      <c r="M19" s="2701"/>
      <c r="N19" s="2701"/>
      <c r="O19" s="2701"/>
      <c r="P19" s="3706"/>
      <c r="Q19" s="1339" t="str">
        <f>B19</f>
        <v>公共配套设施</v>
      </c>
      <c r="R19" s="692" t="s">
        <v>14</v>
      </c>
      <c r="S19" s="693">
        <f>F19</f>
        <v>100</v>
      </c>
      <c r="T19" s="692" t="s">
        <v>14</v>
      </c>
      <c r="U19" s="693">
        <f>H19</f>
        <v>100</v>
      </c>
      <c r="V19" s="692" t="s">
        <v>14</v>
      </c>
      <c r="W19" s="693">
        <f>J19</f>
        <v>100</v>
      </c>
      <c r="X19" s="1342"/>
      <c r="Y19" s="3708"/>
      <c r="Z19" s="1343" t="str">
        <f>Q19</f>
        <v>公共配套设施</v>
      </c>
      <c r="AA19" s="1340">
        <f t="shared" si="3"/>
        <v>1</v>
      </c>
      <c r="AB19" s="1340">
        <f t="shared" si="4"/>
        <v>1</v>
      </c>
      <c r="AC19" s="1340">
        <f t="shared" si="5"/>
        <v>1</v>
      </c>
    </row>
    <row r="20" spans="1:29" ht="15">
      <c r="A20" s="369"/>
      <c r="B20" s="397"/>
      <c r="C20" s="388" t="s">
        <v>3389</v>
      </c>
      <c r="D20" s="389"/>
      <c r="E20" s="1885" t="s">
        <v>3389</v>
      </c>
      <c r="F20" s="390"/>
      <c r="G20" s="1884" t="s">
        <v>3389</v>
      </c>
      <c r="H20" s="389"/>
      <c r="I20" s="1885" t="s">
        <v>3389</v>
      </c>
      <c r="J20" s="389"/>
      <c r="K20" s="554"/>
      <c r="L20" s="2707"/>
      <c r="M20" s="2701"/>
      <c r="N20" s="2701"/>
      <c r="O20" s="2701"/>
      <c r="P20" s="3706"/>
      <c r="Q20" s="1339"/>
      <c r="R20" s="692"/>
      <c r="S20" s="693"/>
      <c r="T20" s="692"/>
      <c r="U20" s="693"/>
      <c r="V20" s="692"/>
      <c r="W20" s="693"/>
      <c r="X20" s="1342"/>
      <c r="Y20" s="3708"/>
      <c r="Z20" s="1343"/>
      <c r="AA20" s="1340">
        <v>1</v>
      </c>
      <c r="AB20" s="1340">
        <v>1</v>
      </c>
      <c r="AC20" s="1340">
        <v>1</v>
      </c>
    </row>
    <row r="21" spans="1:29" ht="15">
      <c r="A21" s="369"/>
      <c r="B21" s="1118" t="s">
        <v>1778</v>
      </c>
      <c r="C21" s="1887" t="str">
        <f>估价对象房地状况!C8</f>
        <v>七通</v>
      </c>
      <c r="D21" s="396">
        <v>100</v>
      </c>
      <c r="E21" s="398" t="s">
        <v>3464</v>
      </c>
      <c r="F21" s="399">
        <f>SUMIF(82:82,E22,83:83)-SUMIF(82:82,C22,83:83)+100</f>
        <v>100</v>
      </c>
      <c r="G21" s="400"/>
      <c r="H21" s="391">
        <f>SUMIF(82:82,G22,83:83)-SUMIF(82:82,C22,83:83)+100</f>
        <v>100</v>
      </c>
      <c r="I21" s="398"/>
      <c r="J21" s="391">
        <f>SUMIF(82:82,I22,83:83)-SUMIF(82:82,C22,83:83)+100</f>
        <v>100</v>
      </c>
      <c r="K21" s="553">
        <v>1</v>
      </c>
      <c r="L21" s="2707"/>
      <c r="M21" s="2701"/>
      <c r="N21" s="2701"/>
      <c r="O21" s="2701"/>
      <c r="P21" s="3706"/>
      <c r="Q21" s="1339" t="str">
        <f>B21</f>
        <v>基础设施水平</v>
      </c>
      <c r="R21" s="692" t="s">
        <v>14</v>
      </c>
      <c r="S21" s="693">
        <f>F21</f>
        <v>100</v>
      </c>
      <c r="T21" s="692" t="s">
        <v>14</v>
      </c>
      <c r="U21" s="693">
        <f>H21</f>
        <v>100</v>
      </c>
      <c r="V21" s="692" t="s">
        <v>14</v>
      </c>
      <c r="W21" s="693">
        <f>J21</f>
        <v>100</v>
      </c>
      <c r="X21" s="1342"/>
      <c r="Y21" s="3708"/>
      <c r="Z21" s="1343" t="str">
        <f>Q21</f>
        <v>基础设施水平</v>
      </c>
      <c r="AA21" s="1340">
        <f t="shared" ref="AA21" si="8">D21/F21</f>
        <v>1</v>
      </c>
      <c r="AB21" s="1340">
        <f t="shared" ref="AB21" si="9">D21/H21</f>
        <v>1</v>
      </c>
      <c r="AC21" s="1340">
        <f t="shared" ref="AC21" si="10">D21/J21</f>
        <v>1</v>
      </c>
    </row>
    <row r="22" spans="1:29" ht="15">
      <c r="A22" s="369"/>
      <c r="B22" s="1118"/>
      <c r="C22" s="1888" t="s">
        <v>3464</v>
      </c>
      <c r="D22" s="389"/>
      <c r="E22" s="388" t="s">
        <v>3464</v>
      </c>
      <c r="F22" s="390"/>
      <c r="G22" s="388" t="s">
        <v>3464</v>
      </c>
      <c r="H22" s="389"/>
      <c r="I22" s="388" t="s">
        <v>3464</v>
      </c>
      <c r="J22" s="389"/>
      <c r="K22" s="1117"/>
      <c r="L22" s="2707"/>
      <c r="M22" s="2701"/>
      <c r="N22" s="2701"/>
      <c r="O22" s="2701"/>
      <c r="P22" s="3706"/>
      <c r="Q22" s="1339"/>
      <c r="R22" s="692"/>
      <c r="S22" s="693"/>
      <c r="T22" s="692"/>
      <c r="U22" s="693"/>
      <c r="V22" s="692"/>
      <c r="W22" s="693"/>
      <c r="X22" s="1342"/>
      <c r="Y22" s="3708"/>
      <c r="Z22" s="1343"/>
      <c r="AA22" s="1340">
        <v>1</v>
      </c>
      <c r="AB22" s="1340">
        <v>1</v>
      </c>
      <c r="AC22" s="1340">
        <v>1</v>
      </c>
    </row>
    <row r="23" spans="1:29" ht="57">
      <c r="A23" s="369"/>
      <c r="B23" s="392" t="s">
        <v>1261</v>
      </c>
      <c r="C23" s="1942" t="str">
        <f>估价对象房地状况!C9</f>
        <v>区域自然环境：蓝靛厂公园、四季曙光公园、南长河公园；人文环境；综合评价环境状况较好</v>
      </c>
      <c r="D23" s="391">
        <v>100</v>
      </c>
      <c r="E23" s="393" t="s">
        <v>3389</v>
      </c>
      <c r="F23" s="394">
        <f>SUMIF(84:84,E24,85:85)-SUMIF(84:84,C24,85:85)+100</f>
        <v>100</v>
      </c>
      <c r="G23" s="395"/>
      <c r="H23" s="391">
        <f>SUMIF(84:84,G24,85:85)-SUMIF(84:84,C24,85:85)+100</f>
        <v>100</v>
      </c>
      <c r="I23" s="393"/>
      <c r="J23" s="391">
        <f>SUMIF(84:84,I24,85:85)-SUMIF(84:84,C24,85:85)+100</f>
        <v>100</v>
      </c>
      <c r="K23" s="553">
        <v>3</v>
      </c>
      <c r="L23" s="2707"/>
      <c r="M23" s="2701"/>
      <c r="N23" s="2701"/>
      <c r="O23" s="2701"/>
      <c r="P23" s="3706"/>
      <c r="Q23" s="1339" t="str">
        <f>B23</f>
        <v>自然及人文环境</v>
      </c>
      <c r="R23" s="692" t="s">
        <v>14</v>
      </c>
      <c r="S23" s="693">
        <f>F23</f>
        <v>100</v>
      </c>
      <c r="T23" s="692" t="s">
        <v>14</v>
      </c>
      <c r="U23" s="693">
        <f>H23</f>
        <v>100</v>
      </c>
      <c r="V23" s="692" t="s">
        <v>14</v>
      </c>
      <c r="W23" s="693">
        <f>J23</f>
        <v>100</v>
      </c>
      <c r="X23" s="1342"/>
      <c r="Y23" s="3708"/>
      <c r="Z23" s="1343" t="str">
        <f>Q23</f>
        <v>自然及人文环境</v>
      </c>
      <c r="AA23" s="1340">
        <f t="shared" si="3"/>
        <v>1</v>
      </c>
      <c r="AB23" s="1340">
        <f t="shared" si="4"/>
        <v>1</v>
      </c>
      <c r="AC23" s="1340">
        <f t="shared" si="5"/>
        <v>1</v>
      </c>
    </row>
    <row r="24" spans="1:29" ht="15">
      <c r="A24" s="369"/>
      <c r="B24" s="397"/>
      <c r="C24" s="388" t="s">
        <v>3389</v>
      </c>
      <c r="D24" s="389"/>
      <c r="E24" s="1885" t="s">
        <v>3389</v>
      </c>
      <c r="F24" s="390"/>
      <c r="G24" s="1884" t="s">
        <v>3389</v>
      </c>
      <c r="H24" s="389"/>
      <c r="I24" s="1885" t="s">
        <v>3389</v>
      </c>
      <c r="J24" s="389"/>
      <c r="K24" s="554"/>
      <c r="L24" s="2707"/>
      <c r="M24" s="2701"/>
      <c r="N24" s="2701"/>
      <c r="O24" s="2701"/>
      <c r="P24" s="3706"/>
      <c r="Q24" s="1339"/>
      <c r="R24" s="692"/>
      <c r="S24" s="693"/>
      <c r="T24" s="692"/>
      <c r="U24" s="693"/>
      <c r="V24" s="692"/>
      <c r="W24" s="693"/>
      <c r="X24" s="1342"/>
      <c r="Y24" s="3708"/>
      <c r="Z24" s="1343"/>
      <c r="AA24" s="1340">
        <v>1</v>
      </c>
      <c r="AB24" s="1340">
        <v>1</v>
      </c>
      <c r="AC24" s="1340">
        <v>1</v>
      </c>
    </row>
    <row r="25" spans="1:29" ht="15" hidden="1">
      <c r="A25" s="369"/>
      <c r="B25" s="365" t="s">
        <v>1779</v>
      </c>
      <c r="C25" s="555"/>
      <c r="D25" s="376">
        <v>100</v>
      </c>
      <c r="E25" s="555" t="s">
        <v>3827</v>
      </c>
      <c r="F25" s="402">
        <f>SUMIF(86:86,E25,87:87)-SUMIF(86:86,C25,87:87)+100</f>
        <v>100</v>
      </c>
      <c r="G25" s="555"/>
      <c r="H25" s="376">
        <f>SUMIF(86:86,G25,87:87)-SUMIF(86:86,C25,87:87)+100</f>
        <v>100</v>
      </c>
      <c r="I25" s="555"/>
      <c r="J25" s="376">
        <f>SUMIF(86:86,I25,87:87)-SUMIF(86:86,C25,87:87)+100</f>
        <v>100</v>
      </c>
      <c r="K25" s="551"/>
      <c r="L25" s="2707"/>
      <c r="M25" s="2701"/>
      <c r="N25" s="2701"/>
      <c r="O25" s="2701"/>
      <c r="P25" s="3706"/>
      <c r="Q25" s="1339" t="str">
        <f t="shared" ref="Q25:Q46" si="11">B25</f>
        <v>临街状况</v>
      </c>
      <c r="R25" s="692" t="s">
        <v>14</v>
      </c>
      <c r="S25" s="693">
        <f>F25</f>
        <v>100</v>
      </c>
      <c r="T25" s="692" t="s">
        <v>14</v>
      </c>
      <c r="U25" s="693">
        <f>H25</f>
        <v>100</v>
      </c>
      <c r="V25" s="692" t="s">
        <v>14</v>
      </c>
      <c r="W25" s="693">
        <f>J25</f>
        <v>100</v>
      </c>
      <c r="X25" s="1342"/>
      <c r="Y25" s="3708"/>
      <c r="Z25" s="1343" t="str">
        <f>Q25</f>
        <v>临街状况</v>
      </c>
      <c r="AA25" s="1340">
        <f t="shared" si="3"/>
        <v>1</v>
      </c>
      <c r="AB25" s="1340">
        <f t="shared" si="4"/>
        <v>1</v>
      </c>
      <c r="AC25" s="1340">
        <f t="shared" si="5"/>
        <v>1</v>
      </c>
    </row>
    <row r="26" spans="1:29" ht="15" hidden="1">
      <c r="A26" s="369"/>
      <c r="B26" s="1120" t="s">
        <v>1780</v>
      </c>
      <c r="C26" s="375"/>
      <c r="D26" s="376">
        <v>100</v>
      </c>
      <c r="E26" s="375" t="s">
        <v>3389</v>
      </c>
      <c r="F26" s="402">
        <f>SUMIF(88:88,E26,89:89)-SUMIF(88:88,C26,89:89)+100</f>
        <v>100</v>
      </c>
      <c r="G26" s="375"/>
      <c r="H26" s="376">
        <f>SUMIF(88:88,G26,89:89)-SUMIF(88:88,C26,89:89)+100</f>
        <v>100</v>
      </c>
      <c r="I26" s="375"/>
      <c r="J26" s="376">
        <f>SUMIF(88:88,I26,89:89)-SUMIF(88:88,C26,89:89)+100</f>
        <v>100</v>
      </c>
      <c r="K26" s="552"/>
      <c r="L26" s="2707"/>
      <c r="M26" s="2701"/>
      <c r="N26" s="2701"/>
      <c r="O26" s="2701"/>
      <c r="P26" s="3706"/>
      <c r="Q26" s="1339" t="str">
        <f t="shared" si="11"/>
        <v>平面位置/可视性</v>
      </c>
      <c r="R26" s="692" t="s">
        <v>14</v>
      </c>
      <c r="S26" s="693">
        <f>F26</f>
        <v>100</v>
      </c>
      <c r="T26" s="692" t="s">
        <v>14</v>
      </c>
      <c r="U26" s="693">
        <f>H26</f>
        <v>100</v>
      </c>
      <c r="V26" s="692" t="s">
        <v>14</v>
      </c>
      <c r="W26" s="693">
        <f>J26</f>
        <v>100</v>
      </c>
      <c r="X26" s="1342"/>
      <c r="Y26" s="3708"/>
      <c r="Z26" s="1343" t="str">
        <f>Q26</f>
        <v>平面位置/可视性</v>
      </c>
      <c r="AA26" s="1340">
        <f t="shared" si="3"/>
        <v>1</v>
      </c>
      <c r="AB26" s="1340">
        <f t="shared" si="4"/>
        <v>1</v>
      </c>
      <c r="AC26" s="1340">
        <f t="shared" si="5"/>
        <v>1</v>
      </c>
    </row>
    <row r="27" spans="1:29" s="105" customFormat="1" ht="15" hidden="1">
      <c r="A27" s="372"/>
      <c r="B27" s="392" t="s">
        <v>1781</v>
      </c>
      <c r="C27" s="1943"/>
      <c r="D27" s="403">
        <v>100</v>
      </c>
      <c r="E27" s="1943" t="s">
        <v>3828</v>
      </c>
      <c r="F27" s="405">
        <f>SUMIF(90:90,E27,91:91)-SUMIF(90:90,C27,91:91)+100</f>
        <v>100</v>
      </c>
      <c r="G27" s="1943"/>
      <c r="H27" s="403">
        <f>SUMIF(90:90,G27,91:91)-SUMIF(90:90,C27,91:91)+100</f>
        <v>100</v>
      </c>
      <c r="I27" s="1943"/>
      <c r="J27" s="403">
        <f>SUMIF(90:90,I27,91:91)-SUMIF(90:90,C27,91:91)+100</f>
        <v>100</v>
      </c>
      <c r="K27" s="551"/>
      <c r="L27" s="2702"/>
      <c r="M27" s="2703"/>
      <c r="N27" s="2703"/>
      <c r="O27" s="2703"/>
      <c r="P27" s="3706"/>
      <c r="Q27" s="1330" t="str">
        <f t="shared" si="11"/>
        <v>人流量</v>
      </c>
      <c r="R27" s="688" t="s">
        <v>14</v>
      </c>
      <c r="S27" s="689">
        <f>F27</f>
        <v>100</v>
      </c>
      <c r="T27" s="688" t="s">
        <v>14</v>
      </c>
      <c r="U27" s="689">
        <f>H27</f>
        <v>100</v>
      </c>
      <c r="V27" s="688" t="s">
        <v>14</v>
      </c>
      <c r="W27" s="689">
        <f>J27</f>
        <v>100</v>
      </c>
      <c r="X27" s="690"/>
      <c r="Y27" s="3708"/>
      <c r="Z27" s="52" t="str">
        <f>Q27</f>
        <v>人流量</v>
      </c>
      <c r="AA27" s="1340">
        <f>D27/F27</f>
        <v>1</v>
      </c>
      <c r="AB27" s="1340">
        <f>D27/H27</f>
        <v>1</v>
      </c>
      <c r="AC27" s="1340">
        <f>D27/J27</f>
        <v>1</v>
      </c>
    </row>
    <row r="28" spans="1:29" ht="15" hidden="1">
      <c r="A28" s="369"/>
      <c r="B28" s="365" t="s">
        <v>1782</v>
      </c>
      <c r="C28" s="555"/>
      <c r="D28" s="376">
        <v>100</v>
      </c>
      <c r="E28" s="555"/>
      <c r="F28" s="402">
        <f>SUMIF(92:92,E28,93:93)-SUMIF(92:92,C28,93:93)+100</f>
        <v>100</v>
      </c>
      <c r="G28" s="555"/>
      <c r="H28" s="376">
        <f>SUMIF(92:92,G28,93:93)-SUMIF(92:92,C28,93:93)+100</f>
        <v>100</v>
      </c>
      <c r="I28" s="555"/>
      <c r="J28" s="376">
        <f>SUMIF(92:92,I28,93:93)-SUMIF(92:92,C28,93:93)+100</f>
        <v>100</v>
      </c>
      <c r="K28" s="552"/>
      <c r="L28" s="2707"/>
      <c r="M28" s="2701"/>
      <c r="N28" s="2701"/>
      <c r="O28" s="2701"/>
      <c r="P28" s="3706"/>
      <c r="Q28" s="1339" t="str">
        <f t="shared" si="11"/>
        <v>楼层</v>
      </c>
      <c r="R28" s="692" t="s">
        <v>14</v>
      </c>
      <c r="S28" s="693">
        <f t="shared" ref="S28:S46" si="12">F28</f>
        <v>100</v>
      </c>
      <c r="T28" s="692" t="s">
        <v>14</v>
      </c>
      <c r="U28" s="693">
        <f t="shared" ref="U28:U46" si="13">H28</f>
        <v>100</v>
      </c>
      <c r="V28" s="692" t="s">
        <v>14</v>
      </c>
      <c r="W28" s="693">
        <f t="shared" ref="W28:W46" si="14">J28</f>
        <v>100</v>
      </c>
      <c r="X28" s="1342"/>
      <c r="Y28" s="3708"/>
      <c r="Z28" s="1343" t="str">
        <f t="shared" ref="Z28:Z46" si="15">Q28</f>
        <v>楼层</v>
      </c>
      <c r="AA28" s="1340">
        <f t="shared" si="3"/>
        <v>1</v>
      </c>
      <c r="AB28" s="1340">
        <f t="shared" si="4"/>
        <v>1</v>
      </c>
      <c r="AC28" s="1340">
        <f t="shared" si="5"/>
        <v>1</v>
      </c>
    </row>
    <row r="29" spans="1:29" ht="15">
      <c r="A29" s="369"/>
      <c r="B29" s="3491" t="s">
        <v>3480</v>
      </c>
      <c r="C29" s="375" t="s">
        <v>3473</v>
      </c>
      <c r="D29" s="376">
        <v>100</v>
      </c>
      <c r="E29" s="375"/>
      <c r="F29" s="402">
        <f>SUMIF(94:94,E29,95:95)-SUMIF(94:94,C29,95:95)+100</f>
        <v>100</v>
      </c>
      <c r="G29" s="3513" t="s">
        <v>3825</v>
      </c>
      <c r="H29" s="376">
        <f>SUMIF(94:94,G29,95:95)-SUMIF(94:94,C29,95:95)+100</f>
        <v>100</v>
      </c>
      <c r="I29" s="3513" t="s">
        <v>3825</v>
      </c>
      <c r="J29" s="376">
        <f>SUMIF(94:94,I29,95:95)-SUMIF(94:94,C29,95:95)+100</f>
        <v>100</v>
      </c>
      <c r="K29" s="552"/>
      <c r="L29" s="2707"/>
      <c r="M29" s="2701"/>
      <c r="N29" s="2701"/>
      <c r="O29" s="2701"/>
      <c r="P29" s="3706"/>
      <c r="Q29" s="1339" t="str">
        <f t="shared" si="11"/>
        <v>消费人群</v>
      </c>
      <c r="R29" s="692" t="s">
        <v>14</v>
      </c>
      <c r="S29" s="693">
        <f t="shared" si="12"/>
        <v>100</v>
      </c>
      <c r="T29" s="692" t="s">
        <v>14</v>
      </c>
      <c r="U29" s="693">
        <f t="shared" si="13"/>
        <v>100</v>
      </c>
      <c r="V29" s="692" t="s">
        <v>14</v>
      </c>
      <c r="W29" s="693">
        <f t="shared" si="14"/>
        <v>100</v>
      </c>
      <c r="X29" s="1342"/>
      <c r="Y29" s="3708"/>
      <c r="Z29" s="1343" t="str">
        <f t="shared" si="15"/>
        <v>消费人群</v>
      </c>
      <c r="AA29" s="1340">
        <f t="shared" si="3"/>
        <v>1</v>
      </c>
      <c r="AB29" s="1340">
        <f t="shared" si="4"/>
        <v>1</v>
      </c>
      <c r="AC29" s="1340">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7"/>
      <c r="M30" s="2701"/>
      <c r="N30" s="2701"/>
      <c r="O30" s="2701"/>
      <c r="P30" s="3706"/>
      <c r="Q30" s="1339">
        <f t="shared" si="11"/>
        <v>111</v>
      </c>
      <c r="R30" s="692" t="s">
        <v>14</v>
      </c>
      <c r="S30" s="693">
        <f t="shared" si="12"/>
        <v>100</v>
      </c>
      <c r="T30" s="692" t="s">
        <v>14</v>
      </c>
      <c r="U30" s="693">
        <f t="shared" si="13"/>
        <v>100</v>
      </c>
      <c r="V30" s="692" t="s">
        <v>14</v>
      </c>
      <c r="W30" s="693">
        <f t="shared" si="14"/>
        <v>100</v>
      </c>
      <c r="X30" s="1342"/>
      <c r="Y30" s="3708"/>
      <c r="Z30" s="1343">
        <f t="shared" si="15"/>
        <v>111</v>
      </c>
      <c r="AA30" s="1340">
        <f t="shared" si="3"/>
        <v>1</v>
      </c>
      <c r="AB30" s="1340">
        <f t="shared" si="4"/>
        <v>1</v>
      </c>
      <c r="AC30" s="1340">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7"/>
      <c r="M31" s="2701"/>
      <c r="N31" s="2701"/>
      <c r="O31" s="2701"/>
      <c r="P31" s="3706"/>
      <c r="Q31" s="1339">
        <f t="shared" si="11"/>
        <v>111</v>
      </c>
      <c r="R31" s="692" t="s">
        <v>14</v>
      </c>
      <c r="S31" s="693">
        <f t="shared" si="12"/>
        <v>100</v>
      </c>
      <c r="T31" s="692" t="s">
        <v>14</v>
      </c>
      <c r="U31" s="693">
        <f t="shared" si="13"/>
        <v>100</v>
      </c>
      <c r="V31" s="692" t="s">
        <v>14</v>
      </c>
      <c r="W31" s="693">
        <f t="shared" si="14"/>
        <v>100</v>
      </c>
      <c r="X31" s="1342"/>
      <c r="Y31" s="3708"/>
      <c r="Z31" s="1343">
        <f t="shared" si="15"/>
        <v>111</v>
      </c>
      <c r="AA31" s="1340">
        <f t="shared" si="3"/>
        <v>1</v>
      </c>
      <c r="AB31" s="1340">
        <f t="shared" si="4"/>
        <v>1</v>
      </c>
      <c r="AC31" s="1340">
        <f t="shared" si="5"/>
        <v>1</v>
      </c>
    </row>
    <row r="32" spans="1:29" ht="15">
      <c r="A32" s="381" t="s">
        <v>1693</v>
      </c>
      <c r="B32" s="63" t="s">
        <v>1783</v>
      </c>
      <c r="C32" s="1897"/>
      <c r="D32" s="408">
        <v>100</v>
      </c>
      <c r="E32" s="1897"/>
      <c r="F32" s="402">
        <f>SUMIF(100:100,E32,101:101)-SUMIF(100:100,C32,101:101)+100</f>
        <v>100</v>
      </c>
      <c r="G32" s="1897"/>
      <c r="H32" s="376">
        <f>SUMIF(100:100,G32,101:101)-SUMIF(100:100,C32,101:101)+100</f>
        <v>100</v>
      </c>
      <c r="I32" s="1897"/>
      <c r="J32" s="408">
        <f>SUMIF(100:100,I32,101:101)-SUMIF(100:100,C32,101:101)+100</f>
        <v>100</v>
      </c>
      <c r="K32" s="551"/>
      <c r="L32" s="2707"/>
      <c r="M32" s="2701"/>
      <c r="N32" s="2701"/>
      <c r="O32" s="2701"/>
      <c r="P32" s="3709" t="s">
        <v>1695</v>
      </c>
      <c r="Q32" s="1339" t="str">
        <f t="shared" si="11"/>
        <v>商业类型</v>
      </c>
      <c r="R32" s="692" t="s">
        <v>14</v>
      </c>
      <c r="S32" s="693">
        <f t="shared" si="12"/>
        <v>100</v>
      </c>
      <c r="T32" s="692" t="s">
        <v>14</v>
      </c>
      <c r="U32" s="693">
        <f t="shared" si="13"/>
        <v>100</v>
      </c>
      <c r="V32" s="692" t="s">
        <v>14</v>
      </c>
      <c r="W32" s="693">
        <f t="shared" si="14"/>
        <v>100</v>
      </c>
      <c r="X32" s="1342"/>
      <c r="Y32" s="3712" t="s">
        <v>1695</v>
      </c>
      <c r="Z32" s="1343" t="str">
        <f t="shared" si="15"/>
        <v>商业类型</v>
      </c>
      <c r="AA32" s="1340">
        <f t="shared" si="3"/>
        <v>1</v>
      </c>
      <c r="AB32" s="1340">
        <f t="shared" si="4"/>
        <v>1</v>
      </c>
      <c r="AC32" s="1340">
        <f t="shared" si="5"/>
        <v>1</v>
      </c>
    </row>
    <row r="33" spans="1:29" s="412" customFormat="1" ht="15">
      <c r="A33" s="409"/>
      <c r="B33" s="365" t="s">
        <v>1696</v>
      </c>
      <c r="C33" s="410"/>
      <c r="D33" s="117">
        <v>100</v>
      </c>
      <c r="E33" s="371"/>
      <c r="F33" s="366">
        <f>LOOKUP(E33,103:103,104:104)-LOOKUP(C33,103:103,104:104)+100</f>
        <v>100</v>
      </c>
      <c r="G33" s="370"/>
      <c r="H33" s="117">
        <f>LOOKUP(G33,103:103,104:104)-LOOKUP(C33,103:103,104:104)+100</f>
        <v>100</v>
      </c>
      <c r="I33" s="370"/>
      <c r="J33" s="117">
        <f>LOOKUP(I33,103:103,104:104)-LOOKUP(C33,103:103,104:104)+100</f>
        <v>100</v>
      </c>
      <c r="K33" s="552"/>
      <c r="L33" s="2706"/>
      <c r="M33" s="2708"/>
      <c r="N33" s="2708"/>
      <c r="O33" s="2708"/>
      <c r="P33" s="3710"/>
      <c r="Q33" s="694" t="str">
        <f t="shared" si="11"/>
        <v>项目建筑规模</v>
      </c>
      <c r="R33" s="695" t="s">
        <v>14</v>
      </c>
      <c r="S33" s="696">
        <f t="shared" si="12"/>
        <v>100</v>
      </c>
      <c r="T33" s="695" t="s">
        <v>14</v>
      </c>
      <c r="U33" s="696">
        <f t="shared" si="13"/>
        <v>100</v>
      </c>
      <c r="V33" s="695" t="s">
        <v>14</v>
      </c>
      <c r="W33" s="696">
        <f t="shared" si="14"/>
        <v>100</v>
      </c>
      <c r="X33" s="697"/>
      <c r="Y33" s="3712"/>
      <c r="Z33" s="698" t="str">
        <f t="shared" si="15"/>
        <v>项目建筑规模</v>
      </c>
      <c r="AA33" s="1340">
        <f t="shared" si="3"/>
        <v>1</v>
      </c>
      <c r="AB33" s="1340">
        <f t="shared" si="4"/>
        <v>1</v>
      </c>
      <c r="AC33" s="1340">
        <f t="shared" si="5"/>
        <v>1</v>
      </c>
    </row>
    <row r="34" spans="1:29" ht="15">
      <c r="A34" s="413"/>
      <c r="B34" s="365" t="s">
        <v>1697</v>
      </c>
      <c r="C34" s="1899" t="s">
        <v>3393</v>
      </c>
      <c r="D34" s="376">
        <v>100</v>
      </c>
      <c r="E34" s="1899" t="s">
        <v>3393</v>
      </c>
      <c r="F34" s="402">
        <f>SUMIF(105:105,E34,106:106)-SUMIF(105:105,C34,106:106)+100</f>
        <v>100</v>
      </c>
      <c r="G34" s="1899" t="s">
        <v>3393</v>
      </c>
      <c r="H34" s="376">
        <f>SUMIF(105:105,G34,106:106)-SUMIF(105:105,C34,106:106)+100</f>
        <v>100</v>
      </c>
      <c r="I34" s="1899" t="s">
        <v>3393</v>
      </c>
      <c r="J34" s="376">
        <f>SUMIF(105:105,I34,106:106)-SUMIF(105:105,C34,106:106)+100</f>
        <v>100</v>
      </c>
      <c r="K34" s="551">
        <v>2</v>
      </c>
      <c r="L34" s="2707"/>
      <c r="M34" s="2701"/>
      <c r="N34" s="2701"/>
      <c r="O34" s="2701"/>
      <c r="P34" s="3710"/>
      <c r="Q34" s="1339" t="str">
        <f t="shared" si="11"/>
        <v>建筑结构</v>
      </c>
      <c r="R34" s="692" t="s">
        <v>14</v>
      </c>
      <c r="S34" s="693">
        <f t="shared" si="12"/>
        <v>100</v>
      </c>
      <c r="T34" s="692" t="s">
        <v>14</v>
      </c>
      <c r="U34" s="693">
        <f t="shared" si="13"/>
        <v>100</v>
      </c>
      <c r="V34" s="692" t="s">
        <v>14</v>
      </c>
      <c r="W34" s="693">
        <f t="shared" si="14"/>
        <v>100</v>
      </c>
      <c r="X34" s="1342"/>
      <c r="Y34" s="3712"/>
      <c r="Z34" s="1343" t="str">
        <f t="shared" si="15"/>
        <v>建筑结构</v>
      </c>
      <c r="AA34" s="1340">
        <f t="shared" si="3"/>
        <v>1</v>
      </c>
      <c r="AB34" s="1340">
        <f t="shared" si="4"/>
        <v>1</v>
      </c>
      <c r="AC34" s="1340">
        <f t="shared" si="5"/>
        <v>1</v>
      </c>
    </row>
    <row r="35" spans="1:29" ht="15">
      <c r="A35" s="413"/>
      <c r="B35" s="365" t="s">
        <v>1784</v>
      </c>
      <c r="C35" s="1893" t="s">
        <v>3471</v>
      </c>
      <c r="D35" s="376">
        <v>100</v>
      </c>
      <c r="E35" s="1893" t="s">
        <v>3468</v>
      </c>
      <c r="F35" s="402">
        <f>SUMIF(107:107,E35,108:108)-SUMIF(107:107,C35,108:108)+100</f>
        <v>98</v>
      </c>
      <c r="G35" s="1893" t="s">
        <v>3468</v>
      </c>
      <c r="H35" s="376">
        <f>SUMIF(107:107,G35,108:108)-SUMIF(107:107,C35,108:108)+100</f>
        <v>98</v>
      </c>
      <c r="I35" s="1893" t="s">
        <v>3468</v>
      </c>
      <c r="J35" s="376">
        <f>SUMIF(107:107,I35,108:108)-SUMIF(107:107,C35,108:108)+100</f>
        <v>98</v>
      </c>
      <c r="K35" s="551">
        <v>2</v>
      </c>
      <c r="L35" s="2707"/>
      <c r="M35" s="2701"/>
      <c r="N35" s="2701"/>
      <c r="O35" s="2701"/>
      <c r="P35" s="3710"/>
      <c r="Q35" s="1339" t="str">
        <f t="shared" si="11"/>
        <v>公共部分装修</v>
      </c>
      <c r="R35" s="692" t="s">
        <v>14</v>
      </c>
      <c r="S35" s="693">
        <f t="shared" si="12"/>
        <v>98</v>
      </c>
      <c r="T35" s="692" t="s">
        <v>14</v>
      </c>
      <c r="U35" s="693">
        <f t="shared" si="13"/>
        <v>98</v>
      </c>
      <c r="V35" s="692" t="s">
        <v>14</v>
      </c>
      <c r="W35" s="693">
        <f t="shared" si="14"/>
        <v>98</v>
      </c>
      <c r="X35" s="1342"/>
      <c r="Y35" s="3712"/>
      <c r="Z35" s="1343" t="str">
        <f t="shared" si="15"/>
        <v>公共部分装修</v>
      </c>
      <c r="AA35" s="1340">
        <f t="shared" si="3"/>
        <v>1.0204081632653061</v>
      </c>
      <c r="AB35" s="1340">
        <f t="shared" si="4"/>
        <v>1.0204081632653061</v>
      </c>
      <c r="AC35" s="1340">
        <f t="shared" si="5"/>
        <v>1.0204081632653061</v>
      </c>
    </row>
    <row r="36" spans="1:29" ht="15">
      <c r="A36" s="413"/>
      <c r="B36" s="365" t="s">
        <v>1785</v>
      </c>
      <c r="C36" s="415">
        <v>0.85</v>
      </c>
      <c r="D36" s="376">
        <v>100</v>
      </c>
      <c r="E36" s="415">
        <v>0.75</v>
      </c>
      <c r="F36" s="402">
        <f>LOOKUP(E36,110:110,111:111)-LOOKUP(C36,110:110,111:111)+100</f>
        <v>98</v>
      </c>
      <c r="G36" s="415">
        <f>G13</f>
        <v>0.73</v>
      </c>
      <c r="H36" s="402">
        <f>LOOKUP(G36,110:110,111:111)-LOOKUP(C36,110:110,111:111)+100</f>
        <v>98</v>
      </c>
      <c r="I36" s="3515">
        <v>0.6</v>
      </c>
      <c r="J36" s="376">
        <f>LOOKUP(I36,110:110,111:111)-LOOKUP(C36,110:110,111:111)+100</f>
        <v>96</v>
      </c>
      <c r="K36" s="551">
        <v>2</v>
      </c>
      <c r="L36" s="2707"/>
      <c r="M36" s="2701"/>
      <c r="N36" s="2701"/>
      <c r="O36" s="2701"/>
      <c r="P36" s="3710"/>
      <c r="Q36" s="1339" t="str">
        <f t="shared" si="11"/>
        <v>成新度</v>
      </c>
      <c r="R36" s="692" t="s">
        <v>14</v>
      </c>
      <c r="S36" s="693">
        <f t="shared" si="12"/>
        <v>98</v>
      </c>
      <c r="T36" s="692" t="s">
        <v>14</v>
      </c>
      <c r="U36" s="693">
        <f t="shared" si="13"/>
        <v>98</v>
      </c>
      <c r="V36" s="692" t="s">
        <v>14</v>
      </c>
      <c r="W36" s="693">
        <f t="shared" si="14"/>
        <v>96</v>
      </c>
      <c r="X36" s="1342"/>
      <c r="Y36" s="3712"/>
      <c r="Z36" s="1343" t="str">
        <f t="shared" si="15"/>
        <v>成新度</v>
      </c>
      <c r="AA36" s="1340">
        <f t="shared" si="3"/>
        <v>1.0204081632653061</v>
      </c>
      <c r="AB36" s="1340">
        <f t="shared" si="4"/>
        <v>1.0204081632653061</v>
      </c>
      <c r="AC36" s="1340">
        <f t="shared" si="5"/>
        <v>1.0416666666666667</v>
      </c>
    </row>
    <row r="37" spans="1:29" s="105" customFormat="1" ht="15">
      <c r="A37" s="414"/>
      <c r="B37" s="365" t="s">
        <v>1786</v>
      </c>
      <c r="C37" s="1893" t="s">
        <v>3469</v>
      </c>
      <c r="D37" s="117">
        <v>100</v>
      </c>
      <c r="E37" s="1893" t="s">
        <v>3469</v>
      </c>
      <c r="F37" s="402">
        <f>SUMIF(112:112,E37,113:113)-SUMIF(112:112,C37,113:113)+100</f>
        <v>100</v>
      </c>
      <c r="G37" s="1893" t="s">
        <v>3469</v>
      </c>
      <c r="H37" s="376">
        <f>SUMIF(112:112,G37,113:113)-SUMIF(112:112,C37,113:113)+100</f>
        <v>100</v>
      </c>
      <c r="I37" s="1893" t="s">
        <v>3469</v>
      </c>
      <c r="J37" s="376">
        <f>SUMIF(112:112,I37,113:113)-SUMIF(112:112,C37,113:113)+100</f>
        <v>100</v>
      </c>
      <c r="K37" s="551">
        <v>1</v>
      </c>
      <c r="L37" s="2702"/>
      <c r="M37" s="2703"/>
      <c r="N37" s="2703"/>
      <c r="O37" s="2703"/>
      <c r="P37" s="3710"/>
      <c r="Q37" s="1330" t="str">
        <f t="shared" si="11"/>
        <v>市政基础设施</v>
      </c>
      <c r="R37" s="688" t="s">
        <v>14</v>
      </c>
      <c r="S37" s="689">
        <f t="shared" si="12"/>
        <v>100</v>
      </c>
      <c r="T37" s="688" t="s">
        <v>14</v>
      </c>
      <c r="U37" s="689">
        <f t="shared" si="13"/>
        <v>100</v>
      </c>
      <c r="V37" s="688" t="s">
        <v>14</v>
      </c>
      <c r="W37" s="689">
        <f t="shared" si="14"/>
        <v>100</v>
      </c>
      <c r="X37" s="690"/>
      <c r="Y37" s="3712"/>
      <c r="Z37" s="52" t="str">
        <f t="shared" si="15"/>
        <v>市政基础设施</v>
      </c>
      <c r="AA37" s="691">
        <f t="shared" si="3"/>
        <v>1</v>
      </c>
      <c r="AB37" s="691">
        <f t="shared" si="4"/>
        <v>1</v>
      </c>
      <c r="AC37" s="691">
        <f t="shared" si="5"/>
        <v>1</v>
      </c>
    </row>
    <row r="38" spans="1:29" ht="15">
      <c r="A38" s="413"/>
      <c r="B38" s="365" t="s">
        <v>1787</v>
      </c>
      <c r="C38" s="1893" t="s">
        <v>3422</v>
      </c>
      <c r="D38" s="376">
        <v>100</v>
      </c>
      <c r="E38" s="1893" t="s">
        <v>3830</v>
      </c>
      <c r="F38" s="402">
        <f>SUMIF(114:114,E38,115:115)-SUMIF(114:114,C38,115:115)+100</f>
        <v>103</v>
      </c>
      <c r="G38" s="1893" t="s">
        <v>3422</v>
      </c>
      <c r="H38" s="376">
        <f>SUMIF(114:114,G38,115:115)-SUMIF(114:114,C38,115:115)+100</f>
        <v>100</v>
      </c>
      <c r="I38" s="1893" t="s">
        <v>3422</v>
      </c>
      <c r="J38" s="376">
        <f>SUMIF(114:114,I38,115:115)-SUMIF(114:114,C38,115:115)+100</f>
        <v>100</v>
      </c>
      <c r="K38" s="551">
        <v>3</v>
      </c>
      <c r="L38" s="2707"/>
      <c r="M38" s="2701"/>
      <c r="N38" s="2701"/>
      <c r="O38" s="2701"/>
      <c r="P38" s="3710" t="s">
        <v>1695</v>
      </c>
      <c r="Q38" s="1339" t="str">
        <f t="shared" si="11"/>
        <v>业态</v>
      </c>
      <c r="R38" s="692" t="s">
        <v>14</v>
      </c>
      <c r="S38" s="693">
        <f t="shared" si="12"/>
        <v>103</v>
      </c>
      <c r="T38" s="692" t="s">
        <v>14</v>
      </c>
      <c r="U38" s="693">
        <f t="shared" si="13"/>
        <v>100</v>
      </c>
      <c r="V38" s="692" t="s">
        <v>14</v>
      </c>
      <c r="W38" s="693">
        <f t="shared" si="14"/>
        <v>100</v>
      </c>
      <c r="X38" s="1342"/>
      <c r="Y38" s="3712" t="s">
        <v>1695</v>
      </c>
      <c r="Z38" s="1343" t="str">
        <f t="shared" si="15"/>
        <v>业态</v>
      </c>
      <c r="AA38" s="1340">
        <f t="shared" si="3"/>
        <v>0.970873786407767</v>
      </c>
      <c r="AB38" s="1340">
        <f t="shared" si="4"/>
        <v>1</v>
      </c>
      <c r="AC38" s="1340">
        <f t="shared" si="5"/>
        <v>1</v>
      </c>
    </row>
    <row r="39" spans="1:29" ht="15">
      <c r="A39" s="413"/>
      <c r="B39" s="365" t="s">
        <v>1788</v>
      </c>
      <c r="C39" s="1893"/>
      <c r="D39" s="376">
        <v>100</v>
      </c>
      <c r="E39" s="1893"/>
      <c r="F39" s="402">
        <f>SUMIF(116:116,E39,117:117)-SUMIF(116:116,C39,117:117)+100</f>
        <v>100</v>
      </c>
      <c r="G39" s="1893"/>
      <c r="H39" s="376">
        <f>SUMIF(116:116,G39,117:117)-SUMIF(116:116,C39,117:117)+100</f>
        <v>100</v>
      </c>
      <c r="I39" s="1893"/>
      <c r="J39" s="376">
        <f>SUMIF(116:116,I39,117:117)-SUMIF(116:116,C39,117:117)+100</f>
        <v>100</v>
      </c>
      <c r="K39" s="551"/>
      <c r="L39" s="2707"/>
      <c r="M39" s="2701"/>
      <c r="N39" s="2701"/>
      <c r="O39" s="2701"/>
      <c r="P39" s="3710"/>
      <c r="Q39" s="1339" t="str">
        <f t="shared" si="11"/>
        <v>层高</v>
      </c>
      <c r="R39" s="692" t="s">
        <v>14</v>
      </c>
      <c r="S39" s="693">
        <f t="shared" si="12"/>
        <v>100</v>
      </c>
      <c r="T39" s="692" t="s">
        <v>14</v>
      </c>
      <c r="U39" s="693">
        <f t="shared" si="13"/>
        <v>100</v>
      </c>
      <c r="V39" s="692" t="s">
        <v>14</v>
      </c>
      <c r="W39" s="693">
        <f t="shared" si="14"/>
        <v>100</v>
      </c>
      <c r="X39" s="1342"/>
      <c r="Y39" s="3712"/>
      <c r="Z39" s="1343" t="str">
        <f t="shared" si="15"/>
        <v>层高</v>
      </c>
      <c r="AA39" s="1340">
        <f t="shared" si="3"/>
        <v>1</v>
      </c>
      <c r="AB39" s="1340">
        <f t="shared" si="4"/>
        <v>1</v>
      </c>
      <c r="AC39" s="1340">
        <f t="shared" si="5"/>
        <v>1</v>
      </c>
    </row>
    <row r="40" spans="1:29" ht="15">
      <c r="A40" s="413"/>
      <c r="B40" s="365" t="s">
        <v>1789</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7"/>
      <c r="M40" s="2701"/>
      <c r="N40" s="2701"/>
      <c r="O40" s="2701"/>
      <c r="P40" s="3710"/>
      <c r="Q40" s="1339" t="str">
        <f t="shared" si="11"/>
        <v>单套建筑面积</v>
      </c>
      <c r="R40" s="692" t="s">
        <v>14</v>
      </c>
      <c r="S40" s="693">
        <f t="shared" si="12"/>
        <v>100</v>
      </c>
      <c r="T40" s="692" t="s">
        <v>14</v>
      </c>
      <c r="U40" s="693">
        <f t="shared" si="13"/>
        <v>100</v>
      </c>
      <c r="V40" s="692" t="s">
        <v>14</v>
      </c>
      <c r="W40" s="693">
        <f t="shared" si="14"/>
        <v>100</v>
      </c>
      <c r="X40" s="1342"/>
      <c r="Y40" s="3712"/>
      <c r="Z40" s="1343" t="str">
        <f t="shared" si="15"/>
        <v>单套建筑面积</v>
      </c>
      <c r="AA40" s="1340">
        <f t="shared" si="3"/>
        <v>1</v>
      </c>
      <c r="AB40" s="1340">
        <f t="shared" si="4"/>
        <v>1</v>
      </c>
      <c r="AC40" s="1340">
        <f t="shared" si="5"/>
        <v>1</v>
      </c>
    </row>
    <row r="41" spans="1:29" s="412" customFormat="1" ht="15">
      <c r="A41" s="409"/>
      <c r="B41" s="1341" t="s">
        <v>1790</v>
      </c>
      <c r="C41" s="555" t="s">
        <v>3470</v>
      </c>
      <c r="D41" s="376">
        <v>100</v>
      </c>
      <c r="E41" s="555" t="s">
        <v>3470</v>
      </c>
      <c r="F41" s="402">
        <f>SUMIF(120:120,E41,121:121)-SUMIF(120:120,C41,121:121)+100</f>
        <v>100</v>
      </c>
      <c r="G41" s="555" t="s">
        <v>3470</v>
      </c>
      <c r="H41" s="376">
        <f>SUMIF(120:120,G41,121:121)-SUMIF(120:120,C41,121:121)+100</f>
        <v>100</v>
      </c>
      <c r="I41" s="555" t="s">
        <v>3470</v>
      </c>
      <c r="J41" s="376">
        <f>SUMIF(120:120,I41,121:121)-SUMIF(120:120,C41,121:121)+100</f>
        <v>100</v>
      </c>
      <c r="K41" s="551">
        <v>2</v>
      </c>
      <c r="L41" s="2706"/>
      <c r="M41" s="2708"/>
      <c r="N41" s="2708"/>
      <c r="O41" s="2708"/>
      <c r="P41" s="3710"/>
      <c r="Q41" s="694" t="str">
        <f t="shared" si="11"/>
        <v>进深比</v>
      </c>
      <c r="R41" s="695" t="s">
        <v>14</v>
      </c>
      <c r="S41" s="696">
        <f t="shared" si="12"/>
        <v>100</v>
      </c>
      <c r="T41" s="695" t="s">
        <v>14</v>
      </c>
      <c r="U41" s="696">
        <f t="shared" si="13"/>
        <v>100</v>
      </c>
      <c r="V41" s="695" t="s">
        <v>14</v>
      </c>
      <c r="W41" s="696">
        <f t="shared" si="14"/>
        <v>100</v>
      </c>
      <c r="X41" s="697"/>
      <c r="Y41" s="3712"/>
      <c r="Z41" s="698" t="str">
        <f t="shared" si="15"/>
        <v>进深比</v>
      </c>
      <c r="AA41" s="1340">
        <f t="shared" si="3"/>
        <v>1</v>
      </c>
      <c r="AB41" s="1340">
        <f t="shared" si="4"/>
        <v>1</v>
      </c>
      <c r="AC41" s="1340">
        <f t="shared" si="5"/>
        <v>1</v>
      </c>
    </row>
    <row r="42" spans="1:29" ht="15">
      <c r="A42" s="413"/>
      <c r="B42" s="365" t="s">
        <v>1791</v>
      </c>
      <c r="C42" s="1893" t="s">
        <v>3471</v>
      </c>
      <c r="D42" s="376">
        <v>100</v>
      </c>
      <c r="E42" s="1893" t="s">
        <v>3468</v>
      </c>
      <c r="F42" s="402">
        <f>SUMIF(122:122,E42,123:123)-SUMIF(122:122,C42,123:123)+100</f>
        <v>98</v>
      </c>
      <c r="G42" s="1893" t="s">
        <v>3468</v>
      </c>
      <c r="H42" s="376">
        <f>SUMIF(122:122,G42,123:123)-SUMIF(122:122,C42,123:123)+100</f>
        <v>98</v>
      </c>
      <c r="I42" s="1893" t="s">
        <v>3468</v>
      </c>
      <c r="J42" s="376">
        <f>SUMIF(122:122,I42,123:123)-SUMIF(122:122,C42,123:123)+100</f>
        <v>98</v>
      </c>
      <c r="K42" s="551">
        <v>2</v>
      </c>
      <c r="L42" s="2707"/>
      <c r="M42" s="2701"/>
      <c r="N42" s="2701"/>
      <c r="O42" s="2701"/>
      <c r="P42" s="3710"/>
      <c r="Q42" s="1339" t="str">
        <f t="shared" si="11"/>
        <v>内部装修</v>
      </c>
      <c r="R42" s="692" t="s">
        <v>14</v>
      </c>
      <c r="S42" s="693">
        <f t="shared" si="12"/>
        <v>98</v>
      </c>
      <c r="T42" s="692" t="s">
        <v>14</v>
      </c>
      <c r="U42" s="693">
        <f t="shared" si="13"/>
        <v>98</v>
      </c>
      <c r="V42" s="692" t="s">
        <v>14</v>
      </c>
      <c r="W42" s="693">
        <f t="shared" si="14"/>
        <v>98</v>
      </c>
      <c r="X42" s="1342"/>
      <c r="Y42" s="3712"/>
      <c r="Z42" s="1343" t="str">
        <f t="shared" si="15"/>
        <v>内部装修</v>
      </c>
      <c r="AA42" s="1340">
        <f t="shared" si="3"/>
        <v>1.0204081632653061</v>
      </c>
      <c r="AB42" s="1340">
        <f t="shared" si="4"/>
        <v>1.0204081632653061</v>
      </c>
      <c r="AC42" s="1340">
        <f t="shared" si="5"/>
        <v>1.0204081632653061</v>
      </c>
    </row>
    <row r="43" spans="1:29" ht="15.75" thickBot="1">
      <c r="A43" s="413"/>
      <c r="B43" s="365" t="s">
        <v>1706</v>
      </c>
      <c r="C43" s="1893" t="s">
        <v>3389</v>
      </c>
      <c r="D43" s="376">
        <v>100</v>
      </c>
      <c r="E43" s="1893" t="s">
        <v>3389</v>
      </c>
      <c r="F43" s="402">
        <f>SUMIF(124:124,E43,125:125)-SUMIF(124:124,C43,125:125)+100</f>
        <v>100</v>
      </c>
      <c r="G43" s="1893" t="s">
        <v>3389</v>
      </c>
      <c r="H43" s="376">
        <f>SUMIF(124:124,G43,125:125)-SUMIF(124:124,C43,125:125)+100</f>
        <v>100</v>
      </c>
      <c r="I43" s="1893" t="s">
        <v>3389</v>
      </c>
      <c r="J43" s="376">
        <f>SUMIF(124:124,I43,125:125)-SUMIF(124:124,C43,125:125)+100</f>
        <v>100</v>
      </c>
      <c r="K43" s="551">
        <v>2</v>
      </c>
      <c r="L43" s="2707"/>
      <c r="M43" s="2701"/>
      <c r="N43" s="2701"/>
      <c r="O43" s="2701"/>
      <c r="P43" s="3710"/>
      <c r="Q43" s="1339" t="str">
        <f t="shared" si="11"/>
        <v>内部装修维护情况</v>
      </c>
      <c r="R43" s="692" t="s">
        <v>14</v>
      </c>
      <c r="S43" s="693">
        <f t="shared" si="12"/>
        <v>100</v>
      </c>
      <c r="T43" s="692" t="s">
        <v>14</v>
      </c>
      <c r="U43" s="693">
        <f t="shared" si="13"/>
        <v>100</v>
      </c>
      <c r="V43" s="692" t="s">
        <v>14</v>
      </c>
      <c r="W43" s="693">
        <f t="shared" si="14"/>
        <v>100</v>
      </c>
      <c r="X43" s="1342"/>
      <c r="Y43" s="3712"/>
      <c r="Z43" s="1343" t="str">
        <f t="shared" si="15"/>
        <v>内部装修维护情况</v>
      </c>
      <c r="AA43" s="1340">
        <f t="shared" si="3"/>
        <v>1</v>
      </c>
      <c r="AB43" s="1340">
        <f t="shared" si="4"/>
        <v>1</v>
      </c>
      <c r="AC43" s="1340">
        <f t="shared" si="5"/>
        <v>1</v>
      </c>
    </row>
    <row r="44" spans="1:29" s="105" customFormat="1" ht="15.75" thickTop="1">
      <c r="A44" s="414"/>
      <c r="B44" s="3491" t="s">
        <v>3490</v>
      </c>
      <c r="C44" s="493" t="s">
        <v>3495</v>
      </c>
      <c r="D44" s="117">
        <v>100</v>
      </c>
      <c r="E44" s="375" t="s">
        <v>3472</v>
      </c>
      <c r="F44" s="366">
        <f>SUMIF(126:126,E44,127:127)-SUMIF(126:126,C44,127:127)+100</f>
        <v>112</v>
      </c>
      <c r="G44" s="375" t="s">
        <v>3474</v>
      </c>
      <c r="H44" s="117">
        <f>SUMIF(126:126,G44,127:127)-SUMIF(126:126,C44,127:127)+100</f>
        <v>116</v>
      </c>
      <c r="I44" s="375" t="s">
        <v>3474</v>
      </c>
      <c r="J44" s="117">
        <f>SUMIF(126:126,I44,127:127)-SUMIF(126:126,C44,127:127)+100</f>
        <v>116</v>
      </c>
      <c r="K44" s="552"/>
      <c r="L44" s="2702"/>
      <c r="M44" s="2703"/>
      <c r="N44" s="2703"/>
      <c r="O44" s="2703"/>
      <c r="P44" s="3710"/>
      <c r="Q44" s="1330" t="str">
        <f t="shared" si="11"/>
        <v>地下占比</v>
      </c>
      <c r="R44" s="688" t="s">
        <v>14</v>
      </c>
      <c r="S44" s="689">
        <f t="shared" si="12"/>
        <v>112</v>
      </c>
      <c r="T44" s="688" t="s">
        <v>14</v>
      </c>
      <c r="U44" s="689">
        <f t="shared" si="13"/>
        <v>116</v>
      </c>
      <c r="V44" s="688" t="s">
        <v>14</v>
      </c>
      <c r="W44" s="689">
        <f t="shared" si="14"/>
        <v>116</v>
      </c>
      <c r="X44" s="690"/>
      <c r="Y44" s="3712"/>
      <c r="Z44" s="52" t="str">
        <f t="shared" si="15"/>
        <v>地下占比</v>
      </c>
      <c r="AA44" s="691">
        <f t="shared" si="3"/>
        <v>0.8928571428571429</v>
      </c>
      <c r="AB44" s="691">
        <f t="shared" si="4"/>
        <v>0.86206896551724133</v>
      </c>
      <c r="AC44" s="691">
        <f t="shared" si="5"/>
        <v>0.86206896551724133</v>
      </c>
    </row>
    <row r="45" spans="1:29" ht="15">
      <c r="A45" s="413"/>
      <c r="B45" s="1120">
        <v>111</v>
      </c>
      <c r="C45" s="3514">
        <f>'数据-汇总表'!G19/'数据-汇总表'!E27</f>
        <v>0.4290792279328185</v>
      </c>
      <c r="D45" s="376">
        <v>100</v>
      </c>
      <c r="E45" s="3514">
        <v>0.24661585674055889</v>
      </c>
      <c r="F45" s="402">
        <f>SUMIF(128:128,E45,129:129)-SUMIF(128:128,C45,129:129)+100</f>
        <v>100</v>
      </c>
      <c r="G45" s="375"/>
      <c r="H45" s="376">
        <f>SUMIF(128:128,G45,129:129)-SUMIF(128:128,C45,129:129)+100</f>
        <v>100</v>
      </c>
      <c r="I45" s="375"/>
      <c r="J45" s="376">
        <f>SUMIF(128:128,I45,129:129)-SUMIF(128:128,C45,129:129)+100</f>
        <v>100</v>
      </c>
      <c r="K45" s="552"/>
      <c r="L45" s="2707"/>
      <c r="M45" s="2701"/>
      <c r="N45" s="2701"/>
      <c r="O45" s="2701"/>
      <c r="P45" s="3710"/>
      <c r="Q45" s="1339">
        <f t="shared" si="11"/>
        <v>111</v>
      </c>
      <c r="R45" s="692" t="s">
        <v>14</v>
      </c>
      <c r="S45" s="693">
        <f t="shared" si="12"/>
        <v>100</v>
      </c>
      <c r="T45" s="692" t="s">
        <v>14</v>
      </c>
      <c r="U45" s="693">
        <f t="shared" si="13"/>
        <v>100</v>
      </c>
      <c r="V45" s="692" t="s">
        <v>14</v>
      </c>
      <c r="W45" s="693">
        <f t="shared" si="14"/>
        <v>100</v>
      </c>
      <c r="X45" s="1342"/>
      <c r="Y45" s="3712"/>
      <c r="Z45" s="1343">
        <f t="shared" si="15"/>
        <v>111</v>
      </c>
      <c r="AA45" s="1340">
        <f t="shared" si="3"/>
        <v>1</v>
      </c>
      <c r="AB45" s="1340">
        <f t="shared" si="4"/>
        <v>1</v>
      </c>
      <c r="AC45" s="1340">
        <f t="shared" si="5"/>
        <v>1</v>
      </c>
    </row>
    <row r="46" spans="1:29" ht="15.75" thickBot="1">
      <c r="A46" s="419"/>
      <c r="B46" s="1882">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7"/>
      <c r="M46" s="2701"/>
      <c r="N46" s="2701"/>
      <c r="O46" s="2701"/>
      <c r="P46" s="3711"/>
      <c r="Q46" s="1339">
        <f t="shared" si="11"/>
        <v>111</v>
      </c>
      <c r="R46" s="692" t="s">
        <v>14</v>
      </c>
      <c r="S46" s="693">
        <f t="shared" si="12"/>
        <v>100</v>
      </c>
      <c r="T46" s="692" t="s">
        <v>14</v>
      </c>
      <c r="U46" s="693">
        <f t="shared" si="13"/>
        <v>100</v>
      </c>
      <c r="V46" s="692" t="s">
        <v>14</v>
      </c>
      <c r="W46" s="693">
        <f t="shared" si="14"/>
        <v>100</v>
      </c>
      <c r="X46" s="1342"/>
      <c r="Y46" s="3713"/>
      <c r="Z46" s="1343">
        <f t="shared" si="15"/>
        <v>111</v>
      </c>
      <c r="AA46" s="1340">
        <f t="shared" si="3"/>
        <v>1</v>
      </c>
      <c r="AB46" s="1340">
        <f t="shared" si="4"/>
        <v>1</v>
      </c>
      <c r="AC46" s="1340">
        <f t="shared" si="5"/>
        <v>1</v>
      </c>
    </row>
    <row r="47" spans="1:29" ht="15">
      <c r="A47" s="420" t="s">
        <v>1707</v>
      </c>
      <c r="B47" s="421"/>
      <c r="C47" s="1141" t="s">
        <v>0</v>
      </c>
      <c r="D47" s="1142"/>
      <c r="E47" s="1143">
        <v>44665</v>
      </c>
      <c r="F47" s="1144"/>
      <c r="G47" s="1145">
        <v>41350</v>
      </c>
      <c r="H47" s="1146"/>
      <c r="I47" s="1143">
        <v>39678</v>
      </c>
      <c r="J47" s="1146"/>
      <c r="K47" s="701"/>
      <c r="L47" s="2709"/>
      <c r="M47" s="2710"/>
      <c r="N47" s="2701"/>
      <c r="O47" s="2710"/>
      <c r="P47" s="3700" t="str">
        <f>A47</f>
        <v>成交单价（元/平方米）</v>
      </c>
      <c r="Q47" s="3700"/>
      <c r="R47" s="3714">
        <f>E47</f>
        <v>44665</v>
      </c>
      <c r="S47" s="3714"/>
      <c r="T47" s="3714">
        <f>G47</f>
        <v>41350</v>
      </c>
      <c r="U47" s="3714"/>
      <c r="V47" s="3714">
        <f>I47</f>
        <v>39678</v>
      </c>
      <c r="W47" s="3714"/>
      <c r="X47" s="677"/>
      <c r="Y47" s="699"/>
      <c r="Z47" s="677"/>
      <c r="AA47" s="677"/>
      <c r="AB47" s="677"/>
      <c r="AC47" s="677"/>
    </row>
    <row r="48" spans="1:29" ht="15.75" thickBot="1">
      <c r="A48" s="427" t="s">
        <v>1792</v>
      </c>
      <c r="B48" s="428"/>
      <c r="C48" s="1147">
        <f>R49</f>
        <v>38978</v>
      </c>
      <c r="D48" s="2304" t="s">
        <v>2137</v>
      </c>
      <c r="E48" s="1148">
        <f>R48</f>
        <v>38410</v>
      </c>
      <c r="F48" s="2305"/>
      <c r="G48" s="1147">
        <f>T48</f>
        <v>39472</v>
      </c>
      <c r="H48" s="2305"/>
      <c r="I48" s="1148">
        <f>V48</f>
        <v>39052</v>
      </c>
      <c r="J48" s="2305"/>
      <c r="K48" s="2307">
        <f>F48+H48+J48</f>
        <v>0</v>
      </c>
      <c r="L48" s="2709"/>
      <c r="M48" s="2710"/>
      <c r="N48" s="2701"/>
      <c r="O48" s="2710"/>
      <c r="P48" s="3700" t="str">
        <f>A48</f>
        <v>比较价值（元/平方米）</v>
      </c>
      <c r="Q48" s="3700"/>
      <c r="R48" s="3701">
        <f>IF(F1="售价",ROUND(PRODUCT(R47,AA7:AA46),0),ROUND(PRODUCT(R47,AA7:AA46),1))</f>
        <v>38410</v>
      </c>
      <c r="S48" s="3701"/>
      <c r="T48" s="3701">
        <f>IF(F1="售价",ROUND(PRODUCT(T47,AB7:AB46),0),ROUND(PRODUCT(T47,AB7:AB46),1))</f>
        <v>39472</v>
      </c>
      <c r="U48" s="3701"/>
      <c r="V48" s="3701">
        <f>IF(F1="售价",ROUND(PRODUCT(V47,AC7:AC46),0),ROUND(PRODUCT(V47,AC7:AC46),1))</f>
        <v>39052</v>
      </c>
      <c r="W48" s="3701"/>
      <c r="X48" s="677"/>
      <c r="Y48" s="677"/>
      <c r="Z48" s="677"/>
      <c r="AA48" s="677"/>
      <c r="AB48" s="677"/>
      <c r="AC48" s="677"/>
    </row>
    <row r="49" spans="1:46" ht="15.75" thickBot="1">
      <c r="A49" s="431" t="s">
        <v>1793</v>
      </c>
      <c r="B49" s="432"/>
      <c r="C49" s="1150">
        <f>R49</f>
        <v>38978</v>
      </c>
      <c r="D49" s="1150"/>
      <c r="E49" s="1150"/>
      <c r="F49" s="1150"/>
      <c r="G49" s="1150"/>
      <c r="H49" s="1150"/>
      <c r="I49" s="1150"/>
      <c r="J49" s="1150"/>
      <c r="K49" s="702"/>
      <c r="L49" s="2709"/>
      <c r="M49" s="2710"/>
      <c r="N49" s="2701"/>
      <c r="O49" s="2710"/>
      <c r="P49" s="3702" t="str">
        <f>A49</f>
        <v>估价对象XX用房的比较价值（楼面单价，元/平方米）</v>
      </c>
      <c r="Q49" s="3703"/>
      <c r="R49" s="3704">
        <f>IF(F1="售价",ROUND(IF(D48="简单平均",AVERAGE(R48:V48),R48*F48+T48*H48+V48*J48),0),ROUND(IF(D48="简单平均",AVERAGE(R48:V48),R48*F48+T48*H48+V48*J48),1))</f>
        <v>38978</v>
      </c>
      <c r="S49" s="3704"/>
      <c r="T49" s="3704"/>
      <c r="U49" s="3704"/>
      <c r="V49" s="3704"/>
      <c r="W49" s="3704"/>
      <c r="X49" s="677"/>
      <c r="Y49" s="677"/>
      <c r="Z49" s="677"/>
      <c r="AA49" s="677"/>
      <c r="AB49" s="677"/>
      <c r="AC49" s="677"/>
    </row>
    <row r="50" spans="1:46">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46">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46" ht="13.5" customHeight="1">
      <c r="A52" s="2710"/>
      <c r="B52" s="2710"/>
      <c r="C52" s="436" t="s">
        <v>1794</v>
      </c>
      <c r="D52" s="437"/>
      <c r="E52" s="438">
        <f>IF(E47&lt;E48,E48/E47-1,E47/E48-1)</f>
        <v>0.16284821661025783</v>
      </c>
      <c r="F52" s="439" t="str">
        <f>IF(OR(E52&gt;=0.3,E52&lt;=-0.3),"超过30%","")</f>
        <v/>
      </c>
      <c r="G52" s="438">
        <f>IF(G47&lt;G48,G48/G47-1,G47/G48-1)</f>
        <v>4.7578029995946514E-2</v>
      </c>
      <c r="H52" s="439" t="str">
        <f>IF(OR(G52&gt;=0.3,G52&lt;=-0.3),"超过30%","")</f>
        <v/>
      </c>
      <c r="I52" s="438">
        <f>IF(I47&lt;I48,I48/I47-1,I47/I48-1)</f>
        <v>1.6029908839495954E-2</v>
      </c>
      <c r="J52" s="439" t="str">
        <f>IF(OR(I52&gt;=0.3,I52&lt;=-0.3),"超过30%","")</f>
        <v/>
      </c>
      <c r="K52" s="2715"/>
      <c r="L52" s="2711"/>
      <c r="M52" s="2710"/>
      <c r="N52" s="2710"/>
      <c r="O52" s="2710"/>
      <c r="P52" s="2721"/>
      <c r="Q52" s="2710"/>
      <c r="R52" s="2710"/>
      <c r="S52" s="2710"/>
      <c r="T52" s="2710"/>
      <c r="U52" s="2710"/>
      <c r="V52" s="2710"/>
      <c r="W52" s="2710"/>
      <c r="X52" s="2710"/>
      <c r="Y52" s="2710"/>
      <c r="Z52" s="2710"/>
      <c r="AA52" s="2710"/>
      <c r="AB52" s="2710"/>
      <c r="AC52" s="2710"/>
    </row>
    <row r="53" spans="1:46" ht="13.5" customHeight="1">
      <c r="A53" s="2710"/>
      <c r="B53" s="2710"/>
      <c r="C53" s="436" t="s">
        <v>1795</v>
      </c>
      <c r="D53" s="440"/>
      <c r="E53" s="438">
        <f>IF(E48&lt;G48,G48/E48-1,E48/G48-1)</f>
        <v>2.7649049726633734E-2</v>
      </c>
      <c r="F53" s="439" t="str">
        <f>IF(OR(E53&gt;=0.2,E53&lt;=-0.2),"超过20%","")</f>
        <v/>
      </c>
      <c r="G53" s="438">
        <f>IF(G48&lt;I48,I48/G48-1,G48/I48-1)</f>
        <v>1.0754890914677961E-2</v>
      </c>
      <c r="H53" s="439" t="str">
        <f>IF(OR(G53&gt;=0.2,G53&lt;=-0.2),"超过20%","")</f>
        <v/>
      </c>
      <c r="I53" s="438">
        <f>IF(I48&lt;E48,E48/I48-1,I48/E48-1)</f>
        <v>1.6714397292371785E-2</v>
      </c>
      <c r="J53" s="439" t="str">
        <f>IF(OR(I53&gt;=0.2,I53&lt;=-0.2),"超过20%","")</f>
        <v/>
      </c>
      <c r="K53" s="2715"/>
      <c r="L53" s="2711"/>
      <c r="M53" s="2710"/>
      <c r="N53" s="2710"/>
      <c r="O53" s="2710"/>
      <c r="P53" s="2721"/>
      <c r="Q53" s="2710"/>
      <c r="R53" s="2710"/>
      <c r="S53" s="2710"/>
      <c r="T53" s="2710"/>
      <c r="U53" s="2710"/>
      <c r="V53" s="2710"/>
      <c r="W53" s="2710"/>
      <c r="X53" s="2710"/>
      <c r="Y53" s="2710"/>
      <c r="Z53" s="2710"/>
      <c r="AA53" s="2710"/>
      <c r="AB53" s="2710"/>
      <c r="AC53" s="2710"/>
    </row>
    <row r="54" spans="1:46" s="441" customFormat="1" ht="13.5" customHeight="1">
      <c r="A54" s="2713"/>
      <c r="B54" s="2713"/>
      <c r="C54" s="436" t="s">
        <v>1796</v>
      </c>
      <c r="D54" s="440"/>
      <c r="E54" s="438">
        <f>IF(E47&lt;G47,G47/E47-1,E47/G47-1)</f>
        <v>8.0169286577992827E-2</v>
      </c>
      <c r="F54" s="439" t="str">
        <f>IF(OR(E54&gt;=0.3,E54&lt;=-0.3),"超过30%","")</f>
        <v/>
      </c>
      <c r="G54" s="438">
        <f>IF(G47&lt;I47,I47/G47-1,G47/I47-1)</f>
        <v>4.2139220726851168E-2</v>
      </c>
      <c r="H54" s="439" t="str">
        <f>IF(OR(G54&gt;=0.3,G54&lt;=-0.3),"超过30%","")</f>
        <v/>
      </c>
      <c r="I54" s="438">
        <f>IF(I47&lt;E47,E47/I47-1,I47/E47-1)</f>
        <v>0.12568677856746802</v>
      </c>
      <c r="J54" s="439" t="str">
        <f>IF(OR(I54&gt;=0.3,I54&lt;=-0.3),"超过30%","")</f>
        <v/>
      </c>
      <c r="K54" s="2718"/>
      <c r="L54" s="2712"/>
      <c r="M54" s="2713"/>
      <c r="N54" s="2713"/>
      <c r="O54" s="2713"/>
      <c r="P54" s="2722"/>
      <c r="Q54" s="2713"/>
      <c r="R54" s="2713"/>
      <c r="S54" s="2713"/>
      <c r="T54" s="2713"/>
      <c r="U54" s="2713"/>
      <c r="V54" s="2713"/>
      <c r="W54" s="2713"/>
      <c r="X54" s="2713"/>
      <c r="Y54" s="2713"/>
      <c r="Z54" s="2713"/>
      <c r="AA54" s="2713"/>
      <c r="AB54" s="2713"/>
      <c r="AC54" s="2713"/>
    </row>
    <row r="55" spans="1:46" s="44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46">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46" ht="21.75" thickBot="1">
      <c r="A57" s="681" t="s">
        <v>1797</v>
      </c>
      <c r="B57" s="677"/>
      <c r="C57" s="682"/>
      <c r="D57" s="682"/>
      <c r="E57" s="682"/>
      <c r="F57" s="683"/>
      <c r="G57" s="683"/>
      <c r="H57" s="682"/>
      <c r="I57" s="682"/>
      <c r="J57" s="682"/>
      <c r="K57" s="684"/>
      <c r="L57" s="929"/>
      <c r="M57" s="927"/>
      <c r="N57" s="927"/>
      <c r="O57" s="927"/>
      <c r="P57" s="2723"/>
      <c r="Q57" s="2724"/>
      <c r="R57" s="2710"/>
      <c r="S57" s="2710"/>
      <c r="T57" s="2710"/>
      <c r="U57" s="2710"/>
      <c r="V57" s="2710"/>
      <c r="W57" s="2710"/>
      <c r="X57" s="2710"/>
      <c r="Y57" s="2710"/>
      <c r="Z57" s="2710"/>
      <c r="AA57" s="2710"/>
      <c r="AB57" s="2710"/>
      <c r="AC57" s="2710"/>
    </row>
    <row r="58" spans="1:46" s="447" customFormat="1" ht="15">
      <c r="A58" s="444" t="s">
        <v>1678</v>
      </c>
      <c r="B58" s="445"/>
      <c r="C58" s="1171" t="str">
        <f>YEAR(C7)&amp;"-"&amp;MONTH(C7)</f>
        <v>2024-3</v>
      </c>
      <c r="D58" s="1172">
        <f>EDATE(C58,-1)</f>
        <v>45323</v>
      </c>
      <c r="E58" s="1172">
        <f t="shared" ref="E58:N58" si="16">EDATE(D58,-1)</f>
        <v>45292</v>
      </c>
      <c r="F58" s="1172">
        <f t="shared" si="16"/>
        <v>45261</v>
      </c>
      <c r="G58" s="1172">
        <f t="shared" si="16"/>
        <v>45231</v>
      </c>
      <c r="H58" s="1172">
        <f t="shared" si="16"/>
        <v>45200</v>
      </c>
      <c r="I58" s="1172">
        <f t="shared" si="16"/>
        <v>45170</v>
      </c>
      <c r="J58" s="1172">
        <f t="shared" si="16"/>
        <v>45139</v>
      </c>
      <c r="K58" s="1172">
        <f t="shared" si="16"/>
        <v>45108</v>
      </c>
      <c r="L58" s="1172">
        <f t="shared" si="16"/>
        <v>45078</v>
      </c>
      <c r="M58" s="1172">
        <f t="shared" si="16"/>
        <v>45047</v>
      </c>
      <c r="N58" s="1172">
        <f t="shared" si="16"/>
        <v>45017</v>
      </c>
      <c r="O58" s="1172">
        <f>EDATE(N58,-1)</f>
        <v>44986</v>
      </c>
      <c r="P58" s="3495">
        <f t="shared" ref="P58:Z58" si="17">EDATE(O58,-1)</f>
        <v>44958</v>
      </c>
      <c r="Q58" s="3495">
        <f t="shared" si="17"/>
        <v>44927</v>
      </c>
      <c r="R58" s="3495">
        <f t="shared" si="17"/>
        <v>44896</v>
      </c>
      <c r="S58" s="3495">
        <f t="shared" si="17"/>
        <v>44866</v>
      </c>
      <c r="T58" s="3495">
        <f t="shared" si="17"/>
        <v>44835</v>
      </c>
      <c r="U58" s="3495">
        <f t="shared" si="17"/>
        <v>44805</v>
      </c>
      <c r="V58" s="3495">
        <f t="shared" si="17"/>
        <v>44774</v>
      </c>
      <c r="W58" s="3495">
        <f t="shared" si="17"/>
        <v>44743</v>
      </c>
      <c r="X58" s="3495">
        <f t="shared" si="17"/>
        <v>44713</v>
      </c>
      <c r="Y58" s="3495">
        <f t="shared" si="17"/>
        <v>44682</v>
      </c>
      <c r="Z58" s="3495">
        <f t="shared" si="17"/>
        <v>44652</v>
      </c>
      <c r="AA58" s="3495">
        <f t="shared" ref="AA58:AL58" si="18">EDATE(Z58,-1)</f>
        <v>44621</v>
      </c>
      <c r="AB58" s="3495">
        <f t="shared" si="18"/>
        <v>44593</v>
      </c>
      <c r="AC58" s="3495">
        <f t="shared" si="18"/>
        <v>44562</v>
      </c>
      <c r="AD58" s="3495">
        <f t="shared" si="18"/>
        <v>44531</v>
      </c>
      <c r="AE58" s="3495">
        <f t="shared" si="18"/>
        <v>44501</v>
      </c>
      <c r="AF58" s="3495">
        <f t="shared" si="18"/>
        <v>44470</v>
      </c>
      <c r="AG58" s="3495">
        <f t="shared" si="18"/>
        <v>44440</v>
      </c>
      <c r="AH58" s="3495">
        <f t="shared" si="18"/>
        <v>44409</v>
      </c>
      <c r="AI58" s="3495">
        <f t="shared" si="18"/>
        <v>44378</v>
      </c>
      <c r="AJ58" s="3495">
        <f t="shared" si="18"/>
        <v>44348</v>
      </c>
      <c r="AK58" s="3495">
        <f t="shared" si="18"/>
        <v>44317</v>
      </c>
      <c r="AL58" s="3495">
        <f t="shared" si="18"/>
        <v>44287</v>
      </c>
      <c r="AM58" s="3495"/>
      <c r="AN58" s="3495"/>
      <c r="AO58" s="3495"/>
      <c r="AP58" s="3495"/>
      <c r="AQ58" s="3495"/>
      <c r="AR58" s="3495"/>
      <c r="AS58" s="3495"/>
      <c r="AT58" s="3495"/>
    </row>
    <row r="59" spans="1:46" s="105" customFormat="1" ht="15">
      <c r="A59" s="448"/>
      <c r="B59" s="449"/>
      <c r="C59" s="1170">
        <v>100</v>
      </c>
      <c r="D59" s="1170">
        <v>100</v>
      </c>
      <c r="E59" s="1170">
        <v>100</v>
      </c>
      <c r="F59" s="1170">
        <v>100</v>
      </c>
      <c r="G59" s="1170">
        <v>100</v>
      </c>
      <c r="H59" s="1170">
        <v>100</v>
      </c>
      <c r="I59" s="1170">
        <v>100</v>
      </c>
      <c r="J59" s="1170">
        <v>100</v>
      </c>
      <c r="K59" s="1170">
        <v>100</v>
      </c>
      <c r="L59" s="1170">
        <v>100</v>
      </c>
      <c r="M59" s="1170">
        <v>100</v>
      </c>
      <c r="N59" s="1170">
        <v>100</v>
      </c>
      <c r="O59" s="1170">
        <v>100</v>
      </c>
      <c r="P59" s="1170">
        <v>100</v>
      </c>
      <c r="Q59" s="1170">
        <v>100</v>
      </c>
      <c r="R59" s="1170">
        <v>100</v>
      </c>
      <c r="S59" s="1170">
        <v>100</v>
      </c>
      <c r="T59" s="1170">
        <v>100</v>
      </c>
      <c r="U59" s="1170">
        <v>100</v>
      </c>
      <c r="V59" s="1170">
        <v>100</v>
      </c>
      <c r="W59" s="1170">
        <v>100</v>
      </c>
      <c r="X59" s="1170">
        <v>100</v>
      </c>
      <c r="Y59" s="1170">
        <v>100</v>
      </c>
      <c r="Z59" s="1170">
        <v>100</v>
      </c>
      <c r="AA59" s="1170">
        <v>100</v>
      </c>
      <c r="AB59" s="1170">
        <v>100</v>
      </c>
      <c r="AC59" s="1170">
        <v>100</v>
      </c>
      <c r="AD59" s="1170">
        <v>100</v>
      </c>
      <c r="AE59" s="1170">
        <v>100</v>
      </c>
      <c r="AF59" s="1170">
        <v>100</v>
      </c>
      <c r="AG59" s="1170">
        <v>100</v>
      </c>
      <c r="AH59" s="1170">
        <v>100</v>
      </c>
      <c r="AI59" s="1170">
        <v>100</v>
      </c>
      <c r="AJ59" s="1170">
        <v>100</v>
      </c>
      <c r="AK59" s="1170">
        <v>100</v>
      </c>
      <c r="AL59" s="1170">
        <v>100</v>
      </c>
      <c r="AM59" s="1170"/>
      <c r="AN59" s="1170"/>
      <c r="AO59" s="1170"/>
      <c r="AP59" s="1170"/>
      <c r="AQ59" s="1170"/>
      <c r="AR59" s="1170"/>
      <c r="AS59" s="1170"/>
      <c r="AT59" s="1170"/>
    </row>
    <row r="60" spans="1:46" s="105" customFormat="1" ht="15.75" thickBot="1">
      <c r="A60" s="454" t="s">
        <v>1715</v>
      </c>
      <c r="B60" s="455"/>
      <c r="C60" s="456"/>
      <c r="D60" s="457"/>
      <c r="E60" s="457"/>
      <c r="F60" s="457"/>
      <c r="G60" s="457"/>
      <c r="H60" s="457"/>
      <c r="I60" s="457"/>
      <c r="J60" s="457"/>
      <c r="K60" s="457"/>
      <c r="L60" s="457"/>
      <c r="M60" s="458"/>
      <c r="N60" s="457"/>
      <c r="O60" s="458"/>
      <c r="P60" s="2726"/>
      <c r="Q60" s="2724"/>
      <c r="R60" s="2647"/>
      <c r="S60" s="2647"/>
      <c r="T60" s="2647"/>
      <c r="U60" s="2647"/>
      <c r="V60" s="2647"/>
      <c r="W60" s="2647"/>
      <c r="X60" s="2647"/>
      <c r="Y60" s="2647"/>
      <c r="Z60" s="2647"/>
      <c r="AA60" s="2647"/>
      <c r="AB60" s="2647"/>
      <c r="AC60" s="2647"/>
    </row>
    <row r="61" spans="1:46" s="105" customFormat="1" ht="15">
      <c r="A61" s="460" t="s">
        <v>1680</v>
      </c>
      <c r="B61" s="449"/>
      <c r="C61" s="461" t="s">
        <v>1775</v>
      </c>
      <c r="D61" s="462"/>
      <c r="E61" s="462"/>
      <c r="F61" s="462"/>
      <c r="G61" s="462"/>
      <c r="H61" s="462"/>
      <c r="I61" s="462"/>
      <c r="J61" s="462"/>
      <c r="K61" s="462"/>
      <c r="L61" s="463"/>
      <c r="M61" s="464"/>
      <c r="N61" s="2736"/>
      <c r="O61" s="2736"/>
      <c r="P61" s="2727"/>
      <c r="Q61" s="2724"/>
      <c r="R61" s="2647"/>
      <c r="S61" s="2647"/>
      <c r="T61" s="2647"/>
      <c r="U61" s="2647"/>
      <c r="V61" s="2647"/>
      <c r="W61" s="2647"/>
      <c r="X61" s="2647"/>
      <c r="Y61" s="2647"/>
      <c r="Z61" s="2647"/>
      <c r="AA61" s="2647"/>
      <c r="AB61" s="2647"/>
      <c r="AC61" s="2647"/>
    </row>
    <row r="62" spans="1:46" s="105" customFormat="1" ht="15.75" thickBot="1">
      <c r="A62" s="460"/>
      <c r="B62" s="449"/>
      <c r="C62" s="450">
        <v>100</v>
      </c>
      <c r="D62" s="451"/>
      <c r="E62" s="451"/>
      <c r="F62" s="451"/>
      <c r="G62" s="451"/>
      <c r="H62" s="451"/>
      <c r="I62" s="451"/>
      <c r="J62" s="451"/>
      <c r="K62" s="451"/>
      <c r="L62" s="451"/>
      <c r="M62" s="453"/>
      <c r="N62" s="2736"/>
      <c r="O62" s="2736"/>
      <c r="P62" s="2726"/>
      <c r="Q62" s="2724"/>
      <c r="R62" s="2647"/>
      <c r="S62" s="2647"/>
      <c r="T62" s="2647"/>
      <c r="U62" s="2647"/>
      <c r="V62" s="2647"/>
      <c r="W62" s="2647"/>
      <c r="X62" s="2647"/>
      <c r="Y62" s="2647"/>
      <c r="Z62" s="2647"/>
      <c r="AA62" s="2647"/>
      <c r="AB62" s="2647"/>
      <c r="AC62" s="2647"/>
    </row>
    <row r="63" spans="1:46">
      <c r="A63" s="466" t="s">
        <v>1718</v>
      </c>
      <c r="B63" s="467" t="s">
        <v>1684</v>
      </c>
      <c r="C63" s="468" t="str">
        <f>C9</f>
        <v>商业</v>
      </c>
      <c r="D63" s="3488" t="s">
        <v>21</v>
      </c>
      <c r="E63" s="469"/>
      <c r="F63" s="469"/>
      <c r="G63" s="469"/>
      <c r="H63" s="469"/>
      <c r="I63" s="469"/>
      <c r="J63" s="469"/>
      <c r="K63" s="470"/>
      <c r="L63" s="471"/>
      <c r="M63" s="472"/>
      <c r="N63" s="2737"/>
      <c r="O63" s="2737"/>
      <c r="P63" s="2728"/>
      <c r="Q63" s="2724"/>
      <c r="R63" s="2710"/>
      <c r="S63" s="2710"/>
      <c r="T63" s="2710"/>
      <c r="U63" s="2710"/>
      <c r="V63" s="2710"/>
      <c r="W63" s="2710"/>
      <c r="X63" s="2710"/>
      <c r="Y63" s="2710"/>
      <c r="Z63" s="2710"/>
      <c r="AA63" s="2710"/>
      <c r="AB63" s="2710"/>
      <c r="AC63" s="2710"/>
    </row>
    <row r="64" spans="1:46" ht="15.75" thickBot="1">
      <c r="A64" s="473"/>
      <c r="B64" s="474"/>
      <c r="C64" s="475">
        <v>100</v>
      </c>
      <c r="D64" s="475">
        <v>95</v>
      </c>
      <c r="E64" s="475"/>
      <c r="F64" s="475"/>
      <c r="G64" s="475"/>
      <c r="H64" s="475"/>
      <c r="I64" s="475"/>
      <c r="J64" s="475"/>
      <c r="K64" s="475"/>
      <c r="L64" s="475"/>
      <c r="M64" s="476"/>
      <c r="N64" s="2738"/>
      <c r="O64" s="2738"/>
      <c r="P64" s="2728"/>
      <c r="Q64" s="2724"/>
      <c r="R64" s="2710"/>
      <c r="S64" s="2710"/>
      <c r="T64" s="2710"/>
      <c r="U64" s="2710"/>
      <c r="V64" s="2710"/>
      <c r="W64" s="2710"/>
      <c r="X64" s="2710"/>
      <c r="Y64" s="2710"/>
      <c r="Z64" s="2710"/>
      <c r="AA64" s="2710"/>
      <c r="AB64" s="2710"/>
      <c r="AC64" s="2710"/>
    </row>
    <row r="65" spans="1:29" ht="27.75" thickTop="1">
      <c r="A65" s="473"/>
      <c r="B65" s="477" t="s">
        <v>1687</v>
      </c>
      <c r="C65" s="522" t="s">
        <v>3477</v>
      </c>
      <c r="D65" s="522" t="s">
        <v>3478</v>
      </c>
      <c r="E65" s="522" t="s">
        <v>3467</v>
      </c>
      <c r="F65" s="3490" t="s">
        <v>3475</v>
      </c>
      <c r="G65" s="522" t="s">
        <v>3479</v>
      </c>
      <c r="H65" s="522"/>
      <c r="I65" s="522"/>
      <c r="J65" s="522"/>
      <c r="K65" s="523"/>
      <c r="L65" s="524"/>
      <c r="M65" s="525"/>
      <c r="N65" s="2737"/>
      <c r="O65" s="2737"/>
      <c r="P65" s="2728"/>
      <c r="Q65" s="2724"/>
      <c r="R65" s="2710"/>
      <c r="S65" s="2710"/>
      <c r="T65" s="2710"/>
      <c r="U65" s="2710"/>
      <c r="V65" s="2710"/>
      <c r="W65" s="2710"/>
      <c r="X65" s="2710"/>
      <c r="Y65" s="2710"/>
      <c r="Z65" s="2710"/>
      <c r="AA65" s="2710"/>
      <c r="AB65" s="2710"/>
      <c r="AC65" s="2710"/>
    </row>
    <row r="66" spans="1:29" ht="15.75" thickBot="1">
      <c r="A66" s="473"/>
      <c r="B66" s="482"/>
      <c r="C66" s="475">
        <v>100</v>
      </c>
      <c r="D66" s="475">
        <f>C66-1</f>
        <v>99</v>
      </c>
      <c r="E66" s="475">
        <f t="shared" ref="E66:G66" si="19">D66-1</f>
        <v>98</v>
      </c>
      <c r="F66" s="475">
        <f t="shared" si="19"/>
        <v>97</v>
      </c>
      <c r="G66" s="475">
        <f t="shared" si="19"/>
        <v>96</v>
      </c>
      <c r="H66" s="475"/>
      <c r="I66" s="475"/>
      <c r="J66" s="475"/>
      <c r="K66" s="475"/>
      <c r="L66" s="475"/>
      <c r="M66" s="476"/>
      <c r="N66" s="2738"/>
      <c r="O66" s="2738"/>
      <c r="P66" s="2728"/>
      <c r="Q66" s="2724"/>
      <c r="R66" s="2710"/>
      <c r="S66" s="2710"/>
      <c r="T66" s="2710"/>
      <c r="U66" s="2710"/>
      <c r="V66" s="2710"/>
      <c r="W66" s="2710"/>
      <c r="X66" s="2710"/>
      <c r="Y66" s="2710"/>
      <c r="Z66" s="2710"/>
      <c r="AA66" s="2710"/>
      <c r="AB66" s="2710"/>
      <c r="AC66" s="2710"/>
    </row>
    <row r="67" spans="1:29" ht="15.75" thickTop="1">
      <c r="A67" s="473"/>
      <c r="B67" s="485" t="s">
        <v>1688</v>
      </c>
      <c r="C67" s="486" t="str">
        <f>C68&amp;"（含）"&amp;"-"&amp;D68</f>
        <v>0（含）-1</v>
      </c>
      <c r="D67" s="486" t="str">
        <f t="shared" ref="D67:L67" si="20">D68&amp;"（含）"&amp;"-"&amp;E68</f>
        <v>1（含）-2</v>
      </c>
      <c r="E67" s="486" t="str">
        <f t="shared" si="20"/>
        <v>2（含）-3</v>
      </c>
      <c r="F67" s="486" t="str">
        <f t="shared" si="20"/>
        <v>3（含）-4</v>
      </c>
      <c r="G67" s="486" t="str">
        <f t="shared" si="20"/>
        <v>4（含）-5</v>
      </c>
      <c r="H67" s="486" t="str">
        <f t="shared" si="20"/>
        <v>5（含）-6</v>
      </c>
      <c r="I67" s="486" t="str">
        <f t="shared" si="20"/>
        <v>6（含）-</v>
      </c>
      <c r="J67" s="486" t="str">
        <f t="shared" si="20"/>
        <v>（含）-</v>
      </c>
      <c r="K67" s="486" t="str">
        <f t="shared" si="20"/>
        <v>（含）-</v>
      </c>
      <c r="L67" s="486" t="str">
        <f t="shared" si="20"/>
        <v>（含）-</v>
      </c>
      <c r="M67" s="389" t="str">
        <f>M68&amp;"（含）"&amp;"-"&amp;P68</f>
        <v>（含）-</v>
      </c>
      <c r="N67" s="2738"/>
      <c r="O67" s="2738"/>
      <c r="P67" s="2728"/>
      <c r="Q67" s="2724"/>
      <c r="R67" s="2710"/>
      <c r="S67" s="2710"/>
      <c r="T67" s="2710"/>
      <c r="U67" s="2710"/>
      <c r="V67" s="2710"/>
      <c r="W67" s="2710"/>
      <c r="X67" s="2710"/>
      <c r="Y67" s="2710"/>
      <c r="Z67" s="2710"/>
      <c r="AA67" s="2710"/>
      <c r="AB67" s="2710"/>
      <c r="AC67" s="2710"/>
    </row>
    <row r="68" spans="1:29" ht="15">
      <c r="A68" s="473"/>
      <c r="B68" s="487"/>
      <c r="C68" s="488">
        <v>0</v>
      </c>
      <c r="D68" s="488">
        <v>1</v>
      </c>
      <c r="E68" s="488">
        <v>2</v>
      </c>
      <c r="F68" s="488">
        <v>3</v>
      </c>
      <c r="G68" s="488">
        <v>4</v>
      </c>
      <c r="H68" s="488">
        <v>5</v>
      </c>
      <c r="I68" s="488">
        <v>6</v>
      </c>
      <c r="J68" s="488"/>
      <c r="K68" s="489"/>
      <c r="L68" s="490"/>
      <c r="M68" s="491"/>
      <c r="N68" s="2737"/>
      <c r="O68" s="2737"/>
      <c r="P68" s="2728"/>
      <c r="Q68" s="2724"/>
      <c r="R68" s="2710"/>
      <c r="S68" s="2710"/>
      <c r="T68" s="2710"/>
      <c r="U68" s="2710"/>
      <c r="V68" s="2710"/>
      <c r="W68" s="2710"/>
      <c r="X68" s="2710"/>
      <c r="Y68" s="2710"/>
      <c r="Z68" s="2710"/>
      <c r="AA68" s="2710"/>
      <c r="AB68" s="2710"/>
      <c r="AC68" s="2710"/>
    </row>
    <row r="69" spans="1:29"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2738"/>
      <c r="O69" s="2738"/>
      <c r="P69" s="2728"/>
      <c r="Q69" s="2724"/>
      <c r="R69" s="2710"/>
      <c r="S69" s="2710"/>
      <c r="T69" s="2710"/>
      <c r="U69" s="2710"/>
      <c r="V69" s="2710"/>
      <c r="W69" s="2710"/>
      <c r="X69" s="2710"/>
      <c r="Y69" s="2710"/>
      <c r="Z69" s="2710"/>
      <c r="AA69" s="2710"/>
      <c r="AB69" s="2710"/>
      <c r="AC69" s="2710"/>
    </row>
    <row r="70" spans="1:29" s="412" customFormat="1" ht="15.75" thickTop="1">
      <c r="A70" s="492"/>
      <c r="B70" s="477">
        <f>B12</f>
        <v>111</v>
      </c>
      <c r="C70" s="493"/>
      <c r="D70" s="493"/>
      <c r="E70" s="493"/>
      <c r="F70" s="493"/>
      <c r="G70" s="493"/>
      <c r="H70" s="494"/>
      <c r="I70" s="494"/>
      <c r="J70" s="494"/>
      <c r="K70" s="494"/>
      <c r="L70" s="495"/>
      <c r="M70" s="496"/>
      <c r="N70" s="2739"/>
      <c r="O70" s="2739"/>
      <c r="P70" s="2729"/>
      <c r="Q70" s="2730"/>
      <c r="R70" s="2731"/>
      <c r="S70" s="2731"/>
      <c r="T70" s="2731"/>
      <c r="U70" s="2731"/>
      <c r="V70" s="2731"/>
      <c r="W70" s="2731"/>
      <c r="X70" s="2731"/>
      <c r="Y70" s="2731"/>
      <c r="Z70" s="2731"/>
      <c r="AA70" s="2731"/>
      <c r="AB70" s="2731"/>
      <c r="AC70" s="2731"/>
    </row>
    <row r="71" spans="1:29" s="412" customFormat="1" ht="15.75" thickBot="1">
      <c r="A71" s="492"/>
      <c r="B71" s="482"/>
      <c r="C71" s="499"/>
      <c r="D71" s="475"/>
      <c r="E71" s="475"/>
      <c r="F71" s="475"/>
      <c r="G71" s="475"/>
      <c r="H71" s="475"/>
      <c r="I71" s="475"/>
      <c r="J71" s="475"/>
      <c r="K71" s="475"/>
      <c r="L71" s="475"/>
      <c r="M71" s="476"/>
      <c r="N71" s="2738"/>
      <c r="O71" s="2738"/>
      <c r="P71" s="2729"/>
      <c r="Q71" s="2730"/>
      <c r="R71" s="2731"/>
      <c r="S71" s="2731"/>
      <c r="T71" s="2731"/>
      <c r="U71" s="2731"/>
      <c r="V71" s="2731"/>
      <c r="W71" s="2731"/>
      <c r="X71" s="2731"/>
      <c r="Y71" s="2731"/>
      <c r="Z71" s="2731"/>
      <c r="AA71" s="2731"/>
      <c r="AB71" s="2731"/>
      <c r="AC71" s="2731"/>
    </row>
    <row r="72" spans="1:29" s="412" customFormat="1" ht="15.75" thickTop="1">
      <c r="A72" s="492"/>
      <c r="B72" s="477">
        <f>B13</f>
        <v>111</v>
      </c>
      <c r="C72" s="493"/>
      <c r="D72" s="493"/>
      <c r="E72" s="493"/>
      <c r="F72" s="493"/>
      <c r="G72" s="493"/>
      <c r="H72" s="494"/>
      <c r="I72" s="494"/>
      <c r="J72" s="494"/>
      <c r="K72" s="494"/>
      <c r="L72" s="495"/>
      <c r="M72" s="496"/>
      <c r="N72" s="2739"/>
      <c r="O72" s="2739"/>
      <c r="P72" s="2732"/>
      <c r="Q72" s="2733"/>
      <c r="R72" s="2731"/>
      <c r="S72" s="2731"/>
      <c r="T72" s="2731"/>
      <c r="U72" s="2731"/>
      <c r="V72" s="2731"/>
      <c r="W72" s="2731"/>
      <c r="X72" s="2731"/>
      <c r="Y72" s="2731"/>
      <c r="Z72" s="2731"/>
      <c r="AA72" s="2731"/>
      <c r="AB72" s="2731"/>
      <c r="AC72" s="2731"/>
    </row>
    <row r="73" spans="1:29" s="412" customFormat="1" ht="15.75" thickBot="1">
      <c r="A73" s="492"/>
      <c r="B73" s="482"/>
      <c r="C73" s="499"/>
      <c r="D73" s="475"/>
      <c r="E73" s="475"/>
      <c r="F73" s="475"/>
      <c r="G73" s="499"/>
      <c r="H73" s="501"/>
      <c r="I73" s="501"/>
      <c r="J73" s="501"/>
      <c r="K73" s="501"/>
      <c r="L73" s="501"/>
      <c r="M73" s="502"/>
      <c r="N73" s="2739"/>
      <c r="O73" s="2739"/>
      <c r="P73" s="2729"/>
      <c r="Q73" s="2730"/>
      <c r="R73" s="2731"/>
      <c r="S73" s="2731"/>
      <c r="T73" s="2731"/>
      <c r="U73" s="2731"/>
      <c r="V73" s="2731"/>
      <c r="W73" s="2731"/>
      <c r="X73" s="2731"/>
      <c r="Y73" s="2731"/>
      <c r="Z73" s="2731"/>
      <c r="AA73" s="2731"/>
      <c r="AB73" s="2731"/>
      <c r="AC73" s="2731"/>
    </row>
    <row r="74" spans="1:29" s="412" customFormat="1" ht="15.75" thickTop="1">
      <c r="A74" s="492"/>
      <c r="B74" s="485">
        <f>B14</f>
        <v>111</v>
      </c>
      <c r="C74" s="493"/>
      <c r="D74" s="493"/>
      <c r="E74" s="493"/>
      <c r="F74" s="493"/>
      <c r="G74" s="462"/>
      <c r="H74" s="503"/>
      <c r="I74" s="503"/>
      <c r="J74" s="503"/>
      <c r="K74" s="503"/>
      <c r="L74" s="504"/>
      <c r="M74" s="505"/>
      <c r="N74" s="2739"/>
      <c r="O74" s="2739"/>
      <c r="P74" s="2734"/>
      <c r="Q74" s="2730"/>
      <c r="R74" s="2731"/>
      <c r="S74" s="2731"/>
      <c r="T74" s="2731"/>
      <c r="U74" s="2731"/>
      <c r="V74" s="2731"/>
      <c r="W74" s="2731"/>
      <c r="X74" s="2731"/>
      <c r="Y74" s="2731"/>
      <c r="Z74" s="2731"/>
      <c r="AA74" s="2731"/>
      <c r="AB74" s="2731"/>
      <c r="AC74" s="2731"/>
    </row>
    <row r="75" spans="1:29" s="412" customFormat="1" ht="15.75" thickBot="1">
      <c r="A75" s="507"/>
      <c r="B75" s="508"/>
      <c r="C75" s="509"/>
      <c r="D75" s="509"/>
      <c r="E75" s="509"/>
      <c r="F75" s="509"/>
      <c r="G75" s="509"/>
      <c r="H75" s="510"/>
      <c r="I75" s="510"/>
      <c r="J75" s="510"/>
      <c r="K75" s="510"/>
      <c r="L75" s="510"/>
      <c r="M75" s="511"/>
      <c r="N75" s="2739"/>
      <c r="O75" s="2739"/>
      <c r="P75" s="2729"/>
      <c r="Q75" s="2730"/>
      <c r="R75" s="2731"/>
      <c r="S75" s="2731"/>
      <c r="T75" s="2731"/>
      <c r="U75" s="2731"/>
      <c r="V75" s="2731"/>
      <c r="W75" s="2731"/>
      <c r="X75" s="2731"/>
      <c r="Y75" s="2731"/>
      <c r="Z75" s="2731"/>
      <c r="AA75" s="2731"/>
      <c r="AB75" s="2731"/>
      <c r="AC75" s="2731"/>
    </row>
    <row r="76" spans="1:29">
      <c r="A76" s="466" t="s">
        <v>1689</v>
      </c>
      <c r="B76" s="467" t="s">
        <v>1719</v>
      </c>
      <c r="C76" s="512" t="s">
        <v>1720</v>
      </c>
      <c r="D76" s="512" t="s">
        <v>1721</v>
      </c>
      <c r="E76" s="512" t="s">
        <v>1722</v>
      </c>
      <c r="F76" s="512" t="s">
        <v>1723</v>
      </c>
      <c r="G76" s="512" t="s">
        <v>1724</v>
      </c>
      <c r="H76" s="468"/>
      <c r="I76" s="468"/>
      <c r="J76" s="468"/>
      <c r="K76" s="513"/>
      <c r="L76" s="514"/>
      <c r="M76" s="515"/>
      <c r="N76" s="2737"/>
      <c r="O76" s="2737"/>
      <c r="P76" s="2735"/>
      <c r="Q76" s="2724"/>
      <c r="R76" s="2710"/>
      <c r="S76" s="2710"/>
      <c r="T76" s="2710"/>
      <c r="U76" s="2710"/>
      <c r="V76" s="2710"/>
      <c r="W76" s="2710"/>
      <c r="X76" s="2710"/>
      <c r="Y76" s="2710"/>
      <c r="Z76" s="2710"/>
      <c r="AA76" s="2710"/>
      <c r="AB76" s="2710"/>
      <c r="AC76" s="2710"/>
    </row>
    <row r="77" spans="1:29" ht="15.75" thickBot="1">
      <c r="A77" s="473"/>
      <c r="B77" s="482"/>
      <c r="C77" s="483">
        <v>100</v>
      </c>
      <c r="D77" s="483">
        <f>C77-$K15</f>
        <v>95</v>
      </c>
      <c r="E77" s="483">
        <f>D77-$K15</f>
        <v>90</v>
      </c>
      <c r="F77" s="483">
        <f>E77-$K15</f>
        <v>85</v>
      </c>
      <c r="G77" s="483">
        <f>F77-$K15</f>
        <v>80</v>
      </c>
      <c r="H77" s="483"/>
      <c r="I77" s="483"/>
      <c r="J77" s="483"/>
      <c r="K77" s="483"/>
      <c r="L77" s="483"/>
      <c r="M77" s="484"/>
      <c r="N77" s="2738"/>
      <c r="O77" s="2738"/>
      <c r="P77" s="2728"/>
      <c r="Q77" s="2724"/>
      <c r="R77" s="2710"/>
      <c r="S77" s="2710"/>
      <c r="T77" s="2710"/>
      <c r="U77" s="2710"/>
      <c r="V77" s="2710"/>
      <c r="W77" s="2710"/>
      <c r="X77" s="2710"/>
      <c r="Y77" s="2710"/>
      <c r="Z77" s="2710"/>
      <c r="AA77" s="2710"/>
      <c r="AB77" s="2710"/>
      <c r="AC77" s="2710"/>
    </row>
    <row r="78" spans="1:29" ht="15.75" thickTop="1">
      <c r="A78" s="473"/>
      <c r="B78" s="477" t="s">
        <v>1725</v>
      </c>
      <c r="C78" s="517" t="s">
        <v>1720</v>
      </c>
      <c r="D78" s="517" t="s">
        <v>1721</v>
      </c>
      <c r="E78" s="517" t="s">
        <v>1722</v>
      </c>
      <c r="F78" s="517" t="s">
        <v>1723</v>
      </c>
      <c r="G78" s="517" t="s">
        <v>1724</v>
      </c>
      <c r="H78" s="478"/>
      <c r="I78" s="478"/>
      <c r="J78" s="478"/>
      <c r="K78" s="479"/>
      <c r="L78" s="480"/>
      <c r="M78" s="481"/>
      <c r="N78" s="2737"/>
      <c r="O78" s="2737"/>
      <c r="P78" s="2728"/>
      <c r="Q78" s="2724"/>
      <c r="R78" s="2710"/>
      <c r="S78" s="2710"/>
      <c r="T78" s="2710"/>
      <c r="U78" s="2710"/>
      <c r="V78" s="2710"/>
      <c r="W78" s="2710"/>
      <c r="X78" s="2710"/>
      <c r="Y78" s="2710"/>
      <c r="Z78" s="2710"/>
      <c r="AA78" s="2710"/>
      <c r="AB78" s="2710"/>
      <c r="AC78" s="2710"/>
    </row>
    <row r="79" spans="1:29" ht="15.75" thickBot="1">
      <c r="A79" s="473"/>
      <c r="B79" s="482"/>
      <c r="C79" s="483">
        <v>100</v>
      </c>
      <c r="D79" s="483">
        <f>C79-$K17</f>
        <v>98</v>
      </c>
      <c r="E79" s="483">
        <f>D79-$K17</f>
        <v>96</v>
      </c>
      <c r="F79" s="483">
        <f>E79-$K17</f>
        <v>94</v>
      </c>
      <c r="G79" s="483">
        <f>F79-$K17</f>
        <v>92</v>
      </c>
      <c r="H79" s="483"/>
      <c r="I79" s="483"/>
      <c r="J79" s="483"/>
      <c r="K79" s="483"/>
      <c r="L79" s="483"/>
      <c r="M79" s="484"/>
      <c r="N79" s="2738"/>
      <c r="O79" s="2738"/>
      <c r="P79" s="2728"/>
      <c r="Q79" s="2724"/>
      <c r="R79" s="2710"/>
      <c r="S79" s="2710"/>
      <c r="T79" s="2710"/>
      <c r="U79" s="2710"/>
      <c r="V79" s="2710"/>
      <c r="W79" s="2710"/>
      <c r="X79" s="2710"/>
      <c r="Y79" s="2710"/>
      <c r="Z79" s="2710"/>
      <c r="AA79" s="2710"/>
      <c r="AB79" s="2710"/>
      <c r="AC79" s="2710"/>
    </row>
    <row r="80" spans="1:29" ht="15.75" thickTop="1">
      <c r="A80" s="473"/>
      <c r="B80" s="477" t="s">
        <v>1726</v>
      </c>
      <c r="C80" s="517" t="s">
        <v>1720</v>
      </c>
      <c r="D80" s="517" t="s">
        <v>1721</v>
      </c>
      <c r="E80" s="517" t="s">
        <v>1722</v>
      </c>
      <c r="F80" s="517" t="s">
        <v>1723</v>
      </c>
      <c r="G80" s="517" t="s">
        <v>1724</v>
      </c>
      <c r="H80" s="478"/>
      <c r="I80" s="478"/>
      <c r="J80" s="478"/>
      <c r="K80" s="479"/>
      <c r="L80" s="480"/>
      <c r="M80" s="481"/>
      <c r="N80" s="2737"/>
      <c r="O80" s="2737"/>
      <c r="P80" s="2728"/>
      <c r="Q80" s="2724"/>
      <c r="R80" s="2710"/>
      <c r="S80" s="2710"/>
      <c r="T80" s="2710"/>
      <c r="U80" s="2710"/>
      <c r="V80" s="2710"/>
      <c r="W80" s="2710"/>
      <c r="X80" s="2710"/>
      <c r="Y80" s="2710"/>
      <c r="Z80" s="2710"/>
      <c r="AA80" s="2710"/>
      <c r="AB80" s="2710"/>
      <c r="AC80" s="2710"/>
    </row>
    <row r="81" spans="1:29" ht="15.75" thickBot="1">
      <c r="A81" s="473"/>
      <c r="B81" s="482"/>
      <c r="C81" s="483">
        <v>100</v>
      </c>
      <c r="D81" s="483">
        <f>C81-$K19</f>
        <v>98</v>
      </c>
      <c r="E81" s="483">
        <f>D81-$K19</f>
        <v>96</v>
      </c>
      <c r="F81" s="483">
        <f>E81-$K19</f>
        <v>94</v>
      </c>
      <c r="G81" s="483">
        <f>F81-$K19</f>
        <v>92</v>
      </c>
      <c r="H81" s="483"/>
      <c r="I81" s="483"/>
      <c r="J81" s="483"/>
      <c r="K81" s="483"/>
      <c r="L81" s="483"/>
      <c r="M81" s="484"/>
      <c r="N81" s="2738"/>
      <c r="O81" s="2738"/>
      <c r="P81" s="2728"/>
      <c r="Q81" s="2724"/>
      <c r="R81" s="2710"/>
      <c r="S81" s="2710"/>
      <c r="T81" s="2710"/>
      <c r="U81" s="2710"/>
      <c r="V81" s="2710"/>
      <c r="W81" s="2710"/>
      <c r="X81" s="2710"/>
      <c r="Y81" s="2710"/>
      <c r="Z81" s="2710"/>
      <c r="AA81" s="2710"/>
      <c r="AB81" s="2710"/>
      <c r="AC81" s="2710"/>
    </row>
    <row r="82" spans="1:29" ht="15.75" thickTop="1">
      <c r="A82" s="473"/>
      <c r="B82" s="485" t="s">
        <v>1778</v>
      </c>
      <c r="C82" s="598" t="s">
        <v>1798</v>
      </c>
      <c r="D82" s="598" t="s">
        <v>1799</v>
      </c>
      <c r="E82" s="598" t="s">
        <v>1800</v>
      </c>
      <c r="F82" s="598" t="s">
        <v>1801</v>
      </c>
      <c r="G82" s="598" t="s">
        <v>1802</v>
      </c>
      <c r="H82" s="478"/>
      <c r="I82" s="478"/>
      <c r="J82" s="478"/>
      <c r="K82" s="478"/>
      <c r="L82" s="478"/>
      <c r="M82" s="1116"/>
      <c r="N82" s="2738"/>
      <c r="O82" s="2738"/>
      <c r="P82" s="2728"/>
      <c r="Q82" s="2724"/>
      <c r="R82" s="2710"/>
      <c r="S82" s="2710"/>
      <c r="T82" s="2710"/>
      <c r="U82" s="2710"/>
      <c r="V82" s="2710"/>
      <c r="W82" s="2710"/>
      <c r="X82" s="2710"/>
      <c r="Y82" s="2710"/>
      <c r="Z82" s="2710"/>
      <c r="AA82" s="2710"/>
      <c r="AB82" s="2710"/>
      <c r="AC82" s="2710"/>
    </row>
    <row r="83" spans="1:29" ht="15.75" thickBot="1">
      <c r="A83" s="473"/>
      <c r="B83" s="485"/>
      <c r="C83" s="483">
        <v>100</v>
      </c>
      <c r="D83" s="483">
        <f>C83-$K21</f>
        <v>99</v>
      </c>
      <c r="E83" s="483">
        <f t="shared" ref="E83:G83" si="22">D83-$K21</f>
        <v>98</v>
      </c>
      <c r="F83" s="483">
        <f t="shared" si="22"/>
        <v>97</v>
      </c>
      <c r="G83" s="483">
        <f t="shared" si="22"/>
        <v>96</v>
      </c>
      <c r="H83" s="598"/>
      <c r="I83" s="598"/>
      <c r="J83" s="598"/>
      <c r="K83" s="598"/>
      <c r="L83" s="598"/>
      <c r="M83" s="391"/>
      <c r="N83" s="2738"/>
      <c r="O83" s="2738"/>
      <c r="P83" s="2728"/>
      <c r="Q83" s="2724"/>
      <c r="R83" s="2710"/>
      <c r="S83" s="2710"/>
      <c r="T83" s="2710"/>
      <c r="U83" s="2710"/>
      <c r="V83" s="2710"/>
      <c r="W83" s="2710"/>
      <c r="X83" s="2710"/>
      <c r="Y83" s="2710"/>
      <c r="Z83" s="2710"/>
      <c r="AA83" s="2710"/>
      <c r="AB83" s="2710"/>
      <c r="AC83" s="2710"/>
    </row>
    <row r="84" spans="1:29" ht="15.75" thickTop="1">
      <c r="A84" s="473"/>
      <c r="B84" s="477" t="s">
        <v>1732</v>
      </c>
      <c r="C84" s="517" t="s">
        <v>1720</v>
      </c>
      <c r="D84" s="517" t="s">
        <v>1721</v>
      </c>
      <c r="E84" s="517" t="s">
        <v>1722</v>
      </c>
      <c r="F84" s="517" t="s">
        <v>1723</v>
      </c>
      <c r="G84" s="517" t="s">
        <v>1724</v>
      </c>
      <c r="H84" s="478"/>
      <c r="I84" s="478"/>
      <c r="J84" s="478"/>
      <c r="K84" s="479"/>
      <c r="L84" s="480"/>
      <c r="M84" s="481"/>
      <c r="N84" s="2737"/>
      <c r="O84" s="2737"/>
      <c r="P84" s="2728"/>
      <c r="Q84" s="2724"/>
      <c r="R84" s="2710"/>
      <c r="S84" s="2710"/>
      <c r="T84" s="2710"/>
      <c r="U84" s="2710"/>
      <c r="V84" s="2710"/>
      <c r="W84" s="2710"/>
      <c r="X84" s="2710"/>
      <c r="Y84" s="2710"/>
      <c r="Z84" s="2710"/>
      <c r="AA84" s="2710"/>
      <c r="AB84" s="2710"/>
      <c r="AC84" s="2710"/>
    </row>
    <row r="85" spans="1:29" ht="15.75" thickBot="1">
      <c r="A85" s="473"/>
      <c r="B85" s="482"/>
      <c r="C85" s="483">
        <v>100</v>
      </c>
      <c r="D85" s="483">
        <f>C85-$K23</f>
        <v>97</v>
      </c>
      <c r="E85" s="483">
        <f>D85-$K23</f>
        <v>94</v>
      </c>
      <c r="F85" s="483">
        <f>E85-$K23</f>
        <v>91</v>
      </c>
      <c r="G85" s="483">
        <f>F85-$K23</f>
        <v>88</v>
      </c>
      <c r="H85" s="483"/>
      <c r="I85" s="483"/>
      <c r="J85" s="483"/>
      <c r="K85" s="483"/>
      <c r="L85" s="483"/>
      <c r="M85" s="484"/>
      <c r="N85" s="2738"/>
      <c r="O85" s="2738"/>
      <c r="P85" s="2728"/>
      <c r="Q85" s="2724"/>
      <c r="R85" s="2710"/>
      <c r="S85" s="2710"/>
      <c r="T85" s="2710"/>
      <c r="U85" s="2710"/>
      <c r="V85" s="2710"/>
      <c r="W85" s="2710"/>
      <c r="X85" s="2710"/>
      <c r="Y85" s="2710"/>
      <c r="Z85" s="2710"/>
      <c r="AA85" s="2710"/>
      <c r="AB85" s="2710"/>
      <c r="AC85" s="2710"/>
    </row>
    <row r="86" spans="1:29" s="105" customFormat="1" ht="15.75" thickTop="1">
      <c r="A86" s="518"/>
      <c r="B86" s="477" t="s">
        <v>1803</v>
      </c>
      <c r="C86" s="493"/>
      <c r="D86" s="493"/>
      <c r="E86" s="493"/>
      <c r="F86" s="493"/>
      <c r="G86" s="493"/>
      <c r="H86" s="493"/>
      <c r="I86" s="493"/>
      <c r="J86" s="493"/>
      <c r="K86" s="493"/>
      <c r="L86" s="519"/>
      <c r="M86" s="520"/>
      <c r="N86" s="2736"/>
      <c r="O86" s="2736"/>
      <c r="P86" s="2728"/>
      <c r="Q86" s="2724"/>
      <c r="R86" s="2647"/>
      <c r="S86" s="2647"/>
      <c r="T86" s="2647"/>
      <c r="U86" s="2647"/>
      <c r="V86" s="2647"/>
      <c r="W86" s="2647"/>
      <c r="X86" s="2647"/>
      <c r="Y86" s="2647"/>
      <c r="Z86" s="2647"/>
      <c r="AA86" s="2647"/>
      <c r="AB86" s="2647"/>
      <c r="AC86" s="2647"/>
    </row>
    <row r="87" spans="1:29" s="105" customFormat="1" ht="15.75" thickBot="1">
      <c r="A87" s="518"/>
      <c r="B87" s="482"/>
      <c r="C87" s="521">
        <v>100</v>
      </c>
      <c r="D87" s="483">
        <f t="shared" ref="D87:M87" si="23">C87-$K25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2738"/>
      <c r="O87" s="2738"/>
      <c r="P87" s="2728"/>
      <c r="Q87" s="2724"/>
      <c r="R87" s="2647"/>
      <c r="S87" s="2647"/>
      <c r="T87" s="2647"/>
      <c r="U87" s="2647"/>
      <c r="V87" s="2647"/>
      <c r="W87" s="2647"/>
      <c r="X87" s="2647"/>
      <c r="Y87" s="2647"/>
      <c r="Z87" s="2647"/>
      <c r="AA87" s="2647"/>
      <c r="AB87" s="2647"/>
      <c r="AC87" s="2647"/>
    </row>
    <row r="88" spans="1:29" s="105" customFormat="1" ht="15.75" thickTop="1">
      <c r="A88" s="518"/>
      <c r="B88" s="477" t="str">
        <f>B26</f>
        <v>平面位置/可视性</v>
      </c>
      <c r="C88" s="493"/>
      <c r="D88" s="493"/>
      <c r="E88" s="493"/>
      <c r="F88" s="1914"/>
      <c r="G88" s="493"/>
      <c r="H88" s="493"/>
      <c r="I88" s="493"/>
      <c r="J88" s="493"/>
      <c r="K88" s="493"/>
      <c r="L88" s="493"/>
      <c r="M88" s="520"/>
      <c r="N88" s="2736"/>
      <c r="O88" s="2736"/>
      <c r="P88" s="2728"/>
      <c r="Q88" s="2724"/>
      <c r="R88" s="2647"/>
      <c r="S88" s="2647"/>
      <c r="T88" s="2647"/>
      <c r="U88" s="2647"/>
      <c r="V88" s="2647"/>
      <c r="W88" s="2647"/>
      <c r="X88" s="2647"/>
      <c r="Y88" s="2647"/>
      <c r="Z88" s="2647"/>
      <c r="AA88" s="2647"/>
      <c r="AB88" s="2647"/>
      <c r="AC88" s="2647"/>
    </row>
    <row r="89" spans="1:29" s="105" customFormat="1" ht="15.75" thickBot="1">
      <c r="A89" s="518"/>
      <c r="B89" s="482"/>
      <c r="C89" s="499"/>
      <c r="D89" s="475"/>
      <c r="E89" s="475"/>
      <c r="F89" s="475"/>
      <c r="G89" s="475"/>
      <c r="H89" s="475"/>
      <c r="I89" s="475"/>
      <c r="J89" s="475"/>
      <c r="K89" s="475"/>
      <c r="L89" s="475"/>
      <c r="M89" s="475"/>
      <c r="N89" s="2738"/>
      <c r="O89" s="2738"/>
      <c r="P89" s="2728"/>
      <c r="Q89" s="2724"/>
      <c r="R89" s="2647"/>
      <c r="S89" s="2647"/>
      <c r="T89" s="2647"/>
      <c r="U89" s="2647"/>
      <c r="V89" s="2647"/>
      <c r="W89" s="2647"/>
      <c r="X89" s="2647"/>
      <c r="Y89" s="2647"/>
      <c r="Z89" s="2647"/>
      <c r="AA89" s="2647"/>
      <c r="AB89" s="2647"/>
      <c r="AC89" s="2647"/>
    </row>
    <row r="90" spans="1:29" s="412" customFormat="1" ht="15.75" thickTop="1">
      <c r="A90" s="492"/>
      <c r="B90" s="477" t="str">
        <f>B27</f>
        <v>人流量</v>
      </c>
      <c r="C90" s="493"/>
      <c r="D90" s="493"/>
      <c r="E90" s="493"/>
      <c r="F90" s="493"/>
      <c r="G90" s="493"/>
      <c r="H90" s="494"/>
      <c r="I90" s="494"/>
      <c r="J90" s="494"/>
      <c r="K90" s="494"/>
      <c r="L90" s="495"/>
      <c r="M90" s="496"/>
      <c r="N90" s="2739"/>
      <c r="O90" s="2739"/>
      <c r="P90" s="2729"/>
      <c r="Q90" s="2730"/>
      <c r="R90" s="2731"/>
      <c r="S90" s="2731"/>
      <c r="T90" s="2731"/>
      <c r="U90" s="2731"/>
      <c r="V90" s="2731"/>
      <c r="W90" s="2731"/>
      <c r="X90" s="2731"/>
      <c r="Y90" s="2731"/>
      <c r="Z90" s="2731"/>
      <c r="AA90" s="2731"/>
      <c r="AB90" s="2731"/>
      <c r="AC90" s="2731"/>
    </row>
    <row r="91" spans="1:29" s="412" customFormat="1" ht="15.75" thickBot="1">
      <c r="A91" s="492"/>
      <c r="B91" s="482"/>
      <c r="C91" s="521">
        <v>100</v>
      </c>
      <c r="D91" s="483">
        <f>C91-$K27</f>
        <v>100</v>
      </c>
      <c r="E91" s="483">
        <f t="shared" ref="E91:M91" si="24">D91-$K27</f>
        <v>100</v>
      </c>
      <c r="F91" s="483">
        <f t="shared" si="24"/>
        <v>100</v>
      </c>
      <c r="G91" s="483">
        <f t="shared" si="24"/>
        <v>100</v>
      </c>
      <c r="H91" s="483">
        <f t="shared" si="24"/>
        <v>100</v>
      </c>
      <c r="I91" s="483">
        <f t="shared" si="24"/>
        <v>100</v>
      </c>
      <c r="J91" s="483">
        <f t="shared" si="24"/>
        <v>100</v>
      </c>
      <c r="K91" s="483">
        <f t="shared" si="24"/>
        <v>100</v>
      </c>
      <c r="L91" s="483">
        <f t="shared" si="24"/>
        <v>100</v>
      </c>
      <c r="M91" s="483">
        <f t="shared" si="24"/>
        <v>100</v>
      </c>
      <c r="N91" s="2739"/>
      <c r="O91" s="2739"/>
      <c r="P91" s="2729"/>
      <c r="Q91" s="2730"/>
      <c r="R91" s="2731"/>
      <c r="S91" s="2731"/>
      <c r="T91" s="2731"/>
      <c r="U91" s="2731"/>
      <c r="V91" s="2731"/>
      <c r="W91" s="2731"/>
      <c r="X91" s="2731"/>
      <c r="Y91" s="2731"/>
      <c r="Z91" s="2731"/>
      <c r="AA91" s="2731"/>
      <c r="AB91" s="2731"/>
      <c r="AC91" s="2731"/>
    </row>
    <row r="92" spans="1:29" ht="15.75" thickTop="1">
      <c r="A92" s="473"/>
      <c r="B92" s="477" t="str">
        <f>B28</f>
        <v>楼层</v>
      </c>
      <c r="C92" s="493"/>
      <c r="D92" s="493"/>
      <c r="E92" s="493"/>
      <c r="F92" s="493"/>
      <c r="G92" s="493"/>
      <c r="H92" s="493"/>
      <c r="I92" s="493"/>
      <c r="J92" s="493"/>
      <c r="K92" s="493"/>
      <c r="L92" s="519"/>
      <c r="M92" s="520"/>
      <c r="N92" s="2737"/>
      <c r="O92" s="2737"/>
      <c r="P92" s="2728"/>
      <c r="Q92" s="2724"/>
      <c r="R92" s="2710"/>
      <c r="S92" s="2710"/>
      <c r="T92" s="2710"/>
      <c r="U92" s="2710"/>
      <c r="V92" s="2710"/>
      <c r="W92" s="2710"/>
      <c r="X92" s="2710"/>
      <c r="Y92" s="2710"/>
      <c r="Z92" s="2710"/>
      <c r="AA92" s="2710"/>
      <c r="AB92" s="2710"/>
      <c r="AC92" s="2710"/>
    </row>
    <row r="93" spans="1:29" ht="15.75" thickBot="1">
      <c r="A93" s="473"/>
      <c r="B93" s="482"/>
      <c r="C93" s="475"/>
      <c r="D93" s="475"/>
      <c r="E93" s="475"/>
      <c r="F93" s="475"/>
      <c r="G93" s="475"/>
      <c r="H93" s="475"/>
      <c r="I93" s="475"/>
      <c r="J93" s="475"/>
      <c r="K93" s="475"/>
      <c r="L93" s="475"/>
      <c r="M93" s="476"/>
      <c r="N93" s="2738"/>
      <c r="O93" s="2738"/>
      <c r="P93" s="2728"/>
      <c r="Q93" s="2724"/>
      <c r="R93" s="2710"/>
      <c r="S93" s="2710"/>
      <c r="T93" s="2710"/>
      <c r="U93" s="2710"/>
      <c r="V93" s="2710"/>
      <c r="W93" s="2710"/>
      <c r="X93" s="2710"/>
      <c r="Y93" s="2710"/>
      <c r="Z93" s="2710"/>
      <c r="AA93" s="2710"/>
      <c r="AB93" s="2710"/>
      <c r="AC93" s="2710"/>
    </row>
    <row r="94" spans="1:29" ht="27.75" thickTop="1">
      <c r="A94" s="473"/>
      <c r="B94" s="477" t="str">
        <f>B29</f>
        <v>消费人群</v>
      </c>
      <c r="C94" s="3492" t="s">
        <v>3481</v>
      </c>
      <c r="D94" s="3492" t="s">
        <v>3482</v>
      </c>
      <c r="E94" s="3492" t="s">
        <v>3483</v>
      </c>
      <c r="F94" s="3492" t="s">
        <v>3484</v>
      </c>
      <c r="G94" s="522"/>
      <c r="H94" s="522"/>
      <c r="I94" s="522"/>
      <c r="J94" s="522"/>
      <c r="K94" s="523"/>
      <c r="L94" s="524"/>
      <c r="M94" s="525"/>
      <c r="N94" s="2737"/>
      <c r="O94" s="2737"/>
      <c r="P94" s="2728"/>
      <c r="Q94" s="2724"/>
      <c r="R94" s="2710"/>
      <c r="S94" s="2710"/>
      <c r="T94" s="2710"/>
      <c r="U94" s="2710"/>
      <c r="V94" s="2710"/>
      <c r="W94" s="2710"/>
      <c r="X94" s="2710"/>
      <c r="Y94" s="2710"/>
      <c r="Z94" s="2710"/>
      <c r="AA94" s="2710"/>
      <c r="AB94" s="2710"/>
      <c r="AC94" s="2710"/>
    </row>
    <row r="95" spans="1:29" ht="15.75" thickBot="1">
      <c r="A95" s="473"/>
      <c r="B95" s="482"/>
      <c r="C95" s="499"/>
      <c r="D95" s="475"/>
      <c r="E95" s="475"/>
      <c r="F95" s="475"/>
      <c r="G95" s="475"/>
      <c r="H95" s="475"/>
      <c r="I95" s="475"/>
      <c r="J95" s="475"/>
      <c r="K95" s="475"/>
      <c r="L95" s="475"/>
      <c r="M95" s="476"/>
      <c r="N95" s="2738"/>
      <c r="O95" s="2738"/>
      <c r="P95" s="2728"/>
      <c r="Q95" s="2724"/>
      <c r="R95" s="2710"/>
      <c r="S95" s="2710"/>
      <c r="T95" s="2710"/>
      <c r="U95" s="2710"/>
      <c r="V95" s="2710"/>
      <c r="W95" s="2710"/>
      <c r="X95" s="2710"/>
      <c r="Y95" s="2710"/>
      <c r="Z95" s="2710"/>
      <c r="AA95" s="2710"/>
      <c r="AB95" s="2710"/>
      <c r="AC95" s="2710"/>
    </row>
    <row r="96" spans="1:29" ht="15.75" thickTop="1">
      <c r="A96" s="473"/>
      <c r="B96" s="477">
        <f>B30</f>
        <v>111</v>
      </c>
      <c r="C96" s="493"/>
      <c r="D96" s="493"/>
      <c r="E96" s="493"/>
      <c r="F96" s="493"/>
      <c r="G96" s="522"/>
      <c r="H96" s="522"/>
      <c r="I96" s="522"/>
      <c r="J96" s="522"/>
      <c r="K96" s="523"/>
      <c r="L96" s="524"/>
      <c r="M96" s="525"/>
      <c r="N96" s="2737"/>
      <c r="O96" s="2737"/>
      <c r="P96" s="2728"/>
      <c r="Q96" s="2724"/>
      <c r="R96" s="2710"/>
      <c r="S96" s="2710"/>
      <c r="T96" s="2710"/>
      <c r="U96" s="2710"/>
      <c r="V96" s="2710"/>
      <c r="W96" s="2710"/>
      <c r="X96" s="2710"/>
      <c r="Y96" s="2710"/>
      <c r="Z96" s="2710"/>
      <c r="AA96" s="2710"/>
      <c r="AB96" s="2710"/>
      <c r="AC96" s="2710"/>
    </row>
    <row r="97" spans="1:29" ht="15.75" thickBot="1">
      <c r="A97" s="473"/>
      <c r="B97" s="482"/>
      <c r="C97" s="499"/>
      <c r="D97" s="475"/>
      <c r="E97" s="475"/>
      <c r="F97" s="475"/>
      <c r="G97" s="475"/>
      <c r="H97" s="475"/>
      <c r="I97" s="475"/>
      <c r="J97" s="475"/>
      <c r="K97" s="475"/>
      <c r="L97" s="475"/>
      <c r="M97" s="476"/>
      <c r="N97" s="2738"/>
      <c r="O97" s="2738"/>
      <c r="P97" s="2728"/>
      <c r="Q97" s="2724"/>
      <c r="R97" s="2710"/>
      <c r="S97" s="2710"/>
      <c r="T97" s="2710"/>
      <c r="U97" s="2710"/>
      <c r="V97" s="2710"/>
      <c r="W97" s="2710"/>
      <c r="X97" s="2710"/>
      <c r="Y97" s="2710"/>
      <c r="Z97" s="2710"/>
      <c r="AA97" s="2710"/>
      <c r="AB97" s="2710"/>
      <c r="AC97" s="2710"/>
    </row>
    <row r="98" spans="1:29" ht="15.75" thickTop="1">
      <c r="A98" s="473"/>
      <c r="B98" s="485">
        <f>B31</f>
        <v>111</v>
      </c>
      <c r="C98" s="493"/>
      <c r="D98" s="493"/>
      <c r="E98" s="493"/>
      <c r="F98" s="493"/>
      <c r="G98" s="526"/>
      <c r="H98" s="526"/>
      <c r="I98" s="526"/>
      <c r="J98" s="526"/>
      <c r="K98" s="527"/>
      <c r="L98" s="528"/>
      <c r="M98" s="529"/>
      <c r="N98" s="2737"/>
      <c r="O98" s="2737"/>
      <c r="P98" s="2728"/>
      <c r="Q98" s="2724"/>
      <c r="R98" s="2710"/>
      <c r="S98" s="2710"/>
      <c r="T98" s="2710"/>
      <c r="U98" s="2710"/>
      <c r="V98" s="2710"/>
      <c r="W98" s="2710"/>
      <c r="X98" s="2710"/>
      <c r="Y98" s="2710"/>
      <c r="Z98" s="2710"/>
      <c r="AA98" s="2710"/>
      <c r="AB98" s="2710"/>
      <c r="AC98" s="2710"/>
    </row>
    <row r="99" spans="1:29" ht="15.75" thickBot="1">
      <c r="A99" s="1915"/>
      <c r="B99" s="508"/>
      <c r="C99" s="509"/>
      <c r="D99" s="509"/>
      <c r="E99" s="509"/>
      <c r="F99" s="509"/>
      <c r="G99" s="530"/>
      <c r="H99" s="530"/>
      <c r="I99" s="530"/>
      <c r="J99" s="530"/>
      <c r="K99" s="530"/>
      <c r="L99" s="530"/>
      <c r="M99" s="531"/>
      <c r="N99" s="2738"/>
      <c r="O99" s="2738"/>
      <c r="P99" s="2728"/>
      <c r="Q99" s="2724"/>
      <c r="R99" s="2710"/>
      <c r="S99" s="2710"/>
      <c r="T99" s="2710"/>
      <c r="U99" s="2710"/>
      <c r="V99" s="2710"/>
      <c r="W99" s="2710"/>
      <c r="X99" s="2710"/>
      <c r="Y99" s="2710"/>
      <c r="Z99" s="2710"/>
      <c r="AA99" s="2710"/>
      <c r="AB99" s="2710"/>
      <c r="AC99" s="2710"/>
    </row>
    <row r="100" spans="1:29">
      <c r="A100" s="466" t="s">
        <v>1693</v>
      </c>
      <c r="B100" s="467" t="s">
        <v>1804</v>
      </c>
      <c r="C100" s="469"/>
      <c r="D100" s="469"/>
      <c r="E100" s="469"/>
      <c r="F100" s="469"/>
      <c r="G100" s="469"/>
      <c r="H100" s="469"/>
      <c r="I100" s="469"/>
      <c r="J100" s="469"/>
      <c r="K100" s="470"/>
      <c r="L100" s="471"/>
      <c r="M100" s="472"/>
      <c r="N100" s="2737"/>
      <c r="O100" s="2737"/>
      <c r="P100" s="2728"/>
      <c r="Q100" s="2724"/>
      <c r="R100" s="2710"/>
      <c r="S100" s="2710"/>
      <c r="T100" s="2710"/>
      <c r="U100" s="2710"/>
      <c r="V100" s="2710"/>
      <c r="W100" s="2710"/>
      <c r="X100" s="2710"/>
      <c r="Y100" s="2710"/>
      <c r="Z100" s="2710"/>
      <c r="AA100" s="2710"/>
      <c r="AB100" s="2710"/>
      <c r="AC100" s="2710"/>
    </row>
    <row r="101" spans="1:29"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4">
        <f t="shared" si="25"/>
        <v>100</v>
      </c>
      <c r="N101" s="2738"/>
      <c r="O101" s="2738"/>
      <c r="P101" s="2728"/>
      <c r="Q101" s="2724"/>
      <c r="R101" s="2710"/>
      <c r="S101" s="2710"/>
      <c r="T101" s="2710"/>
      <c r="U101" s="2710"/>
      <c r="V101" s="2710"/>
      <c r="W101" s="2710"/>
      <c r="X101" s="2710"/>
      <c r="Y101" s="2710"/>
      <c r="Z101" s="2710"/>
      <c r="AA101" s="2710"/>
      <c r="AB101" s="2710"/>
      <c r="AC101" s="2710"/>
    </row>
    <row r="102" spans="1:29" ht="15.75" thickTop="1">
      <c r="A102" s="473"/>
      <c r="B102" s="477" t="s">
        <v>1736</v>
      </c>
      <c r="C102" s="517" t="str">
        <f>C103&amp;"(含)"&amp;"-"&amp;D103</f>
        <v>0(含)-20</v>
      </c>
      <c r="D102" s="517" t="str">
        <f t="shared" ref="D102:L102" si="26">D103&amp;"(含)"&amp;"-"&amp;E103</f>
        <v>20(含)-50</v>
      </c>
      <c r="E102" s="517" t="str">
        <f t="shared" si="26"/>
        <v>50(含)-100</v>
      </c>
      <c r="F102" s="517" t="str">
        <f t="shared" si="26"/>
        <v>100(含)-500</v>
      </c>
      <c r="G102" s="517" t="str">
        <f t="shared" si="26"/>
        <v>500(含)-10000</v>
      </c>
      <c r="H102" s="517" t="str">
        <f t="shared" si="26"/>
        <v>10000(含)-</v>
      </c>
      <c r="I102" s="517" t="str">
        <f t="shared" si="26"/>
        <v>(含)-</v>
      </c>
      <c r="J102" s="517" t="str">
        <f t="shared" si="26"/>
        <v>(含)-</v>
      </c>
      <c r="K102" s="517" t="str">
        <f t="shared" si="26"/>
        <v>(含)-</v>
      </c>
      <c r="L102" s="517" t="str">
        <f t="shared" si="26"/>
        <v>(含)-</v>
      </c>
      <c r="M102" s="560" t="str">
        <f>M103&amp;"(含)"&amp;"-"&amp;P103</f>
        <v>(含)-</v>
      </c>
      <c r="N102" s="2736"/>
      <c r="O102" s="2736"/>
      <c r="P102" s="2728"/>
      <c r="Q102" s="2724"/>
      <c r="R102" s="2710"/>
      <c r="S102" s="2710"/>
      <c r="T102" s="2710"/>
      <c r="U102" s="2710"/>
      <c r="V102" s="2710"/>
      <c r="W102" s="2710"/>
      <c r="X102" s="2710"/>
      <c r="Y102" s="2710"/>
      <c r="Z102" s="2710"/>
      <c r="AA102" s="2710"/>
      <c r="AB102" s="2710"/>
      <c r="AC102" s="2710"/>
    </row>
    <row r="103" spans="1:29" s="412" customFormat="1">
      <c r="A103" s="532"/>
      <c r="B103" s="533"/>
      <c r="C103" s="534">
        <v>0</v>
      </c>
      <c r="D103" s="534">
        <v>20</v>
      </c>
      <c r="E103" s="534">
        <v>50</v>
      </c>
      <c r="F103" s="534">
        <v>100</v>
      </c>
      <c r="G103" s="534">
        <v>500</v>
      </c>
      <c r="H103" s="534">
        <v>10000</v>
      </c>
      <c r="I103" s="534"/>
      <c r="J103" s="535"/>
      <c r="K103" s="535"/>
      <c r="L103" s="536"/>
      <c r="M103" s="537"/>
      <c r="N103" s="2739"/>
      <c r="O103" s="2739"/>
      <c r="P103" s="2729"/>
      <c r="Q103" s="2730"/>
      <c r="R103" s="2731"/>
      <c r="S103" s="2731"/>
      <c r="T103" s="2731"/>
      <c r="U103" s="2731"/>
      <c r="V103" s="2731"/>
      <c r="W103" s="2731"/>
      <c r="X103" s="2731"/>
      <c r="Y103" s="2731"/>
      <c r="Z103" s="2731"/>
      <c r="AA103" s="2731"/>
      <c r="AB103" s="2731"/>
      <c r="AC103" s="2731"/>
    </row>
    <row r="104" spans="1:29" s="412" customFormat="1" ht="15.75" thickBot="1">
      <c r="A104" s="492"/>
      <c r="B104" s="482"/>
      <c r="C104" s="499">
        <v>100</v>
      </c>
      <c r="D104" s="475">
        <f>C104-2</f>
        <v>98</v>
      </c>
      <c r="E104" s="475">
        <f>D104-2</f>
        <v>96</v>
      </c>
      <c r="F104" s="475">
        <f>E104-2</f>
        <v>94</v>
      </c>
      <c r="G104" s="475">
        <f>F104-2</f>
        <v>92</v>
      </c>
      <c r="H104" s="475"/>
      <c r="I104" s="475"/>
      <c r="J104" s="475"/>
      <c r="K104" s="475"/>
      <c r="L104" s="475"/>
      <c r="M104" s="476"/>
      <c r="N104" s="2738"/>
      <c r="O104" s="2738"/>
      <c r="P104" s="2729"/>
      <c r="Q104" s="2730"/>
      <c r="R104" s="2731"/>
      <c r="S104" s="2731"/>
      <c r="T104" s="2731"/>
      <c r="U104" s="2731"/>
      <c r="V104" s="2731"/>
      <c r="W104" s="2731"/>
      <c r="X104" s="2731"/>
      <c r="Y104" s="2731"/>
      <c r="Z104" s="2731"/>
      <c r="AA104" s="2731"/>
      <c r="AB104" s="2731"/>
      <c r="AC104" s="2731"/>
    </row>
    <row r="105" spans="1:29" ht="15" thickTop="1">
      <c r="A105" s="538"/>
      <c r="B105" s="477" t="s">
        <v>1737</v>
      </c>
      <c r="C105" s="3492" t="s">
        <v>3393</v>
      </c>
      <c r="D105" s="493"/>
      <c r="E105" s="522"/>
      <c r="F105" s="522"/>
      <c r="G105" s="522"/>
      <c r="H105" s="522"/>
      <c r="I105" s="522"/>
      <c r="J105" s="522"/>
      <c r="K105" s="523"/>
      <c r="L105" s="524"/>
      <c r="M105" s="525"/>
      <c r="N105" s="2737"/>
      <c r="O105" s="2737"/>
      <c r="P105" s="2728"/>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7">C106-$K34</f>
        <v>98</v>
      </c>
      <c r="E106" s="483">
        <f t="shared" si="27"/>
        <v>96</v>
      </c>
      <c r="F106" s="483">
        <f t="shared" si="27"/>
        <v>94</v>
      </c>
      <c r="G106" s="483">
        <f t="shared" si="27"/>
        <v>92</v>
      </c>
      <c r="H106" s="483">
        <f t="shared" si="27"/>
        <v>90</v>
      </c>
      <c r="I106" s="483">
        <f t="shared" si="27"/>
        <v>88</v>
      </c>
      <c r="J106" s="483">
        <f t="shared" si="27"/>
        <v>86</v>
      </c>
      <c r="K106" s="483">
        <f t="shared" si="27"/>
        <v>84</v>
      </c>
      <c r="L106" s="483">
        <f t="shared" si="27"/>
        <v>82</v>
      </c>
      <c r="M106" s="484">
        <f t="shared" si="27"/>
        <v>80</v>
      </c>
      <c r="N106" s="2738"/>
      <c r="O106" s="2738"/>
      <c r="P106" s="2728"/>
      <c r="Q106" s="2724"/>
      <c r="R106" s="2710"/>
      <c r="S106" s="2710"/>
      <c r="T106" s="2710"/>
      <c r="U106" s="2710"/>
      <c r="V106" s="2710"/>
      <c r="W106" s="2710"/>
      <c r="X106" s="2710"/>
      <c r="Y106" s="2710"/>
      <c r="Z106" s="2710"/>
      <c r="AA106" s="2710"/>
      <c r="AB106" s="2710"/>
      <c r="AC106" s="2710"/>
    </row>
    <row r="107" spans="1:29" ht="15" thickTop="1">
      <c r="A107" s="538"/>
      <c r="B107" s="477" t="s">
        <v>1739</v>
      </c>
      <c r="C107" s="3492" t="s">
        <v>3471</v>
      </c>
      <c r="D107" s="3492" t="s">
        <v>3468</v>
      </c>
      <c r="E107" s="3492" t="s">
        <v>3485</v>
      </c>
      <c r="F107" s="3493" t="s">
        <v>3486</v>
      </c>
      <c r="G107" s="522"/>
      <c r="H107" s="522"/>
      <c r="I107" s="522"/>
      <c r="J107" s="522"/>
      <c r="K107" s="523"/>
      <c r="L107" s="524"/>
      <c r="M107" s="525"/>
      <c r="N107" s="2737"/>
      <c r="O107" s="2737"/>
      <c r="P107" s="2728"/>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8">C108-$K35</f>
        <v>98</v>
      </c>
      <c r="E108" s="483">
        <f t="shared" si="28"/>
        <v>96</v>
      </c>
      <c r="F108" s="483">
        <f t="shared" si="28"/>
        <v>94</v>
      </c>
      <c r="G108" s="483">
        <f t="shared" si="28"/>
        <v>92</v>
      </c>
      <c r="H108" s="483">
        <f t="shared" si="28"/>
        <v>90</v>
      </c>
      <c r="I108" s="483">
        <f t="shared" si="28"/>
        <v>88</v>
      </c>
      <c r="J108" s="483">
        <f t="shared" si="28"/>
        <v>86</v>
      </c>
      <c r="K108" s="483">
        <f t="shared" si="28"/>
        <v>84</v>
      </c>
      <c r="L108" s="483">
        <f t="shared" si="28"/>
        <v>82</v>
      </c>
      <c r="M108" s="484">
        <f t="shared" si="28"/>
        <v>80</v>
      </c>
      <c r="N108" s="2738"/>
      <c r="O108" s="2738"/>
      <c r="P108" s="2728"/>
      <c r="Q108" s="2724"/>
      <c r="R108" s="2710"/>
      <c r="S108" s="2710"/>
      <c r="T108" s="2710"/>
      <c r="U108" s="2710"/>
      <c r="V108" s="2710"/>
      <c r="W108" s="2710"/>
      <c r="X108" s="2710"/>
      <c r="Y108" s="2710"/>
      <c r="Z108" s="2710"/>
      <c r="AA108" s="2710"/>
      <c r="AB108" s="2710"/>
      <c r="AC108" s="2710"/>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7"/>
      <c r="O109" s="2737"/>
      <c r="P109" s="2728"/>
      <c r="Q109" s="2724"/>
      <c r="R109" s="2710"/>
      <c r="S109" s="2710"/>
      <c r="T109" s="2710"/>
      <c r="U109" s="2710"/>
      <c r="V109" s="2710"/>
      <c r="W109" s="2710"/>
      <c r="X109" s="2710"/>
      <c r="Y109" s="2710"/>
      <c r="Z109" s="2710"/>
      <c r="AA109" s="2710"/>
      <c r="AB109" s="2710"/>
      <c r="AC109" s="2710"/>
    </row>
    <row r="110" spans="1:29">
      <c r="A110" s="538"/>
      <c r="B110" s="485"/>
      <c r="C110" s="542">
        <v>0.5</v>
      </c>
      <c r="D110" s="542">
        <v>0.6</v>
      </c>
      <c r="E110" s="542">
        <v>0.7</v>
      </c>
      <c r="F110" s="542">
        <v>0.8</v>
      </c>
      <c r="G110" s="542">
        <v>0.9</v>
      </c>
      <c r="H110" s="542">
        <v>1.0001</v>
      </c>
      <c r="I110" s="561"/>
      <c r="J110" s="561"/>
      <c r="K110" s="562"/>
      <c r="L110" s="563"/>
      <c r="M110" s="564"/>
      <c r="N110" s="2737"/>
      <c r="O110" s="2737"/>
      <c r="P110" s="2728"/>
      <c r="Q110" s="2724"/>
      <c r="R110" s="2710"/>
      <c r="S110" s="2710"/>
      <c r="T110" s="2710"/>
      <c r="U110" s="2710"/>
      <c r="V110" s="2710"/>
      <c r="W110" s="2710"/>
      <c r="X110" s="2710"/>
      <c r="Y110" s="2710"/>
      <c r="Z110" s="2710"/>
      <c r="AA110" s="2710"/>
      <c r="AB110" s="2710"/>
      <c r="AC110" s="2710"/>
    </row>
    <row r="111" spans="1:29" ht="15.75" thickBot="1">
      <c r="A111" s="473"/>
      <c r="B111" s="482"/>
      <c r="C111" s="521">
        <v>100</v>
      </c>
      <c r="D111" s="483">
        <f>C111+$K36</f>
        <v>102</v>
      </c>
      <c r="E111" s="483">
        <f t="shared" ref="E111:M111" si="29">D111+$K36</f>
        <v>104</v>
      </c>
      <c r="F111" s="483">
        <f t="shared" si="29"/>
        <v>106</v>
      </c>
      <c r="G111" s="483">
        <f t="shared" si="29"/>
        <v>108</v>
      </c>
      <c r="H111" s="483">
        <f t="shared" si="29"/>
        <v>110</v>
      </c>
      <c r="I111" s="483">
        <f t="shared" si="29"/>
        <v>112</v>
      </c>
      <c r="J111" s="483">
        <f t="shared" si="29"/>
        <v>114</v>
      </c>
      <c r="K111" s="483">
        <f t="shared" si="29"/>
        <v>116</v>
      </c>
      <c r="L111" s="483">
        <f t="shared" si="29"/>
        <v>118</v>
      </c>
      <c r="M111" s="483">
        <f t="shared" si="29"/>
        <v>120</v>
      </c>
      <c r="N111" s="2738"/>
      <c r="O111" s="2738"/>
      <c r="P111" s="2728"/>
      <c r="Q111" s="2724"/>
      <c r="R111" s="2710"/>
      <c r="S111" s="2710"/>
      <c r="T111" s="2710"/>
      <c r="U111" s="2710"/>
      <c r="V111" s="2710"/>
      <c r="W111" s="2710"/>
      <c r="X111" s="2710"/>
      <c r="Y111" s="2710"/>
      <c r="Z111" s="2710"/>
      <c r="AA111" s="2710"/>
      <c r="AB111" s="2710"/>
      <c r="AC111" s="2710"/>
    </row>
    <row r="112" spans="1:29" s="412" customFormat="1" ht="15" thickTop="1">
      <c r="A112" s="532"/>
      <c r="B112" s="477" t="s">
        <v>1741</v>
      </c>
      <c r="C112" s="493" t="str">
        <f>C82</f>
        <v>七通</v>
      </c>
      <c r="D112" s="493" t="str">
        <f>D82</f>
        <v>六通</v>
      </c>
      <c r="E112" s="493" t="str">
        <f>E82</f>
        <v>五通</v>
      </c>
      <c r="F112" s="493" t="str">
        <f>F82</f>
        <v>四通</v>
      </c>
      <c r="G112" s="493" t="str">
        <f>G82</f>
        <v>三通</v>
      </c>
      <c r="H112" s="522"/>
      <c r="I112" s="522"/>
      <c r="J112" s="522"/>
      <c r="K112" s="523"/>
      <c r="L112" s="524"/>
      <c r="M112" s="525"/>
      <c r="N112" s="2739"/>
      <c r="O112" s="2739"/>
      <c r="P112" s="2729"/>
      <c r="Q112" s="2730"/>
      <c r="R112" s="2731"/>
      <c r="S112" s="2731"/>
      <c r="T112" s="2731"/>
      <c r="U112" s="2731"/>
      <c r="V112" s="2731"/>
      <c r="W112" s="2731"/>
      <c r="X112" s="2731"/>
      <c r="Y112" s="2731"/>
      <c r="Z112" s="2731"/>
      <c r="AA112" s="2731"/>
      <c r="AB112" s="2731"/>
      <c r="AC112" s="2731"/>
    </row>
    <row r="113" spans="1:29" s="412" customFormat="1" ht="15.75" thickBot="1">
      <c r="A113" s="492"/>
      <c r="B113" s="482"/>
      <c r="C113" s="483">
        <v>100</v>
      </c>
      <c r="D113" s="483">
        <f>C113-$K37</f>
        <v>99</v>
      </c>
      <c r="E113" s="483">
        <f t="shared" ref="E113:M113" si="30">D113-$K37</f>
        <v>98</v>
      </c>
      <c r="F113" s="483">
        <f t="shared" si="30"/>
        <v>97</v>
      </c>
      <c r="G113" s="483">
        <f t="shared" si="30"/>
        <v>96</v>
      </c>
      <c r="H113" s="483">
        <f t="shared" si="30"/>
        <v>95</v>
      </c>
      <c r="I113" s="483">
        <f t="shared" si="30"/>
        <v>94</v>
      </c>
      <c r="J113" s="483">
        <f t="shared" si="30"/>
        <v>93</v>
      </c>
      <c r="K113" s="483">
        <f t="shared" si="30"/>
        <v>92</v>
      </c>
      <c r="L113" s="483">
        <f t="shared" si="30"/>
        <v>91</v>
      </c>
      <c r="M113" s="483">
        <f t="shared" si="30"/>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38"/>
      <c r="B114" s="477" t="s">
        <v>1805</v>
      </c>
      <c r="C114" s="3492" t="s">
        <v>3831</v>
      </c>
      <c r="D114" s="3492" t="s">
        <v>3832</v>
      </c>
      <c r="E114" s="522"/>
      <c r="F114" s="522"/>
      <c r="G114" s="522"/>
      <c r="H114" s="522"/>
      <c r="I114" s="522"/>
      <c r="J114" s="522"/>
      <c r="K114" s="523"/>
      <c r="L114" s="524"/>
      <c r="M114" s="525"/>
      <c r="N114" s="2737"/>
      <c r="O114" s="2737"/>
      <c r="P114" s="2728"/>
      <c r="Q114" s="2724"/>
      <c r="R114" s="2710"/>
      <c r="S114" s="2710"/>
      <c r="T114" s="2710"/>
      <c r="U114" s="2710"/>
      <c r="V114" s="2710"/>
      <c r="W114" s="2710"/>
      <c r="X114" s="2710"/>
      <c r="Y114" s="2710"/>
      <c r="Z114" s="2710"/>
      <c r="AA114" s="2710"/>
      <c r="AB114" s="2710"/>
      <c r="AC114" s="2710"/>
    </row>
    <row r="115" spans="1:29" ht="15.75" thickBot="1">
      <c r="A115" s="473"/>
      <c r="B115" s="482"/>
      <c r="C115" s="483">
        <v>100</v>
      </c>
      <c r="D115" s="483">
        <f t="shared" ref="D115:M115" si="31">C115-$K38</f>
        <v>97</v>
      </c>
      <c r="E115" s="483">
        <f t="shared" si="31"/>
        <v>94</v>
      </c>
      <c r="F115" s="483">
        <f t="shared" si="31"/>
        <v>91</v>
      </c>
      <c r="G115" s="483">
        <f t="shared" si="31"/>
        <v>88</v>
      </c>
      <c r="H115" s="483">
        <f t="shared" si="31"/>
        <v>85</v>
      </c>
      <c r="I115" s="483">
        <f t="shared" si="31"/>
        <v>82</v>
      </c>
      <c r="J115" s="483">
        <f t="shared" si="31"/>
        <v>79</v>
      </c>
      <c r="K115" s="483">
        <f t="shared" si="31"/>
        <v>76</v>
      </c>
      <c r="L115" s="483">
        <f t="shared" si="31"/>
        <v>73</v>
      </c>
      <c r="M115" s="484">
        <f t="shared" si="31"/>
        <v>70</v>
      </c>
      <c r="N115" s="2738"/>
      <c r="O115" s="2738"/>
      <c r="P115" s="2728"/>
      <c r="Q115" s="2724"/>
      <c r="R115" s="2710"/>
      <c r="S115" s="2710"/>
      <c r="T115" s="2710"/>
      <c r="U115" s="2710"/>
      <c r="V115" s="2710"/>
      <c r="W115" s="2710"/>
      <c r="X115" s="2710"/>
      <c r="Y115" s="2710"/>
      <c r="Z115" s="2710"/>
      <c r="AA115" s="2710"/>
      <c r="AB115" s="2710"/>
      <c r="AC115" s="2710"/>
    </row>
    <row r="116" spans="1:29" ht="15" thickTop="1">
      <c r="A116" s="538"/>
      <c r="B116" s="477" t="s">
        <v>1806</v>
      </c>
      <c r="C116" s="493"/>
      <c r="D116" s="493"/>
      <c r="E116" s="493"/>
      <c r="F116" s="493"/>
      <c r="G116" s="493"/>
      <c r="H116" s="522"/>
      <c r="I116" s="522"/>
      <c r="J116" s="522"/>
      <c r="K116" s="523"/>
      <c r="L116" s="524"/>
      <c r="M116" s="525"/>
      <c r="N116" s="2737"/>
      <c r="O116" s="2737"/>
      <c r="P116" s="2728"/>
      <c r="Q116" s="2724"/>
      <c r="R116" s="2710"/>
      <c r="S116" s="2710"/>
      <c r="T116" s="2710"/>
      <c r="U116" s="2710"/>
      <c r="V116" s="2710"/>
      <c r="W116" s="2710"/>
      <c r="X116" s="2710"/>
      <c r="Y116" s="2710"/>
      <c r="Z116" s="2710"/>
      <c r="AA116" s="2710"/>
      <c r="AB116" s="2710"/>
      <c r="AC116" s="2710"/>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8"/>
      <c r="O117" s="2738"/>
      <c r="P117" s="2728"/>
      <c r="Q117" s="2724"/>
      <c r="R117" s="2710"/>
      <c r="S117" s="2710"/>
      <c r="T117" s="2710"/>
      <c r="U117" s="2710"/>
      <c r="V117" s="2710"/>
      <c r="W117" s="2710"/>
      <c r="X117" s="2710"/>
      <c r="Y117" s="2710"/>
      <c r="Z117" s="2710"/>
      <c r="AA117" s="2710"/>
      <c r="AB117" s="2710"/>
      <c r="AC117" s="2710"/>
    </row>
    <row r="118" spans="1:29" ht="15" thickTop="1">
      <c r="A118" s="538"/>
      <c r="B118" s="477" t="s">
        <v>1807</v>
      </c>
      <c r="C118" s="565"/>
      <c r="D118" s="565"/>
      <c r="E118" s="565"/>
      <c r="F118" s="565"/>
      <c r="G118" s="565"/>
      <c r="H118" s="494"/>
      <c r="I118" s="494"/>
      <c r="J118" s="494"/>
      <c r="K118" s="494"/>
      <c r="L118" s="495"/>
      <c r="M118" s="496"/>
      <c r="N118" s="2737"/>
      <c r="O118" s="2737"/>
      <c r="P118" s="2728"/>
      <c r="Q118" s="2724"/>
      <c r="R118" s="2710"/>
      <c r="S118" s="2710"/>
      <c r="T118" s="2710"/>
      <c r="U118" s="2710"/>
      <c r="V118" s="2710"/>
      <c r="W118" s="2710"/>
      <c r="X118" s="2710"/>
      <c r="Y118" s="2710"/>
      <c r="Z118" s="2710"/>
      <c r="AA118" s="2710"/>
      <c r="AB118" s="2710"/>
      <c r="AC118" s="2710"/>
    </row>
    <row r="119" spans="1:29" ht="15.75" thickBot="1">
      <c r="A119" s="473"/>
      <c r="B119" s="482"/>
      <c r="C119" s="499"/>
      <c r="D119" s="475"/>
      <c r="E119" s="475"/>
      <c r="F119" s="475"/>
      <c r="G119" s="475"/>
      <c r="H119" s="475"/>
      <c r="I119" s="475"/>
      <c r="J119" s="475"/>
      <c r="K119" s="475"/>
      <c r="L119" s="475"/>
      <c r="M119" s="476"/>
      <c r="N119" s="2738"/>
      <c r="O119" s="2738"/>
      <c r="P119" s="2728"/>
      <c r="Q119" s="2724"/>
      <c r="R119" s="2710"/>
      <c r="S119" s="2710"/>
      <c r="T119" s="2710"/>
      <c r="U119" s="2710"/>
      <c r="V119" s="2710"/>
      <c r="W119" s="2710"/>
      <c r="X119" s="2710"/>
      <c r="Y119" s="2710"/>
      <c r="Z119" s="2710"/>
      <c r="AA119" s="2710"/>
      <c r="AB119" s="2710"/>
      <c r="AC119" s="2710"/>
    </row>
    <row r="120" spans="1:29" s="412" customFormat="1" ht="15" thickTop="1">
      <c r="A120" s="532"/>
      <c r="B120" s="477" t="s">
        <v>1808</v>
      </c>
      <c r="C120" s="3493" t="s">
        <v>3487</v>
      </c>
      <c r="D120" s="3493" t="s">
        <v>3470</v>
      </c>
      <c r="E120" s="3493" t="s">
        <v>3390</v>
      </c>
      <c r="F120" s="3493" t="s">
        <v>3488</v>
      </c>
      <c r="G120" s="3494" t="s">
        <v>3489</v>
      </c>
      <c r="H120" s="494"/>
      <c r="I120" s="494"/>
      <c r="J120" s="494"/>
      <c r="K120" s="494"/>
      <c r="L120" s="495"/>
      <c r="M120" s="496"/>
      <c r="N120" s="2739"/>
      <c r="O120" s="2739"/>
      <c r="P120" s="2729"/>
      <c r="Q120" s="2730"/>
      <c r="R120" s="2731"/>
      <c r="S120" s="2731"/>
      <c r="T120" s="2731"/>
      <c r="U120" s="2731"/>
      <c r="V120" s="2731"/>
      <c r="W120" s="2731"/>
      <c r="X120" s="2731"/>
      <c r="Y120" s="2731"/>
      <c r="Z120" s="2731"/>
      <c r="AA120" s="2731"/>
      <c r="AB120" s="2731"/>
      <c r="AC120" s="2731"/>
    </row>
    <row r="121" spans="1:29" s="412" customFormat="1" ht="15.75" thickBot="1">
      <c r="A121" s="492"/>
      <c r="B121" s="474"/>
      <c r="C121" s="521">
        <v>100</v>
      </c>
      <c r="D121" s="483">
        <f>C121-$K41</f>
        <v>98</v>
      </c>
      <c r="E121" s="483">
        <f t="shared" ref="E121:M121" si="32">D121-$K41</f>
        <v>96</v>
      </c>
      <c r="F121" s="483">
        <f t="shared" si="32"/>
        <v>94</v>
      </c>
      <c r="G121" s="483">
        <f t="shared" si="32"/>
        <v>92</v>
      </c>
      <c r="H121" s="483">
        <f t="shared" si="32"/>
        <v>90</v>
      </c>
      <c r="I121" s="483">
        <f t="shared" si="32"/>
        <v>88</v>
      </c>
      <c r="J121" s="483">
        <f t="shared" si="32"/>
        <v>86</v>
      </c>
      <c r="K121" s="483">
        <f t="shared" si="32"/>
        <v>84</v>
      </c>
      <c r="L121" s="483">
        <f t="shared" si="32"/>
        <v>82</v>
      </c>
      <c r="M121" s="484">
        <f t="shared" si="32"/>
        <v>80</v>
      </c>
      <c r="N121" s="2739"/>
      <c r="O121" s="2739"/>
      <c r="P121" s="2729"/>
      <c r="Q121" s="2730"/>
      <c r="R121" s="2731"/>
      <c r="S121" s="2731"/>
      <c r="T121" s="2731"/>
      <c r="U121" s="2731"/>
      <c r="V121" s="2731"/>
      <c r="W121" s="2731"/>
      <c r="X121" s="2731"/>
      <c r="Y121" s="2731"/>
      <c r="Z121" s="2731"/>
      <c r="AA121" s="2731"/>
      <c r="AB121" s="2731"/>
      <c r="AC121" s="2731"/>
    </row>
    <row r="122" spans="1:29" ht="15" thickTop="1">
      <c r="A122" s="538"/>
      <c r="B122" s="477" t="s">
        <v>1743</v>
      </c>
      <c r="C122" s="3492" t="s">
        <v>3471</v>
      </c>
      <c r="D122" s="3492" t="s">
        <v>3468</v>
      </c>
      <c r="E122" s="3492" t="s">
        <v>3485</v>
      </c>
      <c r="F122" s="3493" t="s">
        <v>3486</v>
      </c>
      <c r="G122" s="522"/>
      <c r="H122" s="522"/>
      <c r="I122" s="522"/>
      <c r="J122" s="522"/>
      <c r="K122" s="523"/>
      <c r="L122" s="524"/>
      <c r="M122" s="525"/>
      <c r="N122" s="2737"/>
      <c r="O122" s="2737"/>
      <c r="P122" s="2728"/>
      <c r="Q122" s="2724"/>
      <c r="R122" s="2710"/>
      <c r="S122" s="2710"/>
      <c r="T122" s="2710"/>
      <c r="U122" s="2710"/>
      <c r="V122" s="2710"/>
      <c r="W122" s="2710"/>
      <c r="X122" s="2710"/>
      <c r="Y122" s="2710"/>
      <c r="Z122" s="2710"/>
      <c r="AA122" s="2710"/>
      <c r="AB122" s="2710"/>
      <c r="AC122" s="2710"/>
    </row>
    <row r="123" spans="1:29" ht="15.75" thickBot="1">
      <c r="A123" s="473"/>
      <c r="B123" s="482"/>
      <c r="C123" s="483">
        <v>100</v>
      </c>
      <c r="D123" s="483">
        <f t="shared" ref="D123:M123" si="33">C123-$K42</f>
        <v>98</v>
      </c>
      <c r="E123" s="483">
        <f t="shared" si="33"/>
        <v>96</v>
      </c>
      <c r="F123" s="483">
        <f t="shared" si="33"/>
        <v>94</v>
      </c>
      <c r="G123" s="483">
        <f t="shared" si="33"/>
        <v>92</v>
      </c>
      <c r="H123" s="483">
        <f t="shared" si="33"/>
        <v>90</v>
      </c>
      <c r="I123" s="483">
        <f t="shared" si="33"/>
        <v>88</v>
      </c>
      <c r="J123" s="483">
        <f t="shared" si="33"/>
        <v>86</v>
      </c>
      <c r="K123" s="483">
        <f t="shared" si="33"/>
        <v>84</v>
      </c>
      <c r="L123" s="483">
        <f t="shared" si="33"/>
        <v>82</v>
      </c>
      <c r="M123" s="484">
        <f t="shared" si="33"/>
        <v>80</v>
      </c>
      <c r="N123" s="2738"/>
      <c r="O123" s="2738"/>
      <c r="P123" s="2728"/>
      <c r="Q123" s="2724"/>
      <c r="R123" s="2710"/>
      <c r="S123" s="2710"/>
      <c r="T123" s="2710"/>
      <c r="U123" s="2710"/>
      <c r="V123" s="2710"/>
      <c r="W123" s="2710"/>
      <c r="X123" s="2710"/>
      <c r="Y123" s="2710"/>
      <c r="Z123" s="2710"/>
      <c r="AA123" s="2710"/>
      <c r="AB123" s="2710"/>
      <c r="AC123" s="2710"/>
    </row>
    <row r="124" spans="1:29" ht="15" thickTop="1">
      <c r="A124" s="538"/>
      <c r="B124" s="477" t="s">
        <v>1744</v>
      </c>
      <c r="C124" s="517" t="s">
        <v>1720</v>
      </c>
      <c r="D124" s="517" t="s">
        <v>1721</v>
      </c>
      <c r="E124" s="517" t="s">
        <v>1722</v>
      </c>
      <c r="F124" s="517" t="s">
        <v>1723</v>
      </c>
      <c r="G124" s="517" t="s">
        <v>1724</v>
      </c>
      <c r="H124" s="478"/>
      <c r="I124" s="478"/>
      <c r="J124" s="478"/>
      <c r="K124" s="479"/>
      <c r="L124" s="480"/>
      <c r="M124" s="481"/>
      <c r="N124" s="2737"/>
      <c r="O124" s="2737"/>
      <c r="P124" s="2729"/>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C125-$K43</f>
        <v>98</v>
      </c>
      <c r="E125" s="483">
        <f>D125-$K43</f>
        <v>96</v>
      </c>
      <c r="F125" s="483">
        <f>E125-$K43</f>
        <v>94</v>
      </c>
      <c r="G125" s="483">
        <f>F125-$K43</f>
        <v>92</v>
      </c>
      <c r="H125" s="483"/>
      <c r="I125" s="483"/>
      <c r="J125" s="483"/>
      <c r="K125" s="483"/>
      <c r="L125" s="483"/>
      <c r="M125" s="484"/>
      <c r="N125" s="2738"/>
      <c r="O125" s="2738"/>
      <c r="P125" s="2728"/>
      <c r="Q125" s="2724"/>
      <c r="R125" s="2710"/>
      <c r="S125" s="2710"/>
      <c r="T125" s="2710"/>
      <c r="U125" s="2710"/>
      <c r="V125" s="2710"/>
      <c r="W125" s="2710"/>
      <c r="X125" s="2710"/>
      <c r="Y125" s="2710"/>
      <c r="Z125" s="2710"/>
      <c r="AA125" s="2710"/>
      <c r="AB125" s="2710"/>
      <c r="AC125" s="2710"/>
    </row>
    <row r="126" spans="1:29" s="412" customFormat="1" ht="15" thickTop="1">
      <c r="A126" s="532"/>
      <c r="B126" s="477" t="str">
        <f>B44</f>
        <v>地下占比</v>
      </c>
      <c r="C126" s="493" t="s">
        <v>3491</v>
      </c>
      <c r="D126" s="493" t="s">
        <v>3492</v>
      </c>
      <c r="E126" s="493" t="s">
        <v>3493</v>
      </c>
      <c r="F126" s="493" t="s">
        <v>3494</v>
      </c>
      <c r="G126" s="493" t="s">
        <v>3495</v>
      </c>
      <c r="H126" s="494"/>
      <c r="I126" s="494"/>
      <c r="J126" s="494"/>
      <c r="K126" s="494"/>
      <c r="L126" s="495"/>
      <c r="M126" s="496"/>
      <c r="N126" s="2739"/>
      <c r="O126" s="2739"/>
      <c r="P126" s="2729"/>
      <c r="Q126" s="2730"/>
      <c r="R126" s="2731"/>
      <c r="S126" s="2731"/>
      <c r="T126" s="2731"/>
      <c r="U126" s="2731"/>
      <c r="V126" s="2731"/>
      <c r="W126" s="2731"/>
      <c r="X126" s="2731"/>
      <c r="Y126" s="2731"/>
      <c r="Z126" s="2731"/>
      <c r="AA126" s="2731"/>
      <c r="AB126" s="2731"/>
      <c r="AC126" s="2731"/>
    </row>
    <row r="127" spans="1:29" s="412" customFormat="1" ht="15.75" thickBot="1">
      <c r="A127" s="492"/>
      <c r="B127" s="482"/>
      <c r="C127" s="499">
        <v>100</v>
      </c>
      <c r="D127" s="475">
        <v>96</v>
      </c>
      <c r="E127" s="475">
        <v>92</v>
      </c>
      <c r="F127" s="475">
        <v>88</v>
      </c>
      <c r="G127" s="475">
        <v>80</v>
      </c>
      <c r="H127" s="501"/>
      <c r="I127" s="501"/>
      <c r="J127" s="501"/>
      <c r="K127" s="501"/>
      <c r="L127" s="501"/>
      <c r="M127" s="502"/>
      <c r="N127" s="2739"/>
      <c r="O127" s="2739"/>
      <c r="P127" s="2729"/>
      <c r="Q127" s="2730"/>
      <c r="R127" s="2731"/>
      <c r="S127" s="2731"/>
      <c r="T127" s="2731"/>
      <c r="U127" s="2731"/>
      <c r="V127" s="2731"/>
      <c r="W127" s="2731"/>
      <c r="X127" s="2731"/>
      <c r="Y127" s="2731"/>
      <c r="Z127" s="2731"/>
      <c r="AA127" s="2731"/>
      <c r="AB127" s="2731"/>
      <c r="AC127" s="2731"/>
    </row>
    <row r="128" spans="1:29" ht="15" thickTop="1">
      <c r="A128" s="538"/>
      <c r="B128" s="477">
        <f>B45</f>
        <v>111</v>
      </c>
      <c r="C128" s="493"/>
      <c r="D128" s="493"/>
      <c r="E128" s="493"/>
      <c r="F128" s="493"/>
      <c r="G128" s="522"/>
      <c r="H128" s="522"/>
      <c r="I128" s="522"/>
      <c r="J128" s="522"/>
      <c r="K128" s="523"/>
      <c r="L128" s="524"/>
      <c r="M128" s="525"/>
      <c r="N128" s="2737"/>
      <c r="O128" s="2737"/>
      <c r="P128" s="2728"/>
      <c r="Q128" s="2724"/>
      <c r="R128" s="2710"/>
      <c r="S128" s="2710"/>
      <c r="T128" s="2710"/>
      <c r="U128" s="2710"/>
      <c r="V128" s="2710"/>
      <c r="W128" s="2710"/>
      <c r="X128" s="2710"/>
      <c r="Y128" s="2710"/>
      <c r="Z128" s="2710"/>
      <c r="AA128" s="2710"/>
      <c r="AB128" s="2710"/>
      <c r="AC128" s="2710"/>
    </row>
    <row r="129" spans="1:29" ht="15.75" thickBot="1">
      <c r="A129" s="473"/>
      <c r="B129" s="482"/>
      <c r="C129" s="499"/>
      <c r="D129" s="475"/>
      <c r="E129" s="475"/>
      <c r="F129" s="475"/>
      <c r="G129" s="475"/>
      <c r="H129" s="475"/>
      <c r="I129" s="475"/>
      <c r="J129" s="475"/>
      <c r="K129" s="475"/>
      <c r="L129" s="475"/>
      <c r="M129" s="476"/>
      <c r="N129" s="2738"/>
      <c r="O129" s="2738"/>
      <c r="P129" s="2728"/>
      <c r="Q129" s="2724"/>
      <c r="R129" s="2710"/>
      <c r="S129" s="2710"/>
      <c r="T129" s="2710"/>
      <c r="U129" s="2710"/>
      <c r="V129" s="2710"/>
      <c r="W129" s="2710"/>
      <c r="X129" s="2710"/>
      <c r="Y129" s="2710"/>
      <c r="Z129" s="2710"/>
      <c r="AA129" s="2710"/>
      <c r="AB129" s="2710"/>
      <c r="AC129" s="2710"/>
    </row>
    <row r="130" spans="1:29" ht="15" thickTop="1">
      <c r="A130" s="538"/>
      <c r="B130" s="485">
        <f>B46</f>
        <v>111</v>
      </c>
      <c r="C130" s="493"/>
      <c r="D130" s="493"/>
      <c r="E130" s="493"/>
      <c r="F130" s="493"/>
      <c r="G130" s="526"/>
      <c r="H130" s="526"/>
      <c r="I130" s="526"/>
      <c r="J130" s="526"/>
      <c r="K130" s="462"/>
      <c r="L130" s="463"/>
      <c r="M130" s="529"/>
      <c r="N130" s="2737"/>
      <c r="O130" s="2737"/>
      <c r="P130" s="2728"/>
      <c r="Q130" s="2724"/>
      <c r="R130" s="2710"/>
      <c r="S130" s="2710"/>
      <c r="T130" s="2710"/>
      <c r="U130" s="2710"/>
      <c r="V130" s="2710"/>
      <c r="W130" s="2710"/>
      <c r="X130" s="2710"/>
      <c r="Y130" s="2710"/>
      <c r="Z130" s="2710"/>
      <c r="AA130" s="2710"/>
      <c r="AB130" s="2710"/>
      <c r="AC130" s="2710"/>
    </row>
    <row r="131" spans="1:29" ht="15.75" thickBot="1">
      <c r="A131" s="1915"/>
      <c r="B131" s="508"/>
      <c r="C131" s="509"/>
      <c r="D131" s="509"/>
      <c r="E131" s="509"/>
      <c r="F131" s="509"/>
      <c r="G131" s="530"/>
      <c r="H131" s="530"/>
      <c r="I131" s="530"/>
      <c r="J131" s="530"/>
      <c r="K131" s="530"/>
      <c r="L131" s="530"/>
      <c r="M131" s="531"/>
      <c r="N131" s="2738"/>
      <c r="O131" s="2738"/>
      <c r="P131" s="2728"/>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1460</v>
      </c>
      <c r="B1" s="1457"/>
      <c r="C1" s="1846" t="s">
        <v>1562</v>
      </c>
      <c r="D1" s="188"/>
      <c r="E1" s="188"/>
      <c r="F1" s="188"/>
      <c r="G1" s="1113">
        <f>MATCH(B1,'数据-取费表'!A6:A16,0)+5</f>
        <v>7</v>
      </c>
      <c r="H1" s="1048" t="str">
        <f>IF(ISERROR(FIND("住宅",B1)),"非住宅","住宅")</f>
        <v>非住宅</v>
      </c>
    </row>
    <row r="2" spans="1:8" s="190" customFormat="1" ht="18" customHeight="1">
      <c r="A2" s="191" t="s">
        <v>1461</v>
      </c>
      <c r="B2" s="3401">
        <f ca="1">ROUND(IF(D2="——",C52/10000,C52/10000-E2),4)</f>
        <v>106661.2699</v>
      </c>
      <c r="C2" s="189" t="s">
        <v>1462</v>
      </c>
      <c r="D2" s="1840" t="s">
        <v>43</v>
      </c>
      <c r="E2" s="1156" t="e">
        <f ca="1">SUMIF(INDIRECT("'"&amp;G2&amp;"'"&amp;"!A:A"),"承租人权益价值",INDIRECT("'"&amp;G2&amp;"'"&amp;"!c:c"))</f>
        <v>#REF!</v>
      </c>
      <c r="F2" s="1841" t="s">
        <v>1462</v>
      </c>
      <c r="G2" s="1842"/>
    </row>
    <row r="3" spans="1:8" s="190" customFormat="1" ht="18" customHeight="1" thickBot="1">
      <c r="A3" s="193" t="s">
        <v>1463</v>
      </c>
      <c r="B3" s="194">
        <f ca="1">ROUND(B2*10000/(IF(B1="",'数据-汇总表'!E3,INDIRECT("'数据-取费表'!k"&amp;$G$1))),0)</f>
        <v>10849</v>
      </c>
      <c r="C3" s="189" t="s">
        <v>1464</v>
      </c>
      <c r="D3" s="189"/>
      <c r="E3" s="189"/>
      <c r="F3" s="189"/>
      <c r="G3" s="189"/>
    </row>
    <row r="4" spans="1:8" s="198" customFormat="1" ht="15.75">
      <c r="A4" s="195" t="s">
        <v>1465</v>
      </c>
      <c r="B4" s="196"/>
      <c r="C4" s="196"/>
      <c r="D4" s="196"/>
      <c r="E4" s="196"/>
      <c r="F4" s="196"/>
      <c r="G4" s="197"/>
    </row>
    <row r="5" spans="1:8" s="204" customFormat="1" ht="13.5" customHeight="1">
      <c r="A5" s="245" t="s">
        <v>1466</v>
      </c>
      <c r="B5" s="200" t="s">
        <v>1467</v>
      </c>
      <c r="C5" s="201">
        <f ca="1">C6+C7+C8</f>
        <v>19662434</v>
      </c>
      <c r="D5" s="201" t="s">
        <v>1468</v>
      </c>
      <c r="E5" s="202" t="s">
        <v>1469</v>
      </c>
      <c r="F5" s="202" t="s">
        <v>1470</v>
      </c>
      <c r="G5" s="203"/>
    </row>
    <row r="6" spans="1:8" s="204" customFormat="1" ht="13.5" customHeight="1">
      <c r="A6" s="765" t="s">
        <v>1471</v>
      </c>
      <c r="B6" s="205" t="s">
        <v>1472</v>
      </c>
      <c r="C6" s="206"/>
      <c r="D6" s="207"/>
      <c r="E6" s="208"/>
      <c r="F6" s="208"/>
      <c r="G6" s="209"/>
    </row>
    <row r="7" spans="1:8" s="204" customFormat="1" ht="13.5" customHeight="1">
      <c r="A7" s="765" t="s">
        <v>1473</v>
      </c>
      <c r="B7" s="205" t="s">
        <v>1474</v>
      </c>
      <c r="C7" s="210">
        <f>ROUND(C6*F7,0)</f>
        <v>0</v>
      </c>
      <c r="D7" s="210"/>
      <c r="E7" s="208"/>
      <c r="F7" s="211">
        <f>IF(项目基本情况!B8="出让",0,'数据-取费表'!B48+'数据-取费表'!B49)</f>
        <v>3.0499999999999999E-2</v>
      </c>
      <c r="G7" s="209"/>
    </row>
    <row r="8" spans="1:8" s="213" customFormat="1">
      <c r="A8" s="765" t="s">
        <v>1475</v>
      </c>
      <c r="B8" s="205" t="s">
        <v>1476</v>
      </c>
      <c r="C8" s="210">
        <f ca="1">IF(G8="已包含在土地购买价格中",0,C9+C10)</f>
        <v>19662434</v>
      </c>
      <c r="D8" s="212"/>
      <c r="E8" s="210"/>
      <c r="F8" s="211"/>
      <c r="G8" s="1843"/>
    </row>
    <row r="9" spans="1:8" s="204" customFormat="1" ht="13.5" customHeight="1">
      <c r="A9" s="766" t="s">
        <v>355</v>
      </c>
      <c r="B9" s="214" t="s">
        <v>1477</v>
      </c>
      <c r="C9" s="215">
        <f ca="1">ROUND(D9*E9,0)</f>
        <v>0</v>
      </c>
      <c r="D9" s="832">
        <f ca="1">IF(B1="",'数据-汇总表'!E5,IF(INDIRECT("'数据-取费表'!c"&amp;$G$1)="住宅",INDIRECT("'数据-取费表'!k"&amp;$G$1),0))</f>
        <v>0</v>
      </c>
      <c r="E9" s="215">
        <f>'数据-取费表'!B27</f>
        <v>160</v>
      </c>
      <c r="F9" s="211"/>
      <c r="G9" s="216"/>
    </row>
    <row r="10" spans="1:8" s="204" customFormat="1" ht="13.5" customHeight="1">
      <c r="A10" s="766" t="s">
        <v>356</v>
      </c>
      <c r="B10" s="214" t="s">
        <v>1479</v>
      </c>
      <c r="C10" s="215">
        <f ca="1">ROUND(D10*E10,0)</f>
        <v>19662434</v>
      </c>
      <c r="D10" s="832">
        <f ca="1">IF(B1="",'数据-汇总表'!E6,IF(INDIRECT("'数据-取费表'!c"&amp;$G$1)="住宅",INDIRECT("'数据-取费表'!s"&amp;$G$1),INDIRECT("'数据-取费表'!k"&amp;$G$1)+INDIRECT("'数据-取费表'!s"&amp;$G$1)))</f>
        <v>98312.17</v>
      </c>
      <c r="E10" s="215">
        <f>'数据-取费表'!B28</f>
        <v>200</v>
      </c>
      <c r="F10" s="211"/>
      <c r="G10" s="216"/>
    </row>
    <row r="11" spans="1:8" s="204" customFormat="1" ht="13.5" hidden="1" customHeight="1">
      <c r="A11" s="217" t="s">
        <v>4</v>
      </c>
      <c r="B11" s="205" t="s">
        <v>1480</v>
      </c>
      <c r="C11" s="201"/>
      <c r="D11" s="834"/>
      <c r="E11" s="208"/>
      <c r="F11" s="208"/>
      <c r="G11" s="209"/>
    </row>
    <row r="12" spans="1:8" s="204" customFormat="1" ht="13.5" hidden="1" customHeight="1">
      <c r="A12" s="217" t="s">
        <v>5</v>
      </c>
      <c r="B12" s="205" t="s">
        <v>1563</v>
      </c>
      <c r="C12" s="201">
        <v>0</v>
      </c>
      <c r="D12" s="834"/>
      <c r="E12" s="218"/>
      <c r="F12" s="211">
        <v>3.0499999999999999E-2</v>
      </c>
      <c r="G12" s="209"/>
    </row>
    <row r="13" spans="1:8" s="204" customFormat="1" ht="13.5" hidden="1" customHeight="1">
      <c r="A13" s="217" t="s">
        <v>6</v>
      </c>
      <c r="B13" s="205" t="s">
        <v>1564</v>
      </c>
      <c r="C13" s="201"/>
      <c r="D13" s="834"/>
      <c r="E13" s="208"/>
      <c r="F13" s="208"/>
      <c r="G13" s="209"/>
    </row>
    <row r="14" spans="1:8" s="204" customFormat="1" ht="13.5" hidden="1" customHeight="1">
      <c r="A14" s="217" t="s">
        <v>7</v>
      </c>
      <c r="B14" s="205" t="s">
        <v>1476</v>
      </c>
      <c r="C14" s="201"/>
      <c r="D14" s="834"/>
      <c r="E14" s="208"/>
      <c r="F14" s="208"/>
      <c r="G14" s="209" t="s">
        <v>1565</v>
      </c>
    </row>
    <row r="15" spans="1:8" s="204" customFormat="1" ht="13.5" hidden="1" customHeight="1">
      <c r="A15" s="217" t="s">
        <v>8</v>
      </c>
      <c r="B15" s="205" t="s">
        <v>1566</v>
      </c>
      <c r="C15" s="210"/>
      <c r="D15" s="834"/>
      <c r="E15" s="208"/>
      <c r="F15" s="208"/>
      <c r="G15" s="209" t="s">
        <v>1567</v>
      </c>
    </row>
    <row r="16" spans="1:8" s="204" customFormat="1" ht="13.5" hidden="1" customHeight="1">
      <c r="A16" s="217" t="s">
        <v>9</v>
      </c>
      <c r="B16" s="205" t="s">
        <v>1476</v>
      </c>
      <c r="C16" s="210"/>
      <c r="D16" s="834"/>
      <c r="E16" s="208"/>
      <c r="F16" s="208"/>
      <c r="G16" s="209"/>
    </row>
    <row r="17" spans="1:7" s="204" customFormat="1" ht="13.5" hidden="1" customHeight="1">
      <c r="A17" s="217" t="s">
        <v>10</v>
      </c>
      <c r="B17" s="205" t="s">
        <v>1568</v>
      </c>
      <c r="C17" s="219"/>
      <c r="D17" s="835"/>
      <c r="E17" s="219"/>
      <c r="F17" s="219"/>
      <c r="G17" s="209" t="s">
        <v>1567</v>
      </c>
    </row>
    <row r="18" spans="1:7" s="204" customFormat="1" ht="13.5" hidden="1" customHeight="1">
      <c r="A18" s="217" t="s">
        <v>11</v>
      </c>
      <c r="B18" s="205" t="s">
        <v>1569</v>
      </c>
      <c r="C18" s="210">
        <v>0</v>
      </c>
      <c r="D18" s="834"/>
      <c r="E18" s="208"/>
      <c r="F18" s="211">
        <v>3.0499999999999999E-2</v>
      </c>
      <c r="G18" s="209" t="s">
        <v>1570</v>
      </c>
    </row>
    <row r="19" spans="1:7" s="213" customFormat="1" ht="13.5" customHeight="1">
      <c r="A19" s="245" t="s">
        <v>1571</v>
      </c>
      <c r="B19" s="200" t="s">
        <v>1572</v>
      </c>
      <c r="C19" s="201">
        <f ca="1">IF(G19="已包含在土地取得成本中","0",ROUND(D19*E19,0))</f>
        <v>19662434</v>
      </c>
      <c r="D19" s="836">
        <f ca="1">D9+D10</f>
        <v>98312.17</v>
      </c>
      <c r="E19" s="201">
        <f>'数据-取费表'!B31</f>
        <v>200</v>
      </c>
      <c r="F19" s="221"/>
      <c r="G19" s="1843"/>
    </row>
    <row r="20" spans="1:7" s="204" customFormat="1" ht="13.5" customHeight="1">
      <c r="A20" s="245" t="s">
        <v>1573</v>
      </c>
      <c r="B20" s="200" t="s">
        <v>1574</v>
      </c>
      <c r="C20" s="222">
        <f ca="1">ROUND((C5+C19)*F20,0)</f>
        <v>786497</v>
      </c>
      <c r="D20" s="222"/>
      <c r="E20" s="222"/>
      <c r="F20" s="223">
        <f>'数据-取费表'!B37</f>
        <v>0.02</v>
      </c>
      <c r="G20" s="224" t="s">
        <v>1575</v>
      </c>
    </row>
    <row r="21" spans="1:7" s="204" customFormat="1" ht="13.5" customHeight="1">
      <c r="A21" s="245" t="s">
        <v>1576</v>
      </c>
      <c r="B21" s="200" t="s">
        <v>1577</v>
      </c>
      <c r="C21" s="225">
        <f>F21</f>
        <v>0.02</v>
      </c>
      <c r="D21" s="226" t="s">
        <v>1578</v>
      </c>
      <c r="E21" s="222"/>
      <c r="F21" s="223">
        <f>'数据-取费表'!B38</f>
        <v>0.02</v>
      </c>
      <c r="G21" s="224" t="s">
        <v>1579</v>
      </c>
    </row>
    <row r="22" spans="1:7" s="204" customFormat="1" ht="13.5" customHeight="1">
      <c r="A22" s="245" t="s">
        <v>1580</v>
      </c>
      <c r="B22" s="200" t="s">
        <v>1581</v>
      </c>
      <c r="C22" s="1114">
        <f ca="1">ROUND(SUM(C23:C25),0)</f>
        <v>4253208</v>
      </c>
      <c r="D22" s="225">
        <f ca="1">C26</f>
        <v>1E-3</v>
      </c>
      <c r="E22" s="226" t="s">
        <v>1578</v>
      </c>
      <c r="F22" s="227">
        <f ca="1">'数据-取费表'!B40</f>
        <v>3.4500000000000003E-2</v>
      </c>
      <c r="G22" s="224" t="str">
        <f>IF('数据-取费表'!B22&lt;=1,"单利计息","复利计息")</f>
        <v>复利计息</v>
      </c>
    </row>
    <row r="23" spans="1:7" s="204" customFormat="1" ht="13.5" customHeight="1">
      <c r="A23" s="767" t="s">
        <v>1471</v>
      </c>
      <c r="B23" s="205" t="s">
        <v>1582</v>
      </c>
      <c r="C23" s="1115">
        <f ca="1">ROUND(IF('数据-取费表'!B22&lt;=1,C5*F22*'数据-取费表'!B22,C5*(POWER((1+F22),'数据-取费表'!B22)-1)),0)</f>
        <v>2106079</v>
      </c>
      <c r="D23" s="228"/>
      <c r="E23" s="228"/>
      <c r="F23" s="229"/>
      <c r="G23" s="230" t="s">
        <v>1583</v>
      </c>
    </row>
    <row r="24" spans="1:7" s="204" customFormat="1" ht="13.5" customHeight="1">
      <c r="A24" s="767" t="s">
        <v>1473</v>
      </c>
      <c r="B24" s="205" t="s">
        <v>1584</v>
      </c>
      <c r="C24" s="1115">
        <f ca="1">ROUND(IF('数据-取费表'!B22&lt;=1,C19*F22*('数据-取费表'!B19/2+'数据-取费表'!B20),C19*(POWER((1+F22),('数据-取费表'!B19/2+'数据-取费表'!B20))-1)),0)</f>
        <v>2106079</v>
      </c>
      <c r="D24" s="228"/>
      <c r="E24" s="228"/>
      <c r="F24" s="229"/>
      <c r="G24" s="230" t="s">
        <v>1585</v>
      </c>
    </row>
    <row r="25" spans="1:7" s="204" customFormat="1" ht="24">
      <c r="A25" s="767" t="s">
        <v>1475</v>
      </c>
      <c r="B25" s="205" t="s">
        <v>1586</v>
      </c>
      <c r="C25" s="1115">
        <f ca="1">ROUND(IF('数据-取费表'!B22&lt;=1,C20*F22*'数据-取费表'!B22/2,C20*(POWER((1+F22),'数据-取费表'!B22/2)-1)),0)</f>
        <v>41050</v>
      </c>
      <c r="D25" s="228"/>
      <c r="E25" s="231"/>
      <c r="F25" s="229"/>
      <c r="G25" s="232" t="s">
        <v>1587</v>
      </c>
    </row>
    <row r="26" spans="1:7" s="204" customFormat="1">
      <c r="A26" s="767" t="s">
        <v>350</v>
      </c>
      <c r="B26" s="205" t="s">
        <v>1510</v>
      </c>
      <c r="C26" s="228">
        <f ca="1">ROUND(IF('数据-取费表'!B22&lt;=1,F21*F22*'数据-取费表'!B22/2,F21*(POWER((1+F22),'数据-取费表'!B22/2)-1)),4)</f>
        <v>1E-3</v>
      </c>
      <c r="D26" s="228"/>
      <c r="E26" s="231"/>
      <c r="F26" s="229"/>
      <c r="G26" s="233"/>
    </row>
    <row r="27" spans="1:7" s="204" customFormat="1" ht="24.75">
      <c r="A27" s="245" t="s">
        <v>1511</v>
      </c>
      <c r="B27" s="234" t="s">
        <v>1512</v>
      </c>
      <c r="C27" s="235">
        <f ca="1">C28</f>
        <v>8022273</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ROUND((C5+C19+C20)*F27,0)</f>
        <v>8022273</v>
      </c>
      <c r="D28" s="225"/>
      <c r="E28" s="226"/>
      <c r="F28" s="236"/>
      <c r="G28" s="237"/>
    </row>
    <row r="29" spans="1:7" s="204" customFormat="1" ht="13.5" customHeight="1">
      <c r="A29" s="767" t="s">
        <v>347</v>
      </c>
      <c r="B29" s="238" t="s">
        <v>1516</v>
      </c>
      <c r="C29" s="228">
        <f ca="1">ROUND(C21*F27,4)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56837199</v>
      </c>
      <c r="D31" s="220"/>
      <c r="E31" s="201"/>
      <c r="F31" s="240"/>
      <c r="G31" s="224" t="s">
        <v>1521</v>
      </c>
    </row>
    <row r="32" spans="1:7" s="198" customFormat="1" ht="15.75">
      <c r="A32" s="242" t="s">
        <v>1588</v>
      </c>
      <c r="B32" s="243"/>
      <c r="C32" s="243"/>
      <c r="D32" s="243"/>
      <c r="E32" s="243"/>
      <c r="F32" s="243"/>
      <c r="G32" s="244"/>
    </row>
    <row r="33" spans="1:7" s="204" customFormat="1" ht="13.5" customHeight="1">
      <c r="A33" s="245" t="s">
        <v>337</v>
      </c>
      <c r="B33" s="200" t="s">
        <v>1589</v>
      </c>
      <c r="C33" s="246">
        <f ca="1">SUM(C34:C38)</f>
        <v>857282122</v>
      </c>
      <c r="D33" s="222"/>
      <c r="E33" s="202"/>
      <c r="F33" s="231"/>
      <c r="G33" s="224"/>
    </row>
    <row r="34" spans="1:7" s="248" customFormat="1" ht="13.5" customHeight="1">
      <c r="A34" s="767" t="s">
        <v>346</v>
      </c>
      <c r="B34" s="205" t="s">
        <v>1524</v>
      </c>
      <c r="C34" s="210">
        <f ca="1">ROUND(IF(B1="",SUMPRODUCT('数据-取费表'!K6:K14,'数据-取费表'!L6:L14),INDIRECT("'数据-取费表'!l"&amp;$G$1)*INDIRECT("'数据-取费表'!k"&amp;$G$1)+'数据-取费表'!L14*INDIRECT("'数据-取费表'!S"&amp;$G$1)),0)</f>
        <v>786497360</v>
      </c>
      <c r="D34" s="207"/>
      <c r="E34" s="210"/>
      <c r="F34" s="247"/>
      <c r="G34" s="209"/>
    </row>
    <row r="35" spans="1:7" ht="13.5" customHeight="1">
      <c r="A35" s="767" t="s">
        <v>351</v>
      </c>
      <c r="B35" s="205" t="s">
        <v>1526</v>
      </c>
      <c r="C35" s="210">
        <f ca="1">ROUND(C34*F35,0)</f>
        <v>39324868</v>
      </c>
      <c r="D35" s="210"/>
      <c r="E35" s="210"/>
      <c r="F35" s="249">
        <f>'数据-取费表'!B33</f>
        <v>0.05</v>
      </c>
      <c r="G35" s="209" t="s">
        <v>1527</v>
      </c>
    </row>
    <row r="36" spans="1:7" ht="24">
      <c r="A36" s="767" t="s">
        <v>352</v>
      </c>
      <c r="B36" s="205" t="s">
        <v>1528</v>
      </c>
      <c r="C36" s="210">
        <f ca="1">ROUND(IF(B1="",SUM('数据-取费表'!AP6:AP13)*F36,IF(INDIRECT("'数据-取费表'!c"&amp;$G$1)="住宅",INDIRECT("'数据-取费表'!k"&amp;$G$1)*INDIRECT("'数据-取费表'!l"&amp;$G$1)*F36,0)),0)</f>
        <v>0</v>
      </c>
      <c r="D36" s="210"/>
      <c r="E36" s="210"/>
      <c r="F36" s="249">
        <f>'数据-取费表'!B34</f>
        <v>0</v>
      </c>
      <c r="G36" s="250" t="s">
        <v>1529</v>
      </c>
    </row>
    <row r="37" spans="1:7" s="248" customFormat="1" ht="13.5" customHeight="1">
      <c r="A37" s="767" t="s">
        <v>353</v>
      </c>
      <c r="B37" s="205" t="s">
        <v>1530</v>
      </c>
      <c r="C37" s="239">
        <f ca="1">ROUND(E37*D37,0)</f>
        <v>19662434</v>
      </c>
      <c r="D37" s="207">
        <f ca="1">D19</f>
        <v>98312.17</v>
      </c>
      <c r="E37" s="239">
        <f>'数据-取费表'!B35</f>
        <v>200</v>
      </c>
      <c r="F37" s="249"/>
      <c r="G37" s="251"/>
    </row>
    <row r="38" spans="1:7" ht="13.5" customHeight="1">
      <c r="A38" s="767" t="s">
        <v>354</v>
      </c>
      <c r="B38" s="205" t="s">
        <v>1532</v>
      </c>
      <c r="C38" s="210">
        <f ca="1">ROUND(C34*F38,0)</f>
        <v>11797460</v>
      </c>
      <c r="D38" s="210"/>
      <c r="E38" s="210"/>
      <c r="F38" s="249">
        <f>'数据-取费表'!B36</f>
        <v>1.4999999999999999E-2</v>
      </c>
      <c r="G38" s="209" t="s">
        <v>1527</v>
      </c>
    </row>
    <row r="39" spans="1:7" s="204" customFormat="1" ht="13.5" customHeight="1">
      <c r="A39" s="245" t="s">
        <v>1533</v>
      </c>
      <c r="B39" s="200" t="s">
        <v>1534</v>
      </c>
      <c r="C39" s="222">
        <f ca="1">ROUND(C33*F20,0)</f>
        <v>17145642</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45639716</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ROUND(IF('数据-取费表'!B22&lt;=1,C33*F22*'数据-取费表'!B20/2,C33*(POWER((1+F22),'数据-取费表'!B20/2)-1)),0)</f>
        <v>44744820</v>
      </c>
      <c r="D42" s="228"/>
      <c r="E42" s="228"/>
      <c r="F42" s="229"/>
      <c r="G42" s="3747" t="s">
        <v>1590</v>
      </c>
    </row>
    <row r="43" spans="1:7" ht="13.5" customHeight="1">
      <c r="A43" s="767" t="s">
        <v>347</v>
      </c>
      <c r="B43" s="205" t="s">
        <v>1544</v>
      </c>
      <c r="C43" s="228">
        <f ca="1">ROUND(IF('数据-取费表'!B22&lt;=1,C39*F22*'数据-取费表'!B20/2,C39*(POWER((1+F22),'数据-取费表'!B20/2)-1)),0)</f>
        <v>894896</v>
      </c>
      <c r="D43" s="228"/>
      <c r="E43" s="228"/>
      <c r="F43" s="229"/>
      <c r="G43" s="3748"/>
    </row>
    <row r="44" spans="1:7" ht="13.5" customHeight="1">
      <c r="A44" s="767" t="s">
        <v>348</v>
      </c>
      <c r="B44" s="205" t="s">
        <v>1545</v>
      </c>
      <c r="C44" s="228">
        <f ca="1">ROUND(IF('数据-取费表'!B22&lt;=1,C40*F22*'数据-取费表'!B20/2,C40*(POWER((1+F22),'数据-取费表'!B20/2)-1)),4)</f>
        <v>1E-3</v>
      </c>
      <c r="D44" s="228"/>
      <c r="E44" s="228"/>
      <c r="F44" s="229"/>
      <c r="G44" s="3749"/>
    </row>
    <row r="45" spans="1:7" s="204" customFormat="1" ht="13.5" customHeight="1">
      <c r="A45" s="245" t="s">
        <v>1546</v>
      </c>
      <c r="B45" s="234" t="s">
        <v>1512</v>
      </c>
      <c r="C45" s="235">
        <f ca="1">C46</f>
        <v>174885553</v>
      </c>
      <c r="D45" s="225">
        <f ca="1">C47</f>
        <v>4.0000000000000001E-3</v>
      </c>
      <c r="E45" s="226" t="s">
        <v>1538</v>
      </c>
      <c r="F45" s="236">
        <f ca="1">F27</f>
        <v>0.2</v>
      </c>
      <c r="G45" s="237" t="s">
        <v>1547</v>
      </c>
    </row>
    <row r="46" spans="1:7" s="204" customFormat="1" ht="13.5" customHeight="1">
      <c r="A46" s="767" t="s">
        <v>346</v>
      </c>
      <c r="B46" s="238" t="s">
        <v>1548</v>
      </c>
      <c r="C46" s="239">
        <f ca="1">ROUND((C33+C39)*F27,0)</f>
        <v>174885553</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252">
        <f>ROUND(F30/(1+'数据-取费表'!C42),4)</f>
        <v>5.33E-2</v>
      </c>
      <c r="D48" s="226" t="s">
        <v>1538</v>
      </c>
      <c r="E48" s="222"/>
      <c r="F48" s="227">
        <f>F30</f>
        <v>5.6000000000000001E-2</v>
      </c>
      <c r="G48" s="224" t="s">
        <v>1551</v>
      </c>
    </row>
    <row r="49" spans="1:7" ht="16.5" customHeight="1">
      <c r="A49" s="245" t="s">
        <v>1517</v>
      </c>
      <c r="B49" s="200" t="s">
        <v>1591</v>
      </c>
      <c r="C49" s="222">
        <f ca="1">ROUND((C33+C39+C41+C45)/(1-C40-D41-D45-C48),0)</f>
        <v>1187971176</v>
      </c>
      <c r="D49" s="222"/>
      <c r="E49" s="222"/>
      <c r="F49" s="254"/>
      <c r="G49" s="224" t="s">
        <v>1553</v>
      </c>
    </row>
    <row r="50" spans="1:7" s="248" customFormat="1">
      <c r="A50" s="245" t="s">
        <v>1554</v>
      </c>
      <c r="B50" s="200" t="s">
        <v>1555</v>
      </c>
      <c r="C50" s="222"/>
      <c r="D50" s="222"/>
      <c r="E50" s="222"/>
      <c r="F50" s="254">
        <f>IF('数据-取费表'!B24=0,'数据-取费表'!N16,1)</f>
        <v>0.85</v>
      </c>
      <c r="G50" s="237"/>
    </row>
    <row r="51" spans="1:7" ht="16.5" customHeight="1">
      <c r="A51" s="245" t="s">
        <v>1557</v>
      </c>
      <c r="B51" s="200" t="s">
        <v>1592</v>
      </c>
      <c r="C51" s="222">
        <f ca="1">ROUND(C49*F50,0)</f>
        <v>1009775500</v>
      </c>
      <c r="D51" s="222"/>
      <c r="E51" s="222"/>
      <c r="F51" s="254"/>
      <c r="G51" s="224" t="s">
        <v>1559</v>
      </c>
    </row>
    <row r="52" spans="1:7" s="198" customFormat="1" ht="16.5" thickBot="1">
      <c r="A52" s="255" t="s">
        <v>1560</v>
      </c>
      <c r="B52" s="256"/>
      <c r="C52" s="257">
        <f ca="1">C31+C51</f>
        <v>1066612699</v>
      </c>
      <c r="D52" s="256"/>
      <c r="E52" s="256"/>
      <c r="F52" s="256"/>
      <c r="G52" s="258"/>
    </row>
    <row r="55" spans="1:7" ht="15">
      <c r="B55" s="260" t="s">
        <v>1561</v>
      </c>
      <c r="C55" s="261"/>
    </row>
    <row r="56" spans="1:7">
      <c r="B56" s="263" t="s">
        <v>802</v>
      </c>
      <c r="C56" s="265">
        <f ca="1">1-C57</f>
        <v>5.3000000000000047E-2</v>
      </c>
    </row>
    <row r="57" spans="1:7">
      <c r="B57" s="263" t="s">
        <v>803</v>
      </c>
      <c r="C57" s="264">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1593</v>
      </c>
      <c r="B1" s="1178"/>
      <c r="C1" s="1179"/>
      <c r="D1" s="1177"/>
      <c r="E1" s="2790"/>
      <c r="F1" s="2790"/>
      <c r="G1" s="2656"/>
      <c r="H1" s="2790"/>
      <c r="I1" s="2790"/>
      <c r="J1" s="2790"/>
      <c r="K1" s="2791">
        <f>MATCH(C1,'数据-取费表'!A6:A16,0)+5</f>
        <v>7</v>
      </c>
    </row>
    <row r="2" spans="1:33" ht="18" customHeight="1">
      <c r="A2" s="191" t="s">
        <v>1461</v>
      </c>
      <c r="B2" s="194">
        <f ca="1">C32</f>
        <v>0</v>
      </c>
      <c r="C2" s="266" t="s">
        <v>1594</v>
      </c>
      <c r="D2" s="266"/>
      <c r="E2" s="2790"/>
      <c r="F2" s="2790"/>
      <c r="G2" s="2790"/>
      <c r="H2" s="2790"/>
      <c r="I2" s="2790"/>
      <c r="J2" s="2790"/>
      <c r="K2" s="2790"/>
    </row>
    <row r="3" spans="1:33" ht="18" customHeight="1" thickBot="1">
      <c r="A3" s="193" t="s">
        <v>1463</v>
      </c>
      <c r="B3" s="194">
        <f ca="1">ROUND(B2*10000/IF(C1="",'数据-汇总表'!E3,INDIRECT("'数据-取费表'!K"&amp;$K$1)),0)</f>
        <v>0</v>
      </c>
      <c r="C3" s="266" t="s">
        <v>1595</v>
      </c>
      <c r="D3" s="266"/>
      <c r="E3" s="2790"/>
      <c r="F3" s="2790"/>
      <c r="G3" s="2790"/>
      <c r="H3" s="2790"/>
      <c r="I3" s="2790"/>
      <c r="J3" s="2790"/>
      <c r="K3" s="2790"/>
    </row>
    <row r="4" spans="1:33" s="772" customFormat="1" ht="16.5" customHeight="1">
      <c r="A4" s="769" t="s">
        <v>1596</v>
      </c>
      <c r="B4" s="770"/>
      <c r="C4" s="811">
        <f>SUM(C8:K8)</f>
        <v>0</v>
      </c>
      <c r="D4" s="770"/>
      <c r="E4" s="770"/>
      <c r="F4" s="770"/>
      <c r="G4" s="770"/>
      <c r="H4" s="770"/>
      <c r="I4" s="770"/>
      <c r="J4" s="770"/>
      <c r="K4" s="771"/>
    </row>
    <row r="5" spans="1:33" s="776" customFormat="1" ht="15">
      <c r="A5" s="773" t="s">
        <v>1597</v>
      </c>
      <c r="B5" s="774" t="s">
        <v>1598</v>
      </c>
      <c r="C5" s="1847"/>
      <c r="D5" s="1847"/>
      <c r="E5" s="1847"/>
      <c r="F5" s="1847"/>
      <c r="G5" s="1847"/>
      <c r="H5" s="1847"/>
      <c r="I5" s="1847"/>
      <c r="J5" s="1847"/>
      <c r="K5" s="1847"/>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1599</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1600</v>
      </c>
      <c r="B7" s="121" t="s">
        <v>1601</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8" t="s">
        <v>1602</v>
      </c>
      <c r="B8" s="154" t="s">
        <v>1603</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1604</v>
      </c>
      <c r="B9" s="770"/>
      <c r="C9" s="770"/>
      <c r="D9" s="770"/>
      <c r="E9" s="770"/>
      <c r="F9" s="770"/>
      <c r="G9" s="770"/>
      <c r="H9" s="770"/>
      <c r="I9" s="770"/>
      <c r="J9" s="770"/>
      <c r="K9" s="771"/>
    </row>
    <row r="10" spans="1:33" s="786" customFormat="1" ht="13.5" customHeight="1">
      <c r="A10" s="773" t="s">
        <v>1605</v>
      </c>
      <c r="B10" s="5" t="s">
        <v>1606</v>
      </c>
      <c r="C10" s="782" t="s">
        <v>1607</v>
      </c>
      <c r="D10" s="783" t="s">
        <v>1608</v>
      </c>
      <c r="E10" s="783" t="s">
        <v>1609</v>
      </c>
      <c r="F10" s="783" t="s">
        <v>1610</v>
      </c>
      <c r="G10" s="5"/>
      <c r="H10" s="784"/>
      <c r="I10" s="784"/>
      <c r="J10" s="784"/>
      <c r="K10" s="785"/>
    </row>
    <row r="11" spans="1:33" s="790" customFormat="1" ht="13.5" customHeight="1">
      <c r="A11" s="787" t="s">
        <v>635</v>
      </c>
      <c r="B11" s="788" t="s">
        <v>1611</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1612</v>
      </c>
      <c r="C12" s="21">
        <f ca="1">ROUND(C11*F12,0)</f>
        <v>0</v>
      </c>
      <c r="D12" s="789"/>
      <c r="E12" s="319"/>
      <c r="F12" s="799">
        <f>'数据-取费表'!B33</f>
        <v>0.05</v>
      </c>
      <c r="G12" s="5" t="s">
        <v>1613</v>
      </c>
      <c r="H12" s="784"/>
      <c r="I12" s="784"/>
      <c r="J12" s="784"/>
      <c r="K12" s="785"/>
    </row>
    <row r="13" spans="1:33" s="790" customFormat="1" ht="13.5" customHeight="1">
      <c r="A13" s="787" t="s">
        <v>637</v>
      </c>
      <c r="B13" s="788" t="s">
        <v>1614</v>
      </c>
      <c r="C13" s="21">
        <f ca="1">ROUND(IF(C1="",SUMIF('数据-取费表'!C:C,"住宅",'数据-取费表'!P:P)*F13,IF(INDIRECT("'数据-取费表'!c"&amp;$K$1)="住宅",INDIRECT("'数据-取费表'!P"&amp;$K$1)*F13,0)),0)</f>
        <v>0</v>
      </c>
      <c r="D13" s="833"/>
      <c r="E13" s="319"/>
      <c r="F13" s="799">
        <f>'数据-取费表'!B34</f>
        <v>0</v>
      </c>
      <c r="G13" s="5" t="s">
        <v>1615</v>
      </c>
      <c r="H13" s="784"/>
      <c r="I13" s="784"/>
      <c r="J13" s="784"/>
      <c r="K13" s="785"/>
    </row>
    <row r="14" spans="1:33" s="792" customFormat="1" ht="13.5" customHeight="1">
      <c r="A14" s="787" t="s">
        <v>638</v>
      </c>
      <c r="B14" s="788" t="s">
        <v>1616</v>
      </c>
      <c r="C14" s="21">
        <f ca="1">ROUND(D14*E14*F11/10000,0)</f>
        <v>0</v>
      </c>
      <c r="D14" s="833">
        <f ca="1">IF(C1="",'数据-汇总表'!E3,INDIRECT("'数据-取费表'!K"&amp;$K$1)+INDIRECT("'数据-取费表'!S"&amp;$K$1))</f>
        <v>98312.17</v>
      </c>
      <c r="E14" s="21">
        <f>'数据-取费表'!B35</f>
        <v>200</v>
      </c>
      <c r="F14" s="791"/>
      <c r="G14" s="5" t="s">
        <v>1617</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1618</v>
      </c>
      <c r="C15" s="798">
        <f ca="1">ROUND(C11*F15,0)</f>
        <v>0</v>
      </c>
      <c r="D15" s="793"/>
      <c r="E15" s="798"/>
      <c r="F15" s="799">
        <f>'数据-取费表'!B36</f>
        <v>1.4999999999999999E-2</v>
      </c>
      <c r="G15" s="121" t="s">
        <v>1619</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1620</v>
      </c>
      <c r="C16" s="798">
        <f ca="1">SUM(C11:C15)</f>
        <v>0</v>
      </c>
      <c r="D16" s="793"/>
      <c r="E16" s="798"/>
      <c r="F16" s="799"/>
      <c r="G16" s="121"/>
      <c r="H16" s="1175"/>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1621</v>
      </c>
      <c r="C17" s="21">
        <f ca="1">ROUND(D17*E17/10000,0)</f>
        <v>0</v>
      </c>
      <c r="D17" s="833">
        <f ca="1">D14</f>
        <v>98312.17</v>
      </c>
      <c r="E17" s="21">
        <f>'数据-取费表'!B32</f>
        <v>0</v>
      </c>
      <c r="F17" s="793"/>
      <c r="G17" s="121" t="s">
        <v>1622</v>
      </c>
      <c r="H17" s="1175"/>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1623</v>
      </c>
      <c r="C18" s="21">
        <f ca="1">C19+C20-IF(C1="",'数据-取费表'!B29,IF(G18="已全部缴纳",C19+C20,H18))</f>
        <v>0</v>
      </c>
      <c r="D18" s="833"/>
      <c r="E18" s="21"/>
      <c r="F18" s="791"/>
      <c r="G18" s="1849"/>
      <c r="H18" s="1174"/>
      <c r="I18" s="1850" t="s">
        <v>1624</v>
      </c>
      <c r="J18" s="794"/>
      <c r="K18" s="795"/>
    </row>
    <row r="19" spans="1:33" s="790" customFormat="1" ht="13.5" customHeight="1">
      <c r="A19" s="787" t="s">
        <v>360</v>
      </c>
      <c r="B19" s="788" t="s">
        <v>1625</v>
      </c>
      <c r="C19" s="21">
        <f ca="1">ROUND(D19*E19/10000,0)</f>
        <v>0</v>
      </c>
      <c r="D19" s="833">
        <f ca="1">IF(C1="",'数据-汇总表'!E5,IF(INDIRECT("'数据-取费表'!c"&amp;$K$1)="住宅",INDIRECT("'数据-取费表'!k"&amp;$K$1),0))</f>
        <v>0</v>
      </c>
      <c r="E19" s="21">
        <f>'数据-取费表'!B27</f>
        <v>160</v>
      </c>
      <c r="F19" s="791"/>
      <c r="G19" s="12"/>
      <c r="H19" s="1176"/>
      <c r="I19" s="796"/>
      <c r="J19" s="796"/>
      <c r="K19" s="797"/>
    </row>
    <row r="20" spans="1:33" s="790" customFormat="1" ht="13.5" customHeight="1">
      <c r="A20" s="787" t="s">
        <v>361</v>
      </c>
      <c r="B20" s="788" t="s">
        <v>1626</v>
      </c>
      <c r="C20" s="21">
        <f ca="1">ROUND(D20*E20/10000,0)</f>
        <v>1966</v>
      </c>
      <c r="D20" s="833">
        <f ca="1">IF(C1="",'数据-汇总表'!E6,IF(INDIRECT("'数据-取费表'!c"&amp;$K$1)="住宅",INDIRECT("'数据-取费表'!s"&amp;$K$1),INDIRECT("'数据-取费表'!k"&amp;$K$1)+INDIRECT("'数据-取费表'!s"&amp;$K$1)))</f>
        <v>98312.17</v>
      </c>
      <c r="E20" s="21">
        <f>'数据-取费表'!B28</f>
        <v>200</v>
      </c>
      <c r="F20" s="791"/>
      <c r="G20" s="12"/>
      <c r="H20" s="796"/>
      <c r="I20" s="796"/>
      <c r="J20" s="796"/>
      <c r="K20" s="797"/>
    </row>
    <row r="21" spans="1:33" s="790" customFormat="1" ht="13.5" customHeight="1">
      <c r="A21" s="777" t="s">
        <v>357</v>
      </c>
      <c r="B21" s="800" t="s">
        <v>1627</v>
      </c>
      <c r="C21" s="801">
        <f ca="1">C16+C17+C18</f>
        <v>0</v>
      </c>
      <c r="D21" s="802"/>
      <c r="E21" s="271"/>
      <c r="F21" s="271"/>
      <c r="G21" s="121" t="s">
        <v>1628</v>
      </c>
      <c r="H21" s="794"/>
      <c r="I21" s="794"/>
      <c r="J21" s="794"/>
      <c r="K21" s="795"/>
    </row>
    <row r="22" spans="1:33" s="790" customFormat="1" ht="13.5" customHeight="1">
      <c r="A22" s="777" t="s">
        <v>1600</v>
      </c>
      <c r="B22" s="800" t="s">
        <v>1629</v>
      </c>
      <c r="C22" s="801">
        <f ca="1">ROUND(C21*F22,0)</f>
        <v>0</v>
      </c>
      <c r="D22" s="271"/>
      <c r="E22" s="271"/>
      <c r="F22" s="803">
        <f>'数据-取费表'!B37</f>
        <v>0.02</v>
      </c>
      <c r="G22" s="5" t="s">
        <v>1630</v>
      </c>
      <c r="H22" s="784"/>
      <c r="I22" s="784"/>
      <c r="J22" s="784"/>
      <c r="K22" s="785"/>
    </row>
    <row r="23" spans="1:33" s="790" customFormat="1" ht="13.5" customHeight="1">
      <c r="A23" s="777" t="s">
        <v>1602</v>
      </c>
      <c r="B23" s="800" t="s">
        <v>1631</v>
      </c>
      <c r="C23" s="801">
        <f ca="1">ROUND(C4*F23*F11,0)</f>
        <v>0</v>
      </c>
      <c r="D23" s="271"/>
      <c r="E23" s="271"/>
      <c r="F23" s="803">
        <f>'数据-取费表'!B38</f>
        <v>0.02</v>
      </c>
      <c r="G23" s="5" t="s">
        <v>1632</v>
      </c>
      <c r="H23" s="784"/>
      <c r="I23" s="784"/>
      <c r="J23" s="784"/>
      <c r="K23" s="785"/>
    </row>
    <row r="24" spans="1:33" s="790" customFormat="1" ht="13.5" customHeight="1">
      <c r="A24" s="777" t="s">
        <v>1633</v>
      </c>
      <c r="B24" s="800" t="s">
        <v>1634</v>
      </c>
      <c r="C24" s="270">
        <f>ROUND(F24/(1+'数据-取费表'!C42),4)</f>
        <v>2.9000000000000001E-2</v>
      </c>
      <c r="D24" s="271" t="s">
        <v>12</v>
      </c>
      <c r="E24" s="271"/>
      <c r="F24" s="803">
        <f>IF(项目基本情况!B8="出让",0,'数据-取费表'!B48+'数据-取费表'!B49)</f>
        <v>3.0499999999999999E-2</v>
      </c>
      <c r="G24" s="5" t="s">
        <v>1635</v>
      </c>
      <c r="H24" s="805"/>
      <c r="I24" s="805"/>
      <c r="J24" s="805"/>
      <c r="K24" s="806"/>
    </row>
    <row r="25" spans="1:33" s="790" customFormat="1" ht="13.5" customHeight="1">
      <c r="A25" s="777" t="s">
        <v>1636</v>
      </c>
      <c r="B25" s="802" t="s">
        <v>1637</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1638</v>
      </c>
      <c r="C26" s="1094">
        <f ca="1">ROUND(IF('数据-取费表'!B22&lt;=1,(1+C24)*F25*'数据-取费表'!B24,(1+C24)*(POWER((1+F25),'数据-取费表'!B24)-1)),4)</f>
        <v>0</v>
      </c>
      <c r="D26" s="274"/>
      <c r="E26" s="275"/>
      <c r="F26" s="276"/>
      <c r="G26" s="1851"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1639</v>
      </c>
      <c r="C27" s="1095">
        <f ca="1">ROUND(IF('数据-取费表'!B22&lt;=1,(C21+C22+C23)*F25*'数据-取费表'!B24/2,(C21+C22+C23)*(POWER((1+F25),'数据-取费表'!B24/2)-1)),0)</f>
        <v>0</v>
      </c>
      <c r="D27" s="274"/>
      <c r="E27" s="275"/>
      <c r="F27" s="276"/>
      <c r="G27" s="1851" t="str">
        <f>IF('数据-取费表'!B22&lt;=1,"（1）-（3）项×年利率×建设期÷2","（1）-（3）项×((1+年利率)^(建设期÷2)-1)")</f>
        <v>（1）-（3）项×((1+年利率)^(建设期÷2)-1)</v>
      </c>
      <c r="H27" s="794"/>
      <c r="I27" s="794"/>
      <c r="J27" s="794"/>
      <c r="K27" s="795"/>
    </row>
    <row r="28" spans="1:33" s="279" customFormat="1" ht="13.5" customHeight="1">
      <c r="A28" s="777" t="s">
        <v>1640</v>
      </c>
      <c r="B28" s="1852" t="s">
        <v>1641</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1642</v>
      </c>
      <c r="C29" s="274">
        <f ca="1">ROUND((1+C24)*F28*'数据-取费表'!B24/'数据-取费表'!B20,4)</f>
        <v>0</v>
      </c>
      <c r="D29" s="274"/>
      <c r="E29" s="275"/>
      <c r="F29" s="280"/>
      <c r="G29" s="121" t="s">
        <v>1643</v>
      </c>
      <c r="H29" s="794"/>
      <c r="I29" s="794"/>
      <c r="J29" s="794"/>
      <c r="K29" s="795"/>
    </row>
    <row r="30" spans="1:33" s="281" customFormat="1" ht="13.5" customHeight="1">
      <c r="A30" s="787" t="s">
        <v>359</v>
      </c>
      <c r="B30" s="809" t="s">
        <v>1644</v>
      </c>
      <c r="C30" s="282">
        <f ca="1">ROUND((C21+C22+C23)*F28,0)</f>
        <v>0</v>
      </c>
      <c r="D30" s="274"/>
      <c r="E30" s="275"/>
      <c r="F30" s="280"/>
      <c r="G30" s="121"/>
      <c r="H30" s="794"/>
      <c r="I30" s="794"/>
      <c r="J30" s="794"/>
      <c r="K30" s="795"/>
    </row>
    <row r="31" spans="1:33" s="790" customFormat="1" ht="13.5" customHeight="1" thickBot="1">
      <c r="A31" s="1853" t="s">
        <v>1645</v>
      </c>
      <c r="B31" s="820" t="s">
        <v>1646</v>
      </c>
      <c r="C31" s="821">
        <f>ROUND(C4*F31/(1+'数据-取费表'!C42),0)</f>
        <v>0</v>
      </c>
      <c r="D31" s="822"/>
      <c r="E31" s="823"/>
      <c r="F31" s="824">
        <f>'数据-取费表'!B41</f>
        <v>5.6000000000000001E-2</v>
      </c>
      <c r="G31" s="825" t="s">
        <v>1647</v>
      </c>
      <c r="H31" s="826"/>
      <c r="I31" s="826"/>
      <c r="J31" s="826"/>
      <c r="K31" s="827"/>
    </row>
    <row r="32" spans="1:33" s="786" customFormat="1" ht="13.5" customHeight="1" thickBot="1">
      <c r="A32" s="815" t="s">
        <v>1648</v>
      </c>
      <c r="B32" s="816"/>
      <c r="C32" s="817">
        <f ca="1">ROUND((C4-C21-C22-C23-C25-C28-C31)/(1+C24+D25+D28),0)</f>
        <v>0</v>
      </c>
      <c r="D32" s="816"/>
      <c r="E32" s="816"/>
      <c r="F32" s="816"/>
      <c r="G32" s="818" t="s">
        <v>1649</v>
      </c>
      <c r="H32" s="816"/>
      <c r="I32" s="816"/>
      <c r="J32" s="816"/>
      <c r="K32" s="81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c r="D1" s="1349" t="s">
        <v>43</v>
      </c>
      <c r="E1" s="1350" t="s">
        <v>678</v>
      </c>
      <c r="F1" s="1049">
        <f ca="1">J53</f>
        <v>0</v>
      </c>
      <c r="G1" s="1365">
        <f>MATCH(C1,'数据-取费表'!A6:A16,0)+5</f>
        <v>7</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878</v>
      </c>
      <c r="B2" s="3402" t="e">
        <f ca="1">ROUND(D2/10000,4)</f>
        <v>#DIV/0!</v>
      </c>
      <c r="C2" s="1374" t="s">
        <v>879</v>
      </c>
      <c r="D2" s="1458" t="e">
        <f ca="1">C40+J29+L46</f>
        <v>#DIV/0!</v>
      </c>
      <c r="E2" s="1375" t="s">
        <v>880</v>
      </c>
      <c r="F2" s="1376"/>
      <c r="G2" s="2691"/>
      <c r="H2" s="2680"/>
      <c r="I2" s="2680"/>
      <c r="J2" s="2680"/>
      <c r="K2" s="2681"/>
      <c r="L2" s="2680"/>
      <c r="M2" s="2680"/>
    </row>
    <row r="3" spans="1:37" ht="18" customHeight="1" thickBot="1">
      <c r="A3" s="1377" t="s">
        <v>881</v>
      </c>
      <c r="B3" s="1378">
        <f ca="1">IF(ISERROR(D2/F43),0,ROUND(D2/F43,0))</f>
        <v>0</v>
      </c>
      <c r="C3" s="1374" t="s">
        <v>882</v>
      </c>
      <c r="D3" s="1374"/>
      <c r="E3" s="1375"/>
      <c r="F3" s="1376"/>
      <c r="G3" s="2691"/>
      <c r="H3" s="670" t="s">
        <v>876</v>
      </c>
      <c r="I3" s="1369"/>
      <c r="J3" s="1369"/>
      <c r="K3" s="1370"/>
      <c r="L3" s="1369"/>
      <c r="M3" s="1369"/>
    </row>
    <row r="4" spans="1:37" ht="18" customHeight="1">
      <c r="A4" s="285" t="s">
        <v>883</v>
      </c>
      <c r="B4" s="286" t="s">
        <v>884</v>
      </c>
      <c r="C4" s="286" t="s">
        <v>885</v>
      </c>
      <c r="D4" s="286" t="s">
        <v>886</v>
      </c>
      <c r="E4" s="287" t="s">
        <v>887</v>
      </c>
      <c r="F4" s="288"/>
      <c r="G4" s="1371"/>
      <c r="H4" s="285" t="s">
        <v>883</v>
      </c>
      <c r="I4" s="286" t="s">
        <v>884</v>
      </c>
      <c r="J4" s="286" t="s">
        <v>885</v>
      </c>
      <c r="K4" s="286" t="s">
        <v>886</v>
      </c>
      <c r="L4" s="287" t="s">
        <v>887</v>
      </c>
      <c r="M4" s="288"/>
    </row>
    <row r="5" spans="1:37" ht="18" customHeight="1">
      <c r="A5" s="289">
        <v>1</v>
      </c>
      <c r="B5" s="290" t="s">
        <v>888</v>
      </c>
      <c r="C5" s="1057">
        <f ca="1">C6+C10+C12</f>
        <v>0</v>
      </c>
      <c r="D5" s="1351" t="s">
        <v>889</v>
      </c>
      <c r="E5" s="1058"/>
      <c r="F5" s="1059"/>
      <c r="G5" s="1371"/>
      <c r="H5" s="289">
        <v>1</v>
      </c>
      <c r="I5" s="290" t="s">
        <v>888</v>
      </c>
      <c r="J5" s="1057">
        <f ca="1">J6+J10+J12</f>
        <v>0</v>
      </c>
      <c r="K5" s="1351" t="s">
        <v>889</v>
      </c>
      <c r="L5" s="1058"/>
      <c r="M5" s="1059"/>
    </row>
    <row r="6" spans="1:37" ht="18" customHeight="1">
      <c r="A6" s="1056" t="s">
        <v>398</v>
      </c>
      <c r="B6" s="3750" t="s">
        <v>694</v>
      </c>
      <c r="C6" s="1061">
        <f ca="1">ROUND(F6*F8*F7*(1-F9),0)</f>
        <v>0</v>
      </c>
      <c r="D6" s="145" t="s">
        <v>2105</v>
      </c>
      <c r="E6" s="292" t="s">
        <v>696</v>
      </c>
      <c r="F6" s="293">
        <f ca="1">INDIRECT("'数据-取费表'!u"&amp;$G$1)</f>
        <v>0</v>
      </c>
      <c r="G6" s="1371"/>
      <c r="H6" s="1056" t="s">
        <v>398</v>
      </c>
      <c r="I6" s="3750" t="s">
        <v>694</v>
      </c>
      <c r="J6" s="291">
        <f ca="1">ROUND(M6*M8*M7*(1-M9),0)</f>
        <v>0</v>
      </c>
      <c r="K6" s="1363" t="s">
        <v>2106</v>
      </c>
      <c r="L6" s="292" t="s">
        <v>696</v>
      </c>
      <c r="M6" s="293">
        <f ca="1">INDIRECT("'数据-取费表'!z"&amp;$G$1)</f>
        <v>0</v>
      </c>
    </row>
    <row r="7" spans="1:37" ht="18" customHeight="1">
      <c r="A7" s="1060"/>
      <c r="B7" s="3751"/>
      <c r="C7" s="1062"/>
      <c r="D7" s="297"/>
      <c r="E7" s="1063" t="s">
        <v>697</v>
      </c>
      <c r="F7" s="293">
        <f ca="1">IF(INDIRECT("'数据-取费表'!ah"&amp;$G$1)="",INDIRECT("'数据-取费表'!k"&amp;$G$1),INDIRECT("'数据-取费表'!ah"&amp;$G$1))</f>
        <v>0</v>
      </c>
      <c r="G7" s="1371"/>
      <c r="H7" s="294"/>
      <c r="I7" s="3751"/>
      <c r="J7" s="296"/>
      <c r="K7" s="297"/>
      <c r="L7" s="292" t="s">
        <v>697</v>
      </c>
      <c r="M7" s="293">
        <f ca="1">F7</f>
        <v>0</v>
      </c>
    </row>
    <row r="8" spans="1:37" ht="18" customHeight="1">
      <c r="A8" s="294"/>
      <c r="B8" s="3751"/>
      <c r="C8" s="296"/>
      <c r="D8" s="297"/>
      <c r="E8" s="292" t="s">
        <v>698</v>
      </c>
      <c r="F8" s="293">
        <f ca="1">INDIRECT("'数据-取费表'!ai"&amp;$G$1)</f>
        <v>0</v>
      </c>
      <c r="G8" s="1371"/>
      <c r="H8" s="294"/>
      <c r="I8" s="3751"/>
      <c r="J8" s="296"/>
      <c r="K8" s="297"/>
      <c r="L8" s="292" t="s">
        <v>698</v>
      </c>
      <c r="M8" s="293">
        <f ca="1">INDIRECT("'数据-取费表'!ai"&amp;$G$1)</f>
        <v>0</v>
      </c>
    </row>
    <row r="9" spans="1:37" ht="18" customHeight="1">
      <c r="A9" s="294"/>
      <c r="B9" s="3752"/>
      <c r="C9" s="296"/>
      <c r="D9" s="297"/>
      <c r="E9" s="292" t="s">
        <v>699</v>
      </c>
      <c r="F9" s="302">
        <f ca="1">INDIRECT("'数据-取费表'!w"&amp;$G$1)</f>
        <v>0</v>
      </c>
      <c r="G9" s="1371"/>
      <c r="H9" s="294"/>
      <c r="I9" s="3752"/>
      <c r="J9" s="296"/>
      <c r="K9" s="297"/>
      <c r="L9" s="303" t="s">
        <v>699</v>
      </c>
      <c r="M9" s="304">
        <f ca="1">INDIRECT("'数据-取费表'!ab"&amp;$G$1)</f>
        <v>0</v>
      </c>
    </row>
    <row r="10" spans="1:37" ht="18" customHeight="1">
      <c r="A10" s="1056" t="s">
        <v>402</v>
      </c>
      <c r="B10" s="1352" t="s">
        <v>700</v>
      </c>
      <c r="C10" s="306">
        <f ca="1">ROUND(IF(F10="押一",C6/12*F11,IF(F10="押二",C6/12*2*F11,IF(F10="押三",C6/12*3*F11,C11*F11))),0)</f>
        <v>0</v>
      </c>
      <c r="D10" s="1353" t="s">
        <v>2115</v>
      </c>
      <c r="E10" s="303" t="s">
        <v>701</v>
      </c>
      <c r="F10" s="1103"/>
      <c r="G10" s="1371"/>
      <c r="H10" s="1056" t="s">
        <v>402</v>
      </c>
      <c r="I10" s="1352" t="s">
        <v>700</v>
      </c>
      <c r="J10" s="291">
        <f ca="1">ROUND(IF(M10="押一",J6/12*M11,IF(M10="押二",J6/12*2*M11,IF(M10="押三",J6/12*3*M11,J11*M11))),0)</f>
        <v>0</v>
      </c>
      <c r="K10" s="1364" t="s">
        <v>2117</v>
      </c>
      <c r="L10" s="303" t="s">
        <v>701</v>
      </c>
      <c r="M10" s="1103"/>
    </row>
    <row r="11" spans="1:37" ht="18" customHeight="1">
      <c r="A11" s="298"/>
      <c r="B11" s="1354" t="s">
        <v>890</v>
      </c>
      <c r="C11" s="946"/>
      <c r="D11" s="297"/>
      <c r="E11" s="303" t="s">
        <v>702</v>
      </c>
      <c r="F11" s="304">
        <f ca="1">'数据-取费表'!B39</f>
        <v>1.4999999999999999E-2</v>
      </c>
      <c r="G11" s="1371"/>
      <c r="H11" s="1064"/>
      <c r="I11" s="1354" t="s">
        <v>891</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1"/>
      <c r="H13" s="1066">
        <v>2</v>
      </c>
      <c r="I13" s="1067" t="s">
        <v>704</v>
      </c>
      <c r="J13" s="1055">
        <f ca="1">ROUND(J14*J15,0)</f>
        <v>0</v>
      </c>
      <c r="K13" s="1074" t="s">
        <v>705</v>
      </c>
      <c r="L13" s="1379"/>
      <c r="M13" s="1380"/>
    </row>
    <row r="14" spans="1:37" ht="18" customHeight="1">
      <c r="A14" s="969" t="s">
        <v>397</v>
      </c>
      <c r="B14" s="292" t="s">
        <v>707</v>
      </c>
      <c r="C14" s="308">
        <f ca="1">ROUND(INDIRECT("'数据-取费表'!l"&amp;$G$1)*F43+'数据-取费表'!L14*INDIRECT("'数据-取费表'!S"&amp;$G$1),0)</f>
        <v>0</v>
      </c>
      <c r="D14" s="1332" t="s">
        <v>708</v>
      </c>
      <c r="E14" s="1329"/>
      <c r="F14" s="309"/>
      <c r="G14" s="1371"/>
      <c r="H14" s="969" t="s">
        <v>398</v>
      </c>
      <c r="I14" s="292" t="s">
        <v>709</v>
      </c>
      <c r="J14" s="21">
        <f ca="1">C29</f>
        <v>0</v>
      </c>
      <c r="K14" s="12"/>
      <c r="L14" s="794"/>
      <c r="M14" s="795"/>
    </row>
    <row r="15" spans="1:37" s="1384" customFormat="1" ht="18" customHeight="1" thickBot="1">
      <c r="A15" s="969" t="s">
        <v>399</v>
      </c>
      <c r="B15" s="292" t="s">
        <v>710</v>
      </c>
      <c r="C15" s="21">
        <f ca="1">ROUND(C14*F15,0)</f>
        <v>0</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1"/>
      <c r="H16" s="1066" t="s">
        <v>393</v>
      </c>
      <c r="I16" s="1067" t="s">
        <v>714</v>
      </c>
      <c r="J16" s="300">
        <f ca="1">ROUND(J17+J22+J23+J24,0)</f>
        <v>0</v>
      </c>
      <c r="K16" s="1074" t="s">
        <v>715</v>
      </c>
      <c r="L16" s="1075"/>
      <c r="M16" s="1059"/>
    </row>
    <row r="17" spans="1:37" s="1384" customFormat="1" ht="18" customHeight="1">
      <c r="A17" s="969" t="s">
        <v>681</v>
      </c>
      <c r="B17" s="292" t="s">
        <v>716</v>
      </c>
      <c r="C17" s="21">
        <f ca="1">ROUND(F17*(F43+INDIRECT("'数据-取费表'!S"&amp;$G$1)),0)</f>
        <v>0</v>
      </c>
      <c r="D17" s="292" t="s">
        <v>717</v>
      </c>
      <c r="E17" s="292" t="s">
        <v>718</v>
      </c>
      <c r="F17" s="23">
        <f>'数据-取费表'!B35</f>
        <v>200</v>
      </c>
      <c r="G17" s="1383"/>
      <c r="H17" s="969" t="s">
        <v>398</v>
      </c>
      <c r="I17" s="292" t="s">
        <v>719</v>
      </c>
      <c r="J17" s="2303">
        <f ca="1">ROUND(IF(AND(项目基本情况!B11="自然人",项目基本情况!B10="北京市"),J6*M17/(1+'数据-取费表'!C42),J18+J19+J20),0)</f>
        <v>0</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0</v>
      </c>
      <c r="D18" s="292" t="s">
        <v>711</v>
      </c>
      <c r="E18" s="292" t="s">
        <v>712</v>
      </c>
      <c r="F18" s="312">
        <f>'数据-取费表'!B36</f>
        <v>1.4999999999999999E-2</v>
      </c>
      <c r="G18" s="1383"/>
      <c r="H18" s="969" t="s">
        <v>397</v>
      </c>
      <c r="I18" s="292" t="s">
        <v>723</v>
      </c>
      <c r="J18" s="21">
        <f ca="1">ROUND(J6*M18/(1+'数据-取费表'!C42),0)</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0</v>
      </c>
      <c r="D19" s="121" t="s">
        <v>726</v>
      </c>
      <c r="E19" s="1347"/>
      <c r="F19" s="23"/>
      <c r="G19" s="1371"/>
      <c r="H19" s="969" t="s">
        <v>399</v>
      </c>
      <c r="I19" s="292" t="s">
        <v>727</v>
      </c>
      <c r="J19" s="21">
        <f ca="1">IF(K19="按租金收入计税",ROUND(J6*M19/(1+'数据-取费表'!C42),0),ROUND(C29*M19*0.7,0))</f>
        <v>0</v>
      </c>
      <c r="K19" s="1357" t="s">
        <v>3331</v>
      </c>
      <c r="L19" s="292" t="s">
        <v>712</v>
      </c>
      <c r="M19" s="312">
        <f>IF(K19="按租金收入计税",'数据-取费表'!B51,'数据-取费表'!B50)</f>
        <v>0.12</v>
      </c>
    </row>
    <row r="20" spans="1:37" s="1384" customFormat="1" ht="18" customHeight="1">
      <c r="A20" s="969" t="s">
        <v>402</v>
      </c>
      <c r="B20" s="292" t="s">
        <v>728</v>
      </c>
      <c r="C20" s="21">
        <f ca="1">ROUND(C19*F20,0)</f>
        <v>0</v>
      </c>
      <c r="D20" s="313" t="s">
        <v>729</v>
      </c>
      <c r="E20" s="292" t="s">
        <v>712</v>
      </c>
      <c r="F20" s="312">
        <f>'数据-取费表'!B37</f>
        <v>0.02</v>
      </c>
      <c r="G20" s="1383"/>
      <c r="H20" s="969" t="s">
        <v>680</v>
      </c>
      <c r="I20" s="145" t="s">
        <v>730</v>
      </c>
      <c r="J20" s="22">
        <f ca="1">ROUND(M20*M21,0)</f>
        <v>0</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0</v>
      </c>
      <c r="D21" s="313" t="s">
        <v>734</v>
      </c>
      <c r="E21" s="292" t="s">
        <v>735</v>
      </c>
      <c r="F21" s="312">
        <f>'数据-取费表'!B38</f>
        <v>0.02</v>
      </c>
      <c r="G21" s="1383"/>
      <c r="H21" s="316"/>
      <c r="I21" s="301"/>
      <c r="J21" s="26"/>
      <c r="K21" s="317"/>
      <c r="L21" s="292" t="s">
        <v>736</v>
      </c>
      <c r="M21" s="293">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ROUND(J14*M22,0)</f>
        <v>0</v>
      </c>
      <c r="K22" s="1331" t="s">
        <v>739</v>
      </c>
      <c r="L22" s="292" t="s">
        <v>712</v>
      </c>
      <c r="M22" s="318">
        <f ca="1">INDIRECT("'数据-取费表'!Ak"&amp;$G$1)</f>
        <v>0</v>
      </c>
    </row>
    <row r="23" spans="1:37" s="1384"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ROUND(J13*M23,0)</f>
        <v>0</v>
      </c>
      <c r="K23" s="1331" t="s">
        <v>743</v>
      </c>
      <c r="L23" s="292" t="s">
        <v>744</v>
      </c>
      <c r="M23" s="320">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ROUND(J5*M24,0)</f>
        <v>0</v>
      </c>
      <c r="K24" s="1079" t="s">
        <v>748</v>
      </c>
      <c r="L24" s="1077" t="s">
        <v>744</v>
      </c>
      <c r="M24" s="1073">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69" t="s">
        <v>749</v>
      </c>
      <c r="B25" s="292" t="s">
        <v>750</v>
      </c>
      <c r="C25" s="21"/>
      <c r="D25" s="121" t="s">
        <v>751</v>
      </c>
      <c r="E25" s="1347"/>
      <c r="F25" s="23"/>
      <c r="G25" s="1371"/>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1"/>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0</v>
      </c>
      <c r="D29" s="1079"/>
      <c r="E29" s="1077"/>
      <c r="F29" s="1080"/>
      <c r="G29" s="1383"/>
      <c r="H29" s="324" t="s">
        <v>396</v>
      </c>
      <c r="I29" s="325" t="s">
        <v>768</v>
      </c>
      <c r="J29" s="326">
        <f ca="1">ROUND(J26/(1+F40)^F41,0)</f>
        <v>0</v>
      </c>
      <c r="K29" s="327" t="s">
        <v>769</v>
      </c>
      <c r="L29" s="328"/>
      <c r="M29" s="329">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0</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ROUND(IF(AND(项目基本情况!B11="自然人",项目基本情况!B10="北京市"),C6*F31/(1+'数据-取费表'!C42),C32+C33+C34),0)</f>
        <v>0</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IF(项目基本情况!B11="自然人","——",ROUND(C6*F32/(1+'数据-取费表'!C42),0))</f>
        <v>0</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IF(项目基本情况!B11="自然人","——",ROUND(F34*F35,0))</f>
        <v>0</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0</v>
      </c>
      <c r="G35" s="1371"/>
      <c r="H35" s="2682"/>
      <c r="I35" s="1385"/>
      <c r="J35" s="1386"/>
      <c r="K35" s="2686"/>
      <c r="L35" s="2685"/>
      <c r="M35" s="2685"/>
    </row>
    <row r="36" spans="1:18" ht="18" customHeight="1">
      <c r="A36" s="1089" t="s">
        <v>402</v>
      </c>
      <c r="B36" s="292" t="s">
        <v>738</v>
      </c>
      <c r="C36" s="21">
        <f ca="1">ROUND(C29*F36,0)</f>
        <v>0</v>
      </c>
      <c r="D36" s="1331" t="s">
        <v>771</v>
      </c>
      <c r="E36" s="292" t="s">
        <v>712</v>
      </c>
      <c r="F36" s="318">
        <f ca="1">INDIRECT("'数据-取费表'!Ak"&amp;$G$1)</f>
        <v>0</v>
      </c>
      <c r="G36" s="1371"/>
      <c r="H36" s="2685"/>
      <c r="I36" s="1385"/>
      <c r="J36" s="1386"/>
      <c r="K36" s="2531"/>
      <c r="L36" s="2685"/>
      <c r="M36" s="2685"/>
    </row>
    <row r="37" spans="1:18" ht="18" customHeight="1">
      <c r="A37" s="969" t="s">
        <v>437</v>
      </c>
      <c r="B37" s="292" t="s">
        <v>742</v>
      </c>
      <c r="C37" s="21">
        <f ca="1">ROUND(C13*F37,0)</f>
        <v>0</v>
      </c>
      <c r="D37" s="1331" t="s">
        <v>743</v>
      </c>
      <c r="E37" s="292" t="s">
        <v>744</v>
      </c>
      <c r="F37" s="320">
        <f ca="1">INDIRECT("'数据-取费表'!Al"&amp;$G$1)</f>
        <v>0</v>
      </c>
      <c r="G37" s="1371"/>
      <c r="H37" s="2685"/>
      <c r="I37" s="1385"/>
      <c r="J37" s="1386"/>
      <c r="K37" s="2531"/>
      <c r="L37" s="2685"/>
      <c r="M37" s="2685"/>
    </row>
    <row r="38" spans="1:18" ht="18" customHeight="1" thickBot="1">
      <c r="A38" s="1076" t="s">
        <v>684</v>
      </c>
      <c r="B38" s="1077" t="s">
        <v>728</v>
      </c>
      <c r="C38" s="1078">
        <f ca="1">ROUND(C5*F38,0)</f>
        <v>0</v>
      </c>
      <c r="D38" s="1079" t="s">
        <v>748</v>
      </c>
      <c r="E38" s="1077" t="s">
        <v>744</v>
      </c>
      <c r="F38" s="1073">
        <f ca="1">INDIRECT("'数据-取费表'!Am"&amp;$G$1)</f>
        <v>0</v>
      </c>
      <c r="G38" s="1371"/>
      <c r="H38" s="2685"/>
      <c r="I38" s="1385"/>
      <c r="J38" s="1386"/>
      <c r="K38" s="2689"/>
      <c r="L38" s="2685"/>
      <c r="M38" s="2685"/>
    </row>
    <row r="39" spans="1:18" ht="24.6" customHeight="1" thickTop="1">
      <c r="A39" s="1066" t="s">
        <v>394</v>
      </c>
      <c r="B39" s="1081" t="s">
        <v>772</v>
      </c>
      <c r="C39" s="300">
        <f ca="1">C5-C30</f>
        <v>0</v>
      </c>
      <c r="D39" s="1082" t="s">
        <v>773</v>
      </c>
      <c r="E39" s="1083"/>
      <c r="F39" s="1084"/>
      <c r="G39" s="1371"/>
      <c r="H39" s="2685"/>
      <c r="I39" s="1385"/>
      <c r="J39" s="1386"/>
      <c r="K39" s="2689"/>
      <c r="L39" s="2685"/>
      <c r="M39" s="2685"/>
    </row>
    <row r="40" spans="1:18" ht="18" customHeight="1">
      <c r="A40" s="289" t="s">
        <v>395</v>
      </c>
      <c r="B40" s="290" t="s">
        <v>774</v>
      </c>
      <c r="C40" s="291" t="e">
        <f ca="1">ROUND(C39*(1-((1+F42)/(1+F40))^F41)/(F40-F42),0)</f>
        <v>#DIV/0!</v>
      </c>
      <c r="D40" s="314" t="s">
        <v>758</v>
      </c>
      <c r="E40" s="292" t="s">
        <v>759</v>
      </c>
      <c r="F40" s="302">
        <f ca="1">INDIRECT("'数据-取费表'!I"&amp;$G$1)</f>
        <v>0</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0</v>
      </c>
      <c r="G41" s="1371"/>
      <c r="H41" s="1178"/>
      <c r="I41" s="1385"/>
      <c r="J41" s="1386"/>
      <c r="K41" s="2531"/>
      <c r="L41" s="1178"/>
      <c r="M41" s="1178"/>
    </row>
    <row r="42" spans="1:18" ht="18" customHeight="1">
      <c r="A42" s="298"/>
      <c r="B42" s="299"/>
      <c r="C42" s="300"/>
      <c r="D42" s="317"/>
      <c r="E42" s="292" t="s">
        <v>766</v>
      </c>
      <c r="F42" s="302">
        <f ca="1">INDIRECT("'数据-取费表'!v"&amp;$G$1)</f>
        <v>0</v>
      </c>
      <c r="G42" s="1371"/>
      <c r="H42" s="1178"/>
      <c r="I42" s="1385"/>
      <c r="J42" s="1386"/>
      <c r="K42" s="2531"/>
      <c r="L42" s="1178"/>
      <c r="M42" s="1178"/>
    </row>
    <row r="43" spans="1:18" ht="18" customHeight="1" thickBot="1">
      <c r="A43" s="324" t="s">
        <v>396</v>
      </c>
      <c r="B43" s="325" t="s">
        <v>776</v>
      </c>
      <c r="C43" s="326" t="e">
        <f ca="1">ROUND(C40/F43,0)</f>
        <v>#DIV/0!</v>
      </c>
      <c r="D43" s="327" t="s">
        <v>777</v>
      </c>
      <c r="E43" s="328" t="s">
        <v>778</v>
      </c>
      <c r="F43" s="329">
        <f ca="1">INDIRECT("'数据-取费表'!k"&amp;$G$1)</f>
        <v>0</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3408" t="s">
        <v>3347</v>
      </c>
      <c r="B45" s="1387"/>
      <c r="C45" s="1459" t="e">
        <f ca="1">ROUND((C68-C40)/10000,4)</f>
        <v>#DIV/0!</v>
      </c>
      <c r="D45" s="3409" t="s">
        <v>3348</v>
      </c>
      <c r="E45" s="1387"/>
      <c r="F45" s="1387"/>
      <c r="O45" s="1390" t="s">
        <v>808</v>
      </c>
      <c r="P45" s="1448"/>
      <c r="Q45" s="1448"/>
      <c r="R45" s="1448"/>
    </row>
    <row r="46" spans="1:18" s="1371" customFormat="1" ht="13.5"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5" thickBot="1">
      <c r="A47" s="933" t="s">
        <v>687</v>
      </c>
      <c r="B47" s="965" t="s">
        <v>688</v>
      </c>
      <c r="C47" s="965" t="s">
        <v>689</v>
      </c>
      <c r="D47" s="965" t="s">
        <v>690</v>
      </c>
      <c r="E47" s="1045" t="s">
        <v>691</v>
      </c>
      <c r="F47" s="1046"/>
      <c r="G47" s="709"/>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28.5" thickBot="1">
      <c r="A48" s="1097" t="s">
        <v>438</v>
      </c>
      <c r="B48" s="290" t="s">
        <v>692</v>
      </c>
      <c r="C48" s="1346">
        <f ca="1">C49+C53+C55</f>
        <v>0</v>
      </c>
      <c r="D48" s="1099"/>
      <c r="E48" s="1100"/>
      <c r="F48" s="949"/>
      <c r="G48" s="709"/>
      <c r="H48" s="710"/>
      <c r="I48" s="1408" t="s">
        <v>819</v>
      </c>
      <c r="J48" s="1409"/>
      <c r="K48" s="1410" t="s">
        <v>820</v>
      </c>
      <c r="L48" s="1411">
        <f ca="1">INDIRECT("'数据-取费表'!f"&amp;$G$1)</f>
        <v>0</v>
      </c>
      <c r="O48" s="1405" t="s">
        <v>404</v>
      </c>
      <c r="P48" s="1406" t="s">
        <v>821</v>
      </c>
      <c r="Q48" s="1407" t="e">
        <f ca="1">J60</f>
        <v>#DIV/0!</v>
      </c>
      <c r="R48" s="1407" t="s">
        <v>822</v>
      </c>
    </row>
    <row r="49" spans="1:18" s="1371" customFormat="1" ht="13.5" thickBot="1">
      <c r="A49" s="962" t="s">
        <v>439</v>
      </c>
      <c r="B49" s="1358" t="s">
        <v>779</v>
      </c>
      <c r="C49" s="1101">
        <f ca="1">ROUND(F49*F51*F50*(1-F52),0)</f>
        <v>0</v>
      </c>
      <c r="D49" s="1042" t="s">
        <v>695</v>
      </c>
      <c r="E49" s="1359" t="s">
        <v>780</v>
      </c>
      <c r="F49" s="1047"/>
      <c r="G49" s="1412"/>
      <c r="H49" s="710"/>
      <c r="I49" s="1408" t="s">
        <v>823</v>
      </c>
      <c r="J49" s="1413"/>
      <c r="K49" s="1410" t="s">
        <v>824</v>
      </c>
      <c r="L49" s="1414"/>
      <c r="O49" s="1415" t="s">
        <v>405</v>
      </c>
      <c r="P49" s="1406" t="s">
        <v>825</v>
      </c>
      <c r="Q49" s="1407">
        <f ca="1">C29</f>
        <v>0</v>
      </c>
      <c r="R49" s="1407" t="s">
        <v>818</v>
      </c>
    </row>
    <row r="50" spans="1:18" s="1371" customFormat="1" ht="13.5" thickBot="1">
      <c r="A50" s="963"/>
      <c r="B50" s="966"/>
      <c r="C50" s="967"/>
      <c r="D50" s="940"/>
      <c r="E50" s="1043" t="s">
        <v>697</v>
      </c>
      <c r="F50" s="1044">
        <f ca="1">F7</f>
        <v>0</v>
      </c>
      <c r="H50" s="710"/>
      <c r="I50" s="1408" t="s">
        <v>826</v>
      </c>
      <c r="J50" s="1416">
        <f>SUMPRODUCT((I63:I65=J47)*(J62:L62=J48)*(J63:L65))</f>
        <v>0</v>
      </c>
      <c r="K50" s="1410" t="s">
        <v>827</v>
      </c>
      <c r="L50" s="1414"/>
      <c r="M50" s="1417"/>
      <c r="O50" s="1415" t="s">
        <v>406</v>
      </c>
      <c r="P50" s="1406" t="s">
        <v>828</v>
      </c>
      <c r="Q50" s="1418" t="e">
        <f ca="1">J58</f>
        <v>#DIV/0!</v>
      </c>
      <c r="R50" s="1407"/>
    </row>
    <row r="51" spans="1:18" s="1371" customFormat="1" ht="13.5" thickBot="1">
      <c r="A51" s="964"/>
      <c r="B51" s="966"/>
      <c r="C51" s="967"/>
      <c r="D51" s="940"/>
      <c r="E51" s="968" t="s">
        <v>698</v>
      </c>
      <c r="F51" s="293">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5" thickBot="1">
      <c r="A52" s="964"/>
      <c r="B52" s="966"/>
      <c r="C52" s="967"/>
      <c r="D52" s="940"/>
      <c r="E52" s="968" t="s">
        <v>699</v>
      </c>
      <c r="F52" s="1041"/>
      <c r="I52" s="1424" t="s">
        <v>832</v>
      </c>
      <c r="J52" s="1425"/>
      <c r="K52" s="1424" t="s">
        <v>833</v>
      </c>
      <c r="L52" s="1425"/>
      <c r="O52" s="1415" t="s">
        <v>408</v>
      </c>
      <c r="P52" s="1406" t="s">
        <v>834</v>
      </c>
      <c r="Q52" s="1407">
        <f ca="1">J53</f>
        <v>0</v>
      </c>
      <c r="R52" s="1407" t="s">
        <v>835</v>
      </c>
    </row>
    <row r="53" spans="1:18" s="1371" customFormat="1" ht="30.75" customHeight="1" thickBot="1">
      <c r="A53" s="1098" t="s">
        <v>440</v>
      </c>
      <c r="B53" s="313" t="s">
        <v>700</v>
      </c>
      <c r="C53" s="306">
        <f ca="1">ROUND(IF(F53="押一",C49/12*F11,IF(F53="押二",C49/12*2*F11,IF(F53="押三",C49/12*3*F11,C54*F11))),0)</f>
        <v>0</v>
      </c>
      <c r="D53" s="1353" t="s">
        <v>2118</v>
      </c>
      <c r="E53" s="303" t="s">
        <v>701</v>
      </c>
      <c r="F53" s="1103"/>
      <c r="I53" s="1426" t="s">
        <v>836</v>
      </c>
      <c r="J53" s="2155">
        <f ca="1">IF(M47="住宅",IF(D1="——",MAX(J51,L48),MAX(J51,L48-'数据-取费表'!B24)),IF(D1="——",MIN(J51,L48),MIN(J51,L48-'数据-取费表'!B24)))</f>
        <v>0</v>
      </c>
      <c r="K53" s="3753" t="s">
        <v>837</v>
      </c>
      <c r="L53" s="3754"/>
      <c r="O53" s="1405" t="s">
        <v>409</v>
      </c>
      <c r="P53" s="1406" t="s">
        <v>838</v>
      </c>
      <c r="Q53" s="1407" t="e">
        <f ca="1">Q47+Q48</f>
        <v>#DIV/0!</v>
      </c>
      <c r="R53" s="1407" t="s">
        <v>410</v>
      </c>
    </row>
    <row r="54" spans="1:18" s="1371" customFormat="1" ht="13.5" thickBot="1">
      <c r="A54" s="962"/>
      <c r="B54" s="1460" t="s">
        <v>891</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4">
        <v>2</v>
      </c>
      <c r="B56" s="945" t="s">
        <v>704</v>
      </c>
      <c r="C56" s="222">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75" thickBot="1">
      <c r="A57" s="1438"/>
      <c r="B57" s="937" t="s">
        <v>767</v>
      </c>
      <c r="C57" s="228">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75" thickBot="1">
      <c r="A58" s="305" t="s">
        <v>393</v>
      </c>
      <c r="B58" s="945" t="s">
        <v>714</v>
      </c>
      <c r="C58" s="306">
        <f ca="1">ROUND(C59+C64+C65+C66,0)</f>
        <v>0</v>
      </c>
      <c r="D58" s="947" t="s">
        <v>715</v>
      </c>
      <c r="E58" s="948"/>
      <c r="F58" s="949"/>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0</v>
      </c>
      <c r="D59" s="950" t="s">
        <v>720</v>
      </c>
      <c r="E59" s="951" t="s">
        <v>721</v>
      </c>
      <c r="F59" s="2302" t="str">
        <f>IF(项目基本情况!B11="企业","——",IF('数据-取费表'!B10="住宅",IF(F49*F50*F51/12/(1+'数据-取费表'!F30)&gt;100000,4%,2.5%),IF(F49*F50*F51/12/(1+'数据-取费表'!F30)&gt;100000,12%,7%)))</f>
        <v>——</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IF(项目基本情况!B11="自然人","——",ROUND(C48*F60/(1+'数据-取费表'!C42),0))</f>
        <v>0</v>
      </c>
      <c r="D60" s="951" t="s">
        <v>724</v>
      </c>
      <c r="E60" s="937" t="s">
        <v>712</v>
      </c>
      <c r="F60" s="321">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IF(项目基本情况!B11="自然人","——",IF(D61="按租金收入计税",ROUND(C49*F61/(1+'数据-取费表'!C42),0),IF(D61="按房产原值计税",ROUND(C57*F61*0.7,0),INDIRECT("'数据-取费表'!Aj"&amp;$G$1))))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IF(项目基本情况!B11="自然人","——",ROUND(F62*F63,0))</f>
        <v>0</v>
      </c>
      <c r="D62" s="952" t="s">
        <v>786</v>
      </c>
      <c r="E62" s="937" t="s">
        <v>787</v>
      </c>
      <c r="F62" s="315">
        <f t="shared" si="0"/>
        <v>12</v>
      </c>
      <c r="I62" s="1449" t="s">
        <v>858</v>
      </c>
      <c r="J62" s="1450" t="s">
        <v>859</v>
      </c>
      <c r="K62" s="1450" t="s">
        <v>860</v>
      </c>
      <c r="L62" s="1450" t="s">
        <v>861</v>
      </c>
      <c r="M62" s="1451" t="s">
        <v>862</v>
      </c>
      <c r="O62" s="1405" t="s">
        <v>409</v>
      </c>
      <c r="P62" s="1406" t="s">
        <v>863</v>
      </c>
      <c r="Q62" s="1407" t="e">
        <f ca="1">Q56+Q57</f>
        <v>#DIV/0!</v>
      </c>
      <c r="R62" s="1407" t="s">
        <v>410</v>
      </c>
    </row>
    <row r="63" spans="1:18" s="1371" customFormat="1" ht="13.5" thickBot="1">
      <c r="A63" s="316"/>
      <c r="B63" s="943"/>
      <c r="C63" s="26"/>
      <c r="D63" s="953"/>
      <c r="E63" s="937" t="s">
        <v>788</v>
      </c>
      <c r="F63" s="293">
        <f t="shared" ca="1" si="0"/>
        <v>0</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ROUND(C57*F64,0)</f>
        <v>0</v>
      </c>
      <c r="D64" s="951" t="s">
        <v>791</v>
      </c>
      <c r="E64" s="937" t="s">
        <v>783</v>
      </c>
      <c r="F64" s="318">
        <f t="shared" ca="1" si="0"/>
        <v>0</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ROUND(C56*F65,0)</f>
        <v>0</v>
      </c>
      <c r="D65" s="951" t="s">
        <v>743</v>
      </c>
      <c r="E65" s="937" t="s">
        <v>744</v>
      </c>
      <c r="F65" s="320">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5" thickBot="1">
      <c r="A66" s="969" t="s">
        <v>793</v>
      </c>
      <c r="B66" s="937" t="s">
        <v>728</v>
      </c>
      <c r="C66" s="21">
        <f ca="1">ROUND(C48*F66,0)</f>
        <v>0</v>
      </c>
      <c r="D66" s="951" t="s">
        <v>794</v>
      </c>
      <c r="E66" s="937" t="s">
        <v>712</v>
      </c>
      <c r="F66" s="302">
        <f t="shared" ca="1" si="0"/>
        <v>0</v>
      </c>
      <c r="O66" s="1405" t="s">
        <v>404</v>
      </c>
      <c r="P66" s="1406" t="s">
        <v>846</v>
      </c>
      <c r="Q66" s="1407" t="e">
        <f ca="1">L60</f>
        <v>#DIV/0!</v>
      </c>
      <c r="R66" s="1407" t="s">
        <v>869</v>
      </c>
    </row>
    <row r="67" spans="1:18" s="1371" customFormat="1" ht="16.5" thickBot="1">
      <c r="A67" s="944" t="s">
        <v>394</v>
      </c>
      <c r="B67" s="954" t="s">
        <v>752</v>
      </c>
      <c r="C67" s="306">
        <f ca="1">C48-C58</f>
        <v>0</v>
      </c>
      <c r="D67" s="950" t="s">
        <v>753</v>
      </c>
      <c r="E67" s="955"/>
      <c r="F67" s="956"/>
      <c r="O67" s="1415" t="s">
        <v>405</v>
      </c>
      <c r="P67" s="1406" t="s">
        <v>850</v>
      </c>
      <c r="Q67" s="1453">
        <f ca="1">L51</f>
        <v>0</v>
      </c>
      <c r="R67" s="1407" t="s">
        <v>870</v>
      </c>
    </row>
    <row r="68" spans="1:18" s="1371" customFormat="1" ht="16.5" thickBot="1">
      <c r="A68" s="934" t="s">
        <v>395</v>
      </c>
      <c r="B68" s="935" t="s">
        <v>774</v>
      </c>
      <c r="C68" s="291" t="e">
        <f ca="1">ROUND(C67*(1-((1+F70)/(1+F68))^F69)/(F68-F70),0)</f>
        <v>#DIV/0!</v>
      </c>
      <c r="D68" s="952" t="s">
        <v>758</v>
      </c>
      <c r="E68" s="937" t="s">
        <v>759</v>
      </c>
      <c r="F68" s="302">
        <f ca="1">F40</f>
        <v>0</v>
      </c>
      <c r="O68" s="1415" t="s">
        <v>406</v>
      </c>
      <c r="P68" s="1454" t="s">
        <v>871</v>
      </c>
      <c r="Q68" s="1407">
        <f ca="1">ROUND(Q69-Q70*Q71,0)</f>
        <v>0</v>
      </c>
      <c r="R68" s="1407" t="s">
        <v>414</v>
      </c>
    </row>
    <row r="69" spans="1:18" s="1371" customFormat="1" ht="13.5" thickBot="1">
      <c r="A69" s="938"/>
      <c r="B69" s="939"/>
      <c r="C69" s="296"/>
      <c r="D69" s="957" t="s">
        <v>762</v>
      </c>
      <c r="E69" s="937" t="s">
        <v>763</v>
      </c>
      <c r="F69" s="323">
        <f ca="1">F41</f>
        <v>0</v>
      </c>
      <c r="O69" s="1415" t="s">
        <v>411</v>
      </c>
      <c r="P69" s="1454" t="s">
        <v>872</v>
      </c>
      <c r="Q69" s="1407">
        <f ca="1">C39</f>
        <v>0</v>
      </c>
      <c r="R69" s="1407" t="s">
        <v>818</v>
      </c>
    </row>
    <row r="70" spans="1:18" s="1371" customFormat="1" ht="13.5" thickBot="1">
      <c r="A70" s="941"/>
      <c r="B70" s="942"/>
      <c r="C70" s="300"/>
      <c r="D70" s="953"/>
      <c r="E70" s="937" t="s">
        <v>766</v>
      </c>
      <c r="F70" s="1041"/>
      <c r="O70" s="1415" t="s">
        <v>412</v>
      </c>
      <c r="P70" s="1454" t="s">
        <v>873</v>
      </c>
      <c r="Q70" s="1407">
        <f ca="1">C13</f>
        <v>0</v>
      </c>
      <c r="R70" s="1407" t="s">
        <v>818</v>
      </c>
    </row>
    <row r="71" spans="1:18" s="1371" customFormat="1" ht="13.5" thickBot="1">
      <c r="A71" s="958" t="s">
        <v>396</v>
      </c>
      <c r="B71" s="959" t="s">
        <v>776</v>
      </c>
      <c r="C71" s="326" t="e">
        <f ca="1">ROUND(C68/F71,0)</f>
        <v>#DIV/0!</v>
      </c>
      <c r="D71" s="960" t="s">
        <v>777</v>
      </c>
      <c r="E71" s="961" t="s">
        <v>778</v>
      </c>
      <c r="F71" s="329">
        <f ca="1">F43</f>
        <v>0</v>
      </c>
      <c r="O71" s="1415" t="s">
        <v>413</v>
      </c>
      <c r="P71" s="1454" t="s">
        <v>874</v>
      </c>
      <c r="Q71" s="1418">
        <f ca="1">C76</f>
        <v>0</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0</v>
      </c>
      <c r="D75" s="1371"/>
      <c r="E75" s="1371"/>
      <c r="F75" s="1371"/>
      <c r="K75" s="1389"/>
      <c r="L75" s="1371"/>
      <c r="O75" s="1405" t="s">
        <v>409</v>
      </c>
      <c r="P75" s="1406" t="s">
        <v>838</v>
      </c>
      <c r="Q75" s="1407" t="e">
        <f ca="1">Q65+Q66</f>
        <v>#DIV/0!</v>
      </c>
      <c r="R75" s="1407" t="s">
        <v>410</v>
      </c>
    </row>
    <row r="76" spans="1:18">
      <c r="B76" s="332" t="s">
        <v>796</v>
      </c>
      <c r="C76" s="333">
        <f ca="1">INDIRECT("'数据-取费表'!j"&amp;$G$1)</f>
        <v>0</v>
      </c>
      <c r="I76" s="1371"/>
      <c r="J76" s="1371"/>
      <c r="K76" s="1389"/>
      <c r="L76" s="1371"/>
    </row>
    <row r="77" spans="1:18">
      <c r="B77" s="334" t="s">
        <v>797</v>
      </c>
      <c r="C77" s="335"/>
      <c r="I77" s="1371"/>
      <c r="J77" s="1371"/>
      <c r="K77" s="1389"/>
      <c r="L77" s="1371"/>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B1" zoomScaleNormal="100" workbookViewId="0">
      <selection activeCell="F26" sqref="F26"/>
    </sheetView>
  </sheetViews>
  <sheetFormatPr defaultRowHeight="13.15" customHeight="1"/>
  <cols>
    <col min="1" max="1" width="9.5" style="2826" customWidth="1"/>
    <col min="2" max="2" width="8.875" style="2826"/>
    <col min="3" max="5" width="12.875" style="2826" customWidth="1"/>
    <col min="6" max="6" width="47.5" style="2826" customWidth="1"/>
    <col min="7" max="7" width="13" style="2978" customWidth="1"/>
    <col min="8" max="8" width="8.875" style="2820"/>
    <col min="9" max="9" width="8.875" style="2821"/>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2430</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2" t="s">
        <v>2314</v>
      </c>
      <c r="B2" s="2827">
        <f ca="1">IF(D2="——",C40,C40+E2)</f>
        <v>227343</v>
      </c>
      <c r="C2" s="2828" t="s">
        <v>2315</v>
      </c>
      <c r="D2" s="3420" t="s">
        <v>3354</v>
      </c>
      <c r="E2" s="3421">
        <f ca="1">收益法!L46</f>
        <v>13278</v>
      </c>
      <c r="F2" s="2830"/>
      <c r="G2" s="2831"/>
      <c r="H2" s="2832"/>
      <c r="I2" s="2833"/>
      <c r="J2" s="3761" t="s">
        <v>2316</v>
      </c>
      <c r="K2" s="3762"/>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f ca="1">ROUND(B2*10000/B4,0)</f>
        <v>23125</v>
      </c>
      <c r="C3" s="2828" t="s">
        <v>2325</v>
      </c>
      <c r="D3" s="2828"/>
      <c r="E3" s="2829"/>
      <c r="F3" s="2830"/>
      <c r="G3" s="2831"/>
      <c r="H3" s="2832"/>
      <c r="I3" s="2833"/>
      <c r="J3" s="3763" t="s">
        <v>2326</v>
      </c>
      <c r="K3" s="3764"/>
      <c r="L3" s="2840"/>
      <c r="M3" s="2840"/>
      <c r="N3" s="2840"/>
      <c r="O3" s="2840"/>
      <c r="P3" s="2840"/>
      <c r="Q3" s="2841"/>
      <c r="R3" s="2842">
        <f>SUM(L3:Q3)</f>
        <v>0</v>
      </c>
      <c r="S3" s="2825"/>
      <c r="T3" s="2825"/>
      <c r="U3" s="2825"/>
      <c r="V3" s="2833"/>
    </row>
    <row r="4" spans="1:22" s="2837" customFormat="1" ht="13.15" customHeight="1">
      <c r="A4" s="2843" t="s">
        <v>2327</v>
      </c>
      <c r="B4" s="2844">
        <f>'数据-汇总表'!E3</f>
        <v>98312.17</v>
      </c>
      <c r="C4" s="2828"/>
      <c r="D4" s="2828"/>
      <c r="E4" s="2829"/>
      <c r="F4" s="2830"/>
      <c r="G4" s="2831"/>
      <c r="H4" s="2832"/>
      <c r="I4" s="2833"/>
      <c r="J4" s="3763" t="s">
        <v>2328</v>
      </c>
      <c r="K4" s="3764"/>
      <c r="L4" s="2845"/>
      <c r="M4" s="2845"/>
      <c r="N4" s="2845"/>
      <c r="O4" s="2845"/>
      <c r="P4" s="2845"/>
      <c r="Q4" s="2846"/>
      <c r="R4" s="2847">
        <f>SUM(L4:Q4)</f>
        <v>0</v>
      </c>
      <c r="S4" s="2825"/>
      <c r="T4" s="2825"/>
      <c r="U4" s="2825"/>
      <c r="V4" s="2833"/>
    </row>
    <row r="5" spans="1:22" s="2837" customFormat="1" ht="13.15" customHeight="1" thickBot="1">
      <c r="A5" s="2848" t="s">
        <v>2329</v>
      </c>
      <c r="B5" s="2849">
        <f>'数据-汇总表'!D3</f>
        <v>28178.74</v>
      </c>
      <c r="C5" s="2828"/>
      <c r="D5" s="2850"/>
      <c r="E5" s="2830"/>
      <c r="F5" s="2830"/>
      <c r="G5" s="2831"/>
      <c r="H5" s="2832"/>
      <c r="I5" s="2833"/>
      <c r="J5" s="2851" t="s">
        <v>2330</v>
      </c>
      <c r="K5" s="2852"/>
      <c r="L5" s="2852"/>
      <c r="M5" s="2853"/>
      <c r="N5" s="2853"/>
      <c r="O5" s="2853"/>
      <c r="P5" s="2853"/>
      <c r="Q5" s="2853"/>
      <c r="R5" s="2836">
        <f>SUM(R14,R19,R24,R25,R27,R28)</f>
        <v>28354</v>
      </c>
      <c r="S5" s="2825"/>
      <c r="T5" s="2825" t="s">
        <v>2331</v>
      </c>
      <c r="U5" s="2825" t="e">
        <f>ROUND(R5*10000/365/R3,1)</f>
        <v>#DIV/0!</v>
      </c>
      <c r="V5" s="2833"/>
    </row>
    <row r="6" spans="1:22" s="2837" customFormat="1" ht="13.15" customHeight="1" thickBot="1">
      <c r="A6" s="3769" t="s">
        <v>2332</v>
      </c>
      <c r="B6" s="3770"/>
      <c r="C6" s="3771"/>
      <c r="D6" s="2854">
        <f>R5</f>
        <v>28354</v>
      </c>
      <c r="E6" s="2855"/>
      <c r="F6" s="2856"/>
      <c r="G6" s="2857">
        <f>D6/B4/365*10000</f>
        <v>7.9015844916068811</v>
      </c>
      <c r="H6" s="2832"/>
      <c r="I6" s="2833"/>
      <c r="J6" s="3755">
        <v>1</v>
      </c>
      <c r="K6" s="3756"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11415</v>
      </c>
      <c r="E7" s="2864">
        <f>E9+E10+E11+E17</f>
        <v>0.40259575368554701</v>
      </c>
      <c r="F7" s="2865"/>
      <c r="G7" s="2866"/>
      <c r="H7" s="2832"/>
      <c r="I7" s="2833"/>
      <c r="J7" s="3755"/>
      <c r="K7" s="3757"/>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772" t="s">
        <v>2346</v>
      </c>
      <c r="C8" s="3773"/>
      <c r="D8" s="2873" t="s">
        <v>2347</v>
      </c>
      <c r="E8" s="2874" t="s">
        <v>2348</v>
      </c>
      <c r="F8" s="2875" t="s">
        <v>2349</v>
      </c>
      <c r="G8" s="2876"/>
      <c r="H8" s="2832"/>
      <c r="I8" s="2833"/>
      <c r="J8" s="3755"/>
      <c r="K8" s="3757"/>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772" t="s">
        <v>2352</v>
      </c>
      <c r="C9" s="3773"/>
      <c r="D9" s="2873">
        <f>ROUND(D6*E9,0)</f>
        <v>4253</v>
      </c>
      <c r="E9" s="3461">
        <v>0.15</v>
      </c>
      <c r="F9" s="2877" t="s">
        <v>2353</v>
      </c>
      <c r="G9" s="2857"/>
      <c r="H9" s="2832"/>
      <c r="I9" s="2833"/>
      <c r="J9" s="3755"/>
      <c r="K9" s="3757"/>
      <c r="L9" s="2867" t="s">
        <v>2354</v>
      </c>
      <c r="M9" s="2868"/>
      <c r="N9" s="2844"/>
      <c r="O9" s="2869"/>
      <c r="P9" s="2869"/>
      <c r="Q9" s="2870">
        <v>365</v>
      </c>
      <c r="R9" s="2871">
        <f t="shared" si="0"/>
        <v>0</v>
      </c>
      <c r="S9" s="2825"/>
      <c r="T9" s="2825"/>
      <c r="U9" s="2825"/>
      <c r="V9" s="2833"/>
    </row>
    <row r="10" spans="1:22" s="2837" customFormat="1" ht="13.15" customHeight="1">
      <c r="A10" s="2872">
        <v>2</v>
      </c>
      <c r="B10" s="3772" t="s">
        <v>2355</v>
      </c>
      <c r="C10" s="3773"/>
      <c r="D10" s="2873">
        <f>ROUND(D6*E10,0)</f>
        <v>2835</v>
      </c>
      <c r="E10" s="3461">
        <v>0.1</v>
      </c>
      <c r="F10" s="2877" t="s">
        <v>2356</v>
      </c>
      <c r="G10" s="2857"/>
      <c r="H10" s="2832"/>
      <c r="I10" s="2833"/>
      <c r="J10" s="3755"/>
      <c r="K10" s="3757"/>
      <c r="L10" s="2867" t="s">
        <v>2357</v>
      </c>
      <c r="M10" s="2868">
        <v>567</v>
      </c>
      <c r="N10" s="2844">
        <v>980</v>
      </c>
      <c r="O10" s="2869">
        <v>1</v>
      </c>
      <c r="P10" s="2869">
        <v>0.7</v>
      </c>
      <c r="Q10" s="2870">
        <v>365</v>
      </c>
      <c r="R10" s="2871">
        <f t="shared" si="0"/>
        <v>14197</v>
      </c>
      <c r="S10" s="2825"/>
      <c r="T10" s="2825"/>
      <c r="U10" s="2825"/>
      <c r="V10" s="2833"/>
    </row>
    <row r="11" spans="1:22" s="2837" customFormat="1" ht="13.15" customHeight="1">
      <c r="A11" s="2872">
        <v>3</v>
      </c>
      <c r="B11" s="3772" t="s">
        <v>2358</v>
      </c>
      <c r="C11" s="3773"/>
      <c r="D11" s="2873">
        <f>D12+D14+D15+D16</f>
        <v>2909</v>
      </c>
      <c r="E11" s="2878">
        <f>D11/D6</f>
        <v>0.10259575368554701</v>
      </c>
      <c r="F11" s="2875"/>
      <c r="G11" s="2876"/>
      <c r="H11" s="2832"/>
      <c r="I11" s="2833"/>
      <c r="J11" s="3755"/>
      <c r="K11" s="3757"/>
      <c r="L11" s="2867" t="s">
        <v>2359</v>
      </c>
      <c r="M11" s="2868"/>
      <c r="N11" s="2844"/>
      <c r="O11" s="2869"/>
      <c r="P11" s="2869"/>
      <c r="Q11" s="2870">
        <v>365</v>
      </c>
      <c r="R11" s="2871">
        <f t="shared" si="0"/>
        <v>0</v>
      </c>
      <c r="S11" s="2825"/>
      <c r="T11" s="2825"/>
      <c r="U11" s="2825"/>
      <c r="V11" s="2833"/>
    </row>
    <row r="12" spans="1:22" s="2837" customFormat="1" ht="13.15" customHeight="1">
      <c r="A12" s="2879" t="s">
        <v>2360</v>
      </c>
      <c r="B12" s="3765" t="s">
        <v>2361</v>
      </c>
      <c r="C12" s="3766"/>
      <c r="D12" s="2880">
        <f>ROUND(D13*1.2%*(1-30%),0)</f>
        <v>1316</v>
      </c>
      <c r="E12" s="2881">
        <v>1.2E-2</v>
      </c>
      <c r="F12" s="2875" t="s">
        <v>2362</v>
      </c>
      <c r="G12" s="2876"/>
      <c r="H12" s="2832"/>
      <c r="I12" s="2833"/>
      <c r="J12" s="3755"/>
      <c r="K12" s="3757"/>
      <c r="L12" s="2867" t="s">
        <v>2363</v>
      </c>
      <c r="M12" s="2868"/>
      <c r="N12" s="2844"/>
      <c r="O12" s="2869"/>
      <c r="P12" s="2869"/>
      <c r="Q12" s="2870">
        <v>365</v>
      </c>
      <c r="R12" s="2871">
        <f t="shared" si="0"/>
        <v>0</v>
      </c>
      <c r="S12" s="2825"/>
      <c r="T12" s="2825"/>
      <c r="U12" s="2825"/>
      <c r="V12" s="2833"/>
    </row>
    <row r="13" spans="1:22" s="2837" customFormat="1" ht="13.15" customHeight="1">
      <c r="A13" s="2879"/>
      <c r="B13" s="2882"/>
      <c r="C13" s="2883" t="s">
        <v>2364</v>
      </c>
      <c r="D13" s="2884">
        <f>结果表!C88+结果表!I91</f>
        <v>156643.27049999998</v>
      </c>
      <c r="E13" s="2885"/>
      <c r="F13" s="2875"/>
      <c r="G13" s="2876"/>
      <c r="H13" s="2832"/>
      <c r="I13" s="2833"/>
      <c r="J13" s="3755"/>
      <c r="K13" s="3757"/>
      <c r="L13" s="2867" t="s">
        <v>2365</v>
      </c>
      <c r="M13" s="2868"/>
      <c r="N13" s="2844"/>
      <c r="O13" s="2869"/>
      <c r="P13" s="2869"/>
      <c r="Q13" s="2870">
        <v>365</v>
      </c>
      <c r="R13" s="2871">
        <f t="shared" si="0"/>
        <v>0</v>
      </c>
      <c r="S13" s="2825"/>
      <c r="T13" s="2825"/>
      <c r="U13" s="2825"/>
      <c r="V13" s="2833"/>
    </row>
    <row r="14" spans="1:22" s="2837" customFormat="1" ht="13.15" customHeight="1">
      <c r="A14" s="2879" t="s">
        <v>2366</v>
      </c>
      <c r="B14" s="3765" t="s">
        <v>2367</v>
      </c>
      <c r="C14" s="3766"/>
      <c r="D14" s="2880">
        <f>ROUND(E14*B5/10000,0)</f>
        <v>34</v>
      </c>
      <c r="E14" s="2870">
        <v>12</v>
      </c>
      <c r="F14" s="2875" t="s">
        <v>2368</v>
      </c>
      <c r="G14" s="2876"/>
      <c r="H14" s="2832"/>
      <c r="I14" s="2833"/>
      <c r="J14" s="3755"/>
      <c r="K14" s="3758"/>
      <c r="L14" s="2886" t="s">
        <v>2369</v>
      </c>
      <c r="M14" s="2887">
        <f>SUM(M7:M13)</f>
        <v>567</v>
      </c>
      <c r="N14" s="2887">
        <f>ROUND((N7*M7+N8*M8+N9*M9+N10*M10+N11*M11+N12*M12+N13*M13)/M14,0)</f>
        <v>980</v>
      </c>
      <c r="O14" s="2888"/>
      <c r="P14" s="2888"/>
      <c r="Q14" s="2889"/>
      <c r="R14" s="2836">
        <f>SUM(R7:R13)</f>
        <v>14197</v>
      </c>
      <c r="S14" s="2825"/>
      <c r="T14" s="2825"/>
      <c r="U14" s="2825"/>
      <c r="V14" s="2833"/>
    </row>
    <row r="15" spans="1:22" s="2837" customFormat="1" ht="13.15" customHeight="1">
      <c r="A15" s="2879" t="s">
        <v>2370</v>
      </c>
      <c r="B15" s="3765" t="s">
        <v>2371</v>
      </c>
      <c r="C15" s="3766"/>
      <c r="D15" s="2880">
        <f>ROUND(D6*E15,0)</f>
        <v>1559</v>
      </c>
      <c r="E15" s="2881">
        <v>5.5E-2</v>
      </c>
      <c r="F15" s="2875" t="s">
        <v>2372</v>
      </c>
      <c r="G15" s="2857"/>
      <c r="H15" s="2832"/>
      <c r="I15" s="2833"/>
      <c r="J15" s="3755">
        <v>2</v>
      </c>
      <c r="K15" s="3756" t="s">
        <v>2373</v>
      </c>
      <c r="L15" s="2867" t="s">
        <v>2374</v>
      </c>
      <c r="M15" s="2868" t="s">
        <v>2375</v>
      </c>
      <c r="N15" s="2868" t="s">
        <v>2376</v>
      </c>
      <c r="O15" s="2869" t="s">
        <v>2377</v>
      </c>
      <c r="P15" s="2869" t="s">
        <v>2339</v>
      </c>
      <c r="Q15" s="2844" t="s">
        <v>2378</v>
      </c>
      <c r="R15" s="2890" t="s">
        <v>2340</v>
      </c>
      <c r="S15" s="2825"/>
      <c r="T15" s="2825"/>
      <c r="U15" s="2825"/>
      <c r="V15" s="2833"/>
    </row>
    <row r="16" spans="1:22" s="2837" customFormat="1" ht="13.15" customHeight="1">
      <c r="A16" s="2879" t="s">
        <v>2379</v>
      </c>
      <c r="B16" s="3765" t="s">
        <v>2380</v>
      </c>
      <c r="C16" s="3766"/>
      <c r="D16" s="2891">
        <f>D6*E16</f>
        <v>0</v>
      </c>
      <c r="E16" s="2892"/>
      <c r="F16" s="2877" t="s">
        <v>2381</v>
      </c>
      <c r="G16" s="2857"/>
      <c r="H16" s="2832"/>
      <c r="I16" s="2833"/>
      <c r="J16" s="3755"/>
      <c r="K16" s="3757"/>
      <c r="L16" s="2867" t="s">
        <v>2382</v>
      </c>
      <c r="M16" s="2868"/>
      <c r="N16" s="2868"/>
      <c r="O16" s="2869"/>
      <c r="P16" s="2870">
        <v>365</v>
      </c>
      <c r="Q16" s="2844"/>
      <c r="R16" s="2890">
        <f>ROUND(M16*N16*O16*P16/10000,0)</f>
        <v>0</v>
      </c>
      <c r="S16" s="2825"/>
      <c r="T16" s="2825"/>
      <c r="U16" s="2825"/>
      <c r="V16" s="2833"/>
    </row>
    <row r="17" spans="1:22" s="2837" customFormat="1" ht="13.15" customHeight="1" thickBot="1">
      <c r="A17" s="2893">
        <v>4</v>
      </c>
      <c r="B17" s="3767" t="s">
        <v>2383</v>
      </c>
      <c r="C17" s="3768"/>
      <c r="D17" s="2894">
        <f>ROUND(D6*E17,0)</f>
        <v>1418</v>
      </c>
      <c r="E17" s="3462">
        <v>0.05</v>
      </c>
      <c r="F17" s="2895" t="s">
        <v>2384</v>
      </c>
      <c r="G17" s="2857"/>
      <c r="H17" s="2832"/>
      <c r="I17" s="2833"/>
      <c r="J17" s="3755"/>
      <c r="K17" s="3757"/>
      <c r="L17" s="2867" t="s">
        <v>2385</v>
      </c>
      <c r="M17" s="2868"/>
      <c r="N17" s="2868"/>
      <c r="O17" s="2869"/>
      <c r="P17" s="2870">
        <v>365</v>
      </c>
      <c r="Q17" s="2844"/>
      <c r="R17" s="2890">
        <f>ROUND(M17*N17*O17*P17/10000,0)</f>
        <v>0</v>
      </c>
      <c r="S17" s="2825"/>
      <c r="T17" s="2825"/>
      <c r="U17" s="2825"/>
      <c r="V17" s="2833"/>
    </row>
    <row r="18" spans="1:22" s="2837" customFormat="1" ht="13.15" customHeight="1" thickBot="1">
      <c r="A18" s="2860" t="s">
        <v>2386</v>
      </c>
      <c r="B18" s="2861"/>
      <c r="C18" s="2861"/>
      <c r="D18" s="2896">
        <f>ROUND(D6*E18,0)</f>
        <v>1418</v>
      </c>
      <c r="E18" s="3463">
        <v>0.05</v>
      </c>
      <c r="F18" s="2897" t="s">
        <v>2387</v>
      </c>
      <c r="G18" s="2857"/>
      <c r="H18" s="2832"/>
      <c r="I18" s="2833"/>
      <c r="J18" s="3755"/>
      <c r="K18" s="3757"/>
      <c r="L18" s="2867" t="s">
        <v>2388</v>
      </c>
      <c r="M18" s="2868"/>
      <c r="N18" s="2868"/>
      <c r="O18" s="2869"/>
      <c r="P18" s="2870">
        <v>365</v>
      </c>
      <c r="Q18" s="2844"/>
      <c r="R18" s="2890">
        <f>ROUND(M18*N18*O18*P18/10000,0)</f>
        <v>0</v>
      </c>
      <c r="S18" s="2825"/>
      <c r="T18" s="2825"/>
      <c r="U18" s="2825"/>
      <c r="V18" s="2833"/>
    </row>
    <row r="19" spans="1:22" s="2837" customFormat="1" ht="13.15" customHeight="1" thickBot="1">
      <c r="A19" s="2898" t="s">
        <v>2389</v>
      </c>
      <c r="B19" s="2855"/>
      <c r="C19" s="2855"/>
      <c r="D19" s="2855"/>
      <c r="E19" s="2855"/>
      <c r="F19" s="2856"/>
      <c r="G19" s="2876"/>
      <c r="H19" s="2832"/>
      <c r="I19" s="2833"/>
      <c r="J19" s="3755"/>
      <c r="K19" s="3758"/>
      <c r="L19" s="2886" t="s">
        <v>2369</v>
      </c>
      <c r="M19" s="2887"/>
      <c r="N19" s="2887">
        <f>SUM(N16:N18)</f>
        <v>0</v>
      </c>
      <c r="O19" s="2888"/>
      <c r="P19" s="2899" t="s">
        <v>3421</v>
      </c>
      <c r="Q19" s="2869">
        <v>0.45</v>
      </c>
      <c r="R19" s="2900">
        <f>ROUND(IF(P19="按比例",R14*Q19,SUM(R16:R18)),0)</f>
        <v>6389</v>
      </c>
      <c r="S19" s="2825"/>
      <c r="T19" s="2825"/>
      <c r="U19" s="2825"/>
      <c r="V19" s="2833"/>
    </row>
    <row r="20" spans="1:22" s="2837" customFormat="1" ht="13.15" customHeight="1">
      <c r="A20" s="2860"/>
      <c r="B20" s="2861"/>
      <c r="C20" s="2861"/>
      <c r="D20" s="2861"/>
      <c r="E20" s="2861"/>
      <c r="F20" s="2901"/>
      <c r="G20" s="2876"/>
      <c r="H20" s="2832"/>
      <c r="I20" s="2833"/>
      <c r="J20" s="3755">
        <v>3</v>
      </c>
      <c r="K20" s="3756" t="s">
        <v>2390</v>
      </c>
      <c r="L20" s="2867" t="s">
        <v>2391</v>
      </c>
      <c r="M20" s="2868" t="s">
        <v>2392</v>
      </c>
      <c r="N20" s="2902" t="s">
        <v>2393</v>
      </c>
      <c r="O20" s="2869" t="s">
        <v>2394</v>
      </c>
      <c r="P20" s="2870" t="s">
        <v>2395</v>
      </c>
      <c r="Q20" s="2844" t="s">
        <v>2396</v>
      </c>
      <c r="R20" s="2890" t="s">
        <v>2397</v>
      </c>
      <c r="S20" s="2903"/>
      <c r="T20" s="2903"/>
      <c r="U20" s="2903"/>
      <c r="V20" s="2833"/>
    </row>
    <row r="21" spans="1:22" s="2837" customFormat="1" ht="13.15" customHeight="1">
      <c r="A21" s="2860"/>
      <c r="B21" s="2861"/>
      <c r="C21" s="2904" t="s">
        <v>2398</v>
      </c>
      <c r="D21" s="2905" t="s">
        <v>2399</v>
      </c>
      <c r="E21" s="2906" t="s">
        <v>2400</v>
      </c>
      <c r="F21" s="2901"/>
      <c r="G21" s="2876"/>
      <c r="H21" s="2832"/>
      <c r="I21" s="2833"/>
      <c r="J21" s="3755"/>
      <c r="K21" s="3757"/>
      <c r="L21" s="2867" t="s">
        <v>2401</v>
      </c>
      <c r="M21" s="2868"/>
      <c r="N21" s="2868"/>
      <c r="O21" s="2869"/>
      <c r="P21" s="2870">
        <v>365</v>
      </c>
      <c r="Q21" s="2844"/>
      <c r="R21" s="2907">
        <f>ROUND(M21*N21*O21*P21/10000,0)</f>
        <v>0</v>
      </c>
      <c r="S21" s="2903"/>
      <c r="T21" s="2903"/>
      <c r="U21" s="2903"/>
      <c r="V21" s="2833"/>
    </row>
    <row r="22" spans="1:22" s="2837" customFormat="1" ht="13.15" customHeight="1">
      <c r="A22" s="2860"/>
      <c r="B22" s="2861"/>
      <c r="C22" s="3487" t="s">
        <v>3458</v>
      </c>
      <c r="D22" s="2908"/>
      <c r="E22" s="2909"/>
      <c r="F22" s="2901"/>
      <c r="G22" s="2910"/>
      <c r="H22" s="2832"/>
      <c r="I22" s="2833"/>
      <c r="J22" s="3755"/>
      <c r="K22" s="3757"/>
      <c r="L22" s="2867" t="s">
        <v>2402</v>
      </c>
      <c r="M22" s="2868"/>
      <c r="N22" s="2868"/>
      <c r="O22" s="2869"/>
      <c r="P22" s="2870">
        <v>365</v>
      </c>
      <c r="Q22" s="2844"/>
      <c r="R22" s="2907">
        <f>ROUND(M22*N22*O22*P22/10000,0)</f>
        <v>0</v>
      </c>
      <c r="S22" s="2903"/>
      <c r="T22" s="2903"/>
      <c r="U22" s="2903"/>
      <c r="V22" s="2833"/>
    </row>
    <row r="23" spans="1:22" s="2837" customFormat="1" ht="13.15" customHeight="1">
      <c r="A23" s="2911">
        <v>1</v>
      </c>
      <c r="B23" s="2912" t="s">
        <v>2403</v>
      </c>
      <c r="C23" s="2913">
        <f>D6</f>
        <v>28354</v>
      </c>
      <c r="D23" s="2914">
        <f>C23*(1+D24)</f>
        <v>28354</v>
      </c>
      <c r="E23" s="2915">
        <f>D23*(1+E24)</f>
        <v>28354</v>
      </c>
      <c r="F23" s="2916"/>
      <c r="G23" s="2917"/>
      <c r="H23" s="2832"/>
      <c r="I23" s="2833"/>
      <c r="J23" s="3755"/>
      <c r="K23" s="3757"/>
      <c r="L23" s="2867" t="s">
        <v>2404</v>
      </c>
      <c r="M23" s="2868"/>
      <c r="N23" s="2868"/>
      <c r="O23" s="2869"/>
      <c r="P23" s="2870">
        <v>365</v>
      </c>
      <c r="Q23" s="2844"/>
      <c r="R23" s="2907">
        <f>ROUND(M23*N23*O23*P23/10000,0)</f>
        <v>0</v>
      </c>
      <c r="S23" s="2825"/>
      <c r="T23" s="2825"/>
      <c r="U23" s="2825"/>
      <c r="V23" s="2833"/>
    </row>
    <row r="24" spans="1:22" s="2837" customFormat="1" ht="13.15" customHeight="1">
      <c r="A24" s="2918"/>
      <c r="B24" s="2919" t="s">
        <v>2405</v>
      </c>
      <c r="C24" s="2920"/>
      <c r="D24" s="2921"/>
      <c r="E24" s="2922"/>
      <c r="F24" s="2923"/>
      <c r="G24" s="2917"/>
      <c r="H24" s="2832"/>
      <c r="I24" s="2833"/>
      <c r="J24" s="3755"/>
      <c r="K24" s="3758"/>
      <c r="L24" s="2886" t="s">
        <v>2369</v>
      </c>
      <c r="M24" s="2887">
        <f>SUM(M21:M23)</f>
        <v>0</v>
      </c>
      <c r="N24" s="2887"/>
      <c r="O24" s="2888"/>
      <c r="P24" s="2899" t="s">
        <v>3421</v>
      </c>
      <c r="Q24" s="2869">
        <v>0.24</v>
      </c>
      <c r="R24" s="2900">
        <f>ROUND(IF(P24="按比例",R14*Q24,SUM(R21:R23)),0)</f>
        <v>3407</v>
      </c>
      <c r="S24" s="2825"/>
      <c r="T24" s="2825"/>
      <c r="U24" s="2825"/>
      <c r="V24" s="2833"/>
    </row>
    <row r="25" spans="1:22" s="2930" customFormat="1" ht="13.15" customHeight="1">
      <c r="A25" s="2918"/>
      <c r="B25" s="2919"/>
      <c r="C25" s="2920"/>
      <c r="D25" s="2921"/>
      <c r="E25" s="2922"/>
      <c r="F25" s="2923"/>
      <c r="G25" s="2910"/>
      <c r="H25" s="2832"/>
      <c r="I25" s="2833"/>
      <c r="J25" s="2924">
        <v>4</v>
      </c>
      <c r="K25" s="2925" t="s">
        <v>2406</v>
      </c>
      <c r="L25" s="2926"/>
      <c r="M25" s="2926"/>
      <c r="N25" s="2926"/>
      <c r="O25" s="2926"/>
      <c r="P25" s="2927"/>
      <c r="Q25" s="2928">
        <v>0.15</v>
      </c>
      <c r="R25" s="2900">
        <f>ROUND(R14*Q25,0)</f>
        <v>2130</v>
      </c>
      <c r="S25" s="2825"/>
      <c r="T25" s="2825"/>
      <c r="U25" s="2825"/>
      <c r="V25" s="2929"/>
    </row>
    <row r="26" spans="1:22" s="2930" customFormat="1" ht="13.15" customHeight="1">
      <c r="A26" s="2911">
        <v>2</v>
      </c>
      <c r="B26" s="2912" t="s">
        <v>2407</v>
      </c>
      <c r="C26" s="2913">
        <f>D7</f>
        <v>11415</v>
      </c>
      <c r="D26" s="2914">
        <f>D23*D27</f>
        <v>0</v>
      </c>
      <c r="E26" s="2915">
        <f>E23*E27</f>
        <v>0</v>
      </c>
      <c r="F26" s="2916"/>
      <c r="G26" s="2917"/>
      <c r="H26" s="2832"/>
      <c r="I26" s="2833"/>
      <c r="J26" s="3759">
        <v>5</v>
      </c>
      <c r="K26" s="2931" t="s">
        <v>2408</v>
      </c>
      <c r="L26" s="2932"/>
      <c r="M26" s="2933"/>
      <c r="N26" s="2934" t="s">
        <v>2409</v>
      </c>
      <c r="O26" s="2934" t="s">
        <v>2410</v>
      </c>
      <c r="P26" s="2935" t="s">
        <v>2411</v>
      </c>
      <c r="Q26" s="2935" t="s">
        <v>2412</v>
      </c>
      <c r="R26" s="2842" t="s">
        <v>2340</v>
      </c>
      <c r="S26" s="2936"/>
      <c r="T26" s="2936"/>
      <c r="U26" s="2936"/>
      <c r="V26" s="2929"/>
    </row>
    <row r="27" spans="1:22" s="2837" customFormat="1" ht="13.15" customHeight="1">
      <c r="A27" s="2918"/>
      <c r="B27" s="2919" t="s">
        <v>2413</v>
      </c>
      <c r="C27" s="2937">
        <f>E7</f>
        <v>0.40259575368554701</v>
      </c>
      <c r="D27" s="2921"/>
      <c r="E27" s="2922"/>
      <c r="F27" s="2923"/>
      <c r="G27" s="2917"/>
      <c r="H27" s="2938"/>
      <c r="I27" s="2929"/>
      <c r="J27" s="3760"/>
      <c r="K27" s="2939"/>
      <c r="L27" s="2940"/>
      <c r="M27" s="2941"/>
      <c r="N27" s="2942"/>
      <c r="O27" s="2942"/>
      <c r="P27" s="2942"/>
      <c r="Q27" s="2943"/>
      <c r="R27" s="2900">
        <f>ROUND(S27/10000,0)</f>
        <v>2228</v>
      </c>
      <c r="S27" s="2825">
        <v>22280960.129999999</v>
      </c>
      <c r="T27" s="2825"/>
      <c r="U27" s="2825"/>
      <c r="V27" s="2833"/>
    </row>
    <row r="28" spans="1:22" s="2930" customFormat="1" ht="13.15" customHeight="1" thickBot="1">
      <c r="A28" s="2918"/>
      <c r="B28" s="2919"/>
      <c r="C28" s="2937"/>
      <c r="D28" s="2921"/>
      <c r="E28" s="2922" t="s">
        <v>2414</v>
      </c>
      <c r="F28" s="2923"/>
      <c r="G28" s="2910"/>
      <c r="H28" s="2938"/>
      <c r="I28" s="2929"/>
      <c r="J28" s="2944">
        <v>6</v>
      </c>
      <c r="K28" s="2945" t="s">
        <v>2415</v>
      </c>
      <c r="L28" s="2946" t="s">
        <v>2416</v>
      </c>
      <c r="M28" s="2947"/>
      <c r="N28" s="2946" t="s">
        <v>2417</v>
      </c>
      <c r="O28" s="2948"/>
      <c r="P28" s="2946" t="s">
        <v>2418</v>
      </c>
      <c r="Q28" s="2949">
        <v>1.4999999999999999E-2</v>
      </c>
      <c r="R28" s="2950">
        <f>ROUND(R27/12*Q28,0)</f>
        <v>3</v>
      </c>
      <c r="S28" s="2903"/>
      <c r="T28" s="2903"/>
      <c r="U28" s="2903"/>
      <c r="V28" s="2929"/>
    </row>
    <row r="29" spans="1:22" s="2930" customFormat="1" ht="13.15" customHeight="1">
      <c r="A29" s="2911">
        <v>3</v>
      </c>
      <c r="B29" s="2912" t="s">
        <v>2419</v>
      </c>
      <c r="C29" s="2913">
        <f>C23*C30</f>
        <v>1417.7</v>
      </c>
      <c r="D29" s="2914">
        <f>D23*C30</f>
        <v>1417.7</v>
      </c>
      <c r="E29" s="2915">
        <f>E23*C30</f>
        <v>1417.7</v>
      </c>
      <c r="F29" s="2916"/>
      <c r="G29" s="2917"/>
      <c r="H29" s="2832"/>
      <c r="I29" s="2833"/>
      <c r="J29" s="2903"/>
      <c r="K29" s="2903"/>
      <c r="L29" s="2903"/>
      <c r="M29" s="2903"/>
      <c r="N29" s="2903"/>
      <c r="O29" s="2903"/>
      <c r="P29" s="2903"/>
      <c r="Q29" s="2903"/>
      <c r="R29" s="2903"/>
      <c r="S29" s="2903"/>
      <c r="T29" s="2903"/>
      <c r="U29" s="2903"/>
      <c r="V29" s="2929"/>
    </row>
    <row r="30" spans="1:22" s="2837" customFormat="1" ht="13.15" customHeight="1" thickBot="1">
      <c r="A30" s="2918"/>
      <c r="B30" s="2919" t="s">
        <v>2413</v>
      </c>
      <c r="C30" s="2937">
        <f>E18</f>
        <v>0.05</v>
      </c>
      <c r="D30" s="2951"/>
      <c r="E30" s="2885"/>
      <c r="F30" s="2923"/>
      <c r="G30" s="2917"/>
      <c r="H30" s="2938"/>
      <c r="I30" s="2929"/>
      <c r="J30" s="2903"/>
      <c r="K30" s="2903"/>
      <c r="L30" s="2903"/>
      <c r="M30" s="2903"/>
      <c r="N30" s="2903"/>
      <c r="O30" s="2903"/>
      <c r="P30" s="2903"/>
      <c r="Q30" s="2903"/>
      <c r="R30" s="2903"/>
      <c r="S30" s="2903"/>
      <c r="T30" s="2903"/>
      <c r="U30" s="2825"/>
      <c r="V30" s="2833"/>
    </row>
    <row r="31" spans="1:22" s="2930" customFormat="1" ht="13.15" customHeight="1">
      <c r="A31" s="2918"/>
      <c r="B31" s="2919"/>
      <c r="C31" s="2952"/>
      <c r="D31" s="2951"/>
      <c r="E31" s="2885"/>
      <c r="F31" s="2923"/>
      <c r="G31" s="2910"/>
      <c r="H31" s="2938"/>
      <c r="I31" s="2929"/>
      <c r="J31" s="2822" t="s">
        <v>2420</v>
      </c>
      <c r="K31" s="2823"/>
      <c r="L31" s="2823"/>
      <c r="M31" s="2823"/>
      <c r="N31" s="2823"/>
      <c r="O31" s="2823"/>
      <c r="P31" s="2823"/>
      <c r="Q31" s="2823"/>
      <c r="R31" s="2824"/>
      <c r="S31" s="2903"/>
      <c r="T31" s="2825"/>
      <c r="U31" s="2825"/>
      <c r="V31" s="2929"/>
    </row>
    <row r="32" spans="1:22" s="2930" customFormat="1" ht="13.15" customHeight="1">
      <c r="A32" s="2911">
        <v>4</v>
      </c>
      <c r="B32" s="2912" t="s">
        <v>2421</v>
      </c>
      <c r="C32" s="2913">
        <f>C23-C26-C29</f>
        <v>15521.3</v>
      </c>
      <c r="D32" s="2914">
        <f>D23-D26-D29</f>
        <v>26936.3</v>
      </c>
      <c r="E32" s="2915">
        <f>E23-E26-E29</f>
        <v>26936.3</v>
      </c>
      <c r="F32" s="2916"/>
      <c r="G32" s="2910"/>
      <c r="H32" s="2832"/>
      <c r="I32" s="2833"/>
      <c r="J32" s="3761" t="s">
        <v>2316</v>
      </c>
      <c r="K32" s="3762"/>
      <c r="L32" s="2834" t="s">
        <v>2317</v>
      </c>
      <c r="M32" s="2834" t="s">
        <v>2318</v>
      </c>
      <c r="N32" s="2834" t="s">
        <v>2319</v>
      </c>
      <c r="O32" s="2834" t="s">
        <v>2320</v>
      </c>
      <c r="P32" s="2834" t="s">
        <v>2321</v>
      </c>
      <c r="Q32" s="2835" t="s">
        <v>2322</v>
      </c>
      <c r="R32" s="2953" t="s">
        <v>2323</v>
      </c>
      <c r="S32" s="2903"/>
      <c r="T32" s="2825"/>
      <c r="U32" s="2825"/>
      <c r="V32" s="2929"/>
    </row>
    <row r="33" spans="1:23" s="2837" customFormat="1" ht="13.15" customHeight="1">
      <c r="A33" s="2911"/>
      <c r="B33" s="2912"/>
      <c r="C33" s="2913"/>
      <c r="D33" s="2954"/>
      <c r="E33" s="2955"/>
      <c r="F33" s="2916"/>
      <c r="G33" s="2910"/>
      <c r="H33" s="2938"/>
      <c r="I33" s="2929"/>
      <c r="J33" s="3763" t="s">
        <v>2326</v>
      </c>
      <c r="K33" s="3764"/>
      <c r="L33" s="2840"/>
      <c r="M33" s="2840"/>
      <c r="N33" s="2840"/>
      <c r="O33" s="2840"/>
      <c r="P33" s="2840"/>
      <c r="Q33" s="2841"/>
      <c r="R33" s="2956">
        <f>SUM(L33:Q33)</f>
        <v>0</v>
      </c>
      <c r="S33" s="2903"/>
      <c r="T33" s="2825"/>
      <c r="U33" s="2825"/>
      <c r="V33" s="2833"/>
    </row>
    <row r="34" spans="1:23" s="2837" customFormat="1" ht="13.15" customHeight="1">
      <c r="A34" s="2911">
        <v>5</v>
      </c>
      <c r="B34" s="2912" t="s">
        <v>2422</v>
      </c>
      <c r="C34" s="3484">
        <f>'[7]数据-取费表'!I6</f>
        <v>5.5E-2</v>
      </c>
      <c r="D34" s="2957"/>
      <c r="E34" s="2958"/>
      <c r="F34" s="2916"/>
      <c r="G34" s="2910"/>
      <c r="H34" s="2938"/>
      <c r="I34" s="2929"/>
      <c r="J34" s="3763" t="s">
        <v>2328</v>
      </c>
      <c r="K34" s="3764"/>
      <c r="L34" s="2845"/>
      <c r="M34" s="2845"/>
      <c r="N34" s="2845"/>
      <c r="O34" s="2845"/>
      <c r="P34" s="2845"/>
      <c r="Q34" s="2846"/>
      <c r="R34" s="2959">
        <f>SUM(L34:Q34)</f>
        <v>0</v>
      </c>
      <c r="S34" s="2903"/>
      <c r="T34" s="2825"/>
      <c r="U34" s="2825" t="e">
        <f>ROUND(R35*10000/365/R33,1)</f>
        <v>#DIV/0!</v>
      </c>
      <c r="V34" s="2833"/>
    </row>
    <row r="35" spans="1:23" s="2837" customFormat="1" ht="13.15" customHeight="1">
      <c r="A35" s="2911">
        <v>6</v>
      </c>
      <c r="B35" s="2912" t="s">
        <v>2423</v>
      </c>
      <c r="C35" s="3485">
        <v>0.03</v>
      </c>
      <c r="D35" s="2960"/>
      <c r="E35" s="2961"/>
      <c r="F35" s="2916"/>
      <c r="G35" s="2962"/>
      <c r="H35" s="2832"/>
      <c r="I35" s="2929"/>
      <c r="J35" s="2851" t="s">
        <v>2330</v>
      </c>
      <c r="K35" s="2852"/>
      <c r="L35" s="2852"/>
      <c r="M35" s="2853"/>
      <c r="N35" s="2853"/>
      <c r="O35" s="2853"/>
      <c r="P35" s="2853"/>
      <c r="Q35" s="2853"/>
      <c r="R35" s="2963">
        <f>R40+R41+R43</f>
        <v>0</v>
      </c>
      <c r="S35" s="2903"/>
      <c r="T35" s="2825" t="s">
        <v>2331</v>
      </c>
      <c r="U35" s="2825"/>
      <c r="V35" s="2833"/>
    </row>
    <row r="36" spans="1:23" s="2837" customFormat="1" ht="13.15" customHeight="1" thickBot="1">
      <c r="A36" s="2911">
        <v>7</v>
      </c>
      <c r="B36" s="2964" t="s">
        <v>2424</v>
      </c>
      <c r="C36" s="3486">
        <f>项目基本情况!D15</f>
        <v>17.63</v>
      </c>
      <c r="D36" s="2965"/>
      <c r="E36" s="2966"/>
      <c r="F36" s="2967">
        <f>C36+D36+E36</f>
        <v>17.63</v>
      </c>
      <c r="G36" s="2910"/>
      <c r="H36" s="2832"/>
      <c r="I36" s="2833"/>
      <c r="J36" s="3755">
        <v>1</v>
      </c>
      <c r="K36" s="3756" t="s">
        <v>2425</v>
      </c>
      <c r="L36" s="2858"/>
      <c r="M36" s="2859"/>
      <c r="N36" s="2859"/>
      <c r="O36" s="2859"/>
      <c r="P36" s="2859"/>
      <c r="Q36" s="2859"/>
      <c r="R36" s="2842" t="s">
        <v>2340</v>
      </c>
      <c r="S36" s="2903"/>
      <c r="T36" s="2825" t="s">
        <v>2341</v>
      </c>
      <c r="U36" s="2825"/>
      <c r="V36" s="2833"/>
    </row>
    <row r="37" spans="1:23" s="2837" customFormat="1" ht="13.15" customHeight="1">
      <c r="A37" s="2911"/>
      <c r="B37" s="2912"/>
      <c r="C37" s="2912"/>
      <c r="D37" s="2912"/>
      <c r="E37" s="2912"/>
      <c r="F37" s="2916"/>
      <c r="G37" s="2910"/>
      <c r="H37" s="2832"/>
      <c r="I37" s="2833"/>
      <c r="J37" s="3755"/>
      <c r="K37" s="3757"/>
      <c r="L37" s="2867"/>
      <c r="M37" s="2868"/>
      <c r="N37" s="2844"/>
      <c r="O37" s="2869"/>
      <c r="P37" s="2869"/>
      <c r="Q37" s="2870"/>
      <c r="R37" s="2871"/>
      <c r="S37" s="2903"/>
      <c r="T37" s="2825" t="s">
        <v>2344</v>
      </c>
      <c r="U37" s="2825"/>
      <c r="V37" s="2833"/>
    </row>
    <row r="38" spans="1:23" s="2837" customFormat="1" ht="13.15" customHeight="1">
      <c r="A38" s="2911">
        <v>8</v>
      </c>
      <c r="B38" s="2912"/>
      <c r="C38" s="2873">
        <f>ROUND(C32*(1-((1+C35)/(1+C34))^C36)/(C34-C35),0)</f>
        <v>214065</v>
      </c>
      <c r="D38" s="2873"/>
      <c r="E38" s="2873"/>
      <c r="F38" s="2916"/>
      <c r="G38" s="2910"/>
      <c r="H38" s="2832"/>
      <c r="I38" s="2833"/>
      <c r="J38" s="3755"/>
      <c r="K38" s="3757"/>
      <c r="L38" s="2867"/>
      <c r="M38" s="2868"/>
      <c r="N38" s="2844"/>
      <c r="O38" s="2869"/>
      <c r="P38" s="2869"/>
      <c r="Q38" s="2870"/>
      <c r="R38" s="2871"/>
      <c r="S38" s="2903"/>
      <c r="T38" s="2825" t="s">
        <v>2351</v>
      </c>
      <c r="U38" s="2825"/>
      <c r="V38" s="2833"/>
    </row>
    <row r="39" spans="1:23" s="2837" customFormat="1" ht="13.15" customHeight="1">
      <c r="A39" s="2911">
        <v>9</v>
      </c>
      <c r="B39" s="2912" t="s">
        <v>2426</v>
      </c>
      <c r="C39" s="2880">
        <f>C38</f>
        <v>214065</v>
      </c>
      <c r="D39" s="2912"/>
      <c r="E39" s="2912"/>
      <c r="F39" s="2916"/>
      <c r="G39" s="2968"/>
      <c r="H39" s="2832"/>
      <c r="I39" s="2833"/>
      <c r="J39" s="3755"/>
      <c r="K39" s="3757"/>
      <c r="L39" s="2867"/>
      <c r="M39" s="2868"/>
      <c r="N39" s="2844"/>
      <c r="O39" s="2869"/>
      <c r="P39" s="2869"/>
      <c r="Q39" s="2870"/>
      <c r="R39" s="2871"/>
      <c r="S39" s="2903"/>
      <c r="T39" s="2825"/>
      <c r="U39" s="2825"/>
      <c r="V39" s="2833"/>
    </row>
    <row r="40" spans="1:23" s="2837" customFormat="1" ht="13.15" customHeight="1">
      <c r="A40" s="2969">
        <v>10</v>
      </c>
      <c r="B40" s="2912" t="s">
        <v>2427</v>
      </c>
      <c r="C40" s="2970">
        <f>C39+D39+E39</f>
        <v>214065</v>
      </c>
      <c r="D40" s="2971"/>
      <c r="E40" s="2971"/>
      <c r="F40" s="2972"/>
      <c r="G40" s="2910"/>
      <c r="H40" s="2832"/>
      <c r="I40" s="2833"/>
      <c r="J40" s="3755"/>
      <c r="K40" s="3758"/>
      <c r="L40" s="2886" t="s">
        <v>2369</v>
      </c>
      <c r="M40" s="2887"/>
      <c r="N40" s="2887"/>
      <c r="O40" s="2888"/>
      <c r="P40" s="2888"/>
      <c r="Q40" s="2889"/>
      <c r="R40" s="2836">
        <f>SUM(R37:R39)</f>
        <v>0</v>
      </c>
      <c r="S40" s="2903"/>
      <c r="T40" s="2825"/>
      <c r="U40" s="2825"/>
      <c r="V40" s="2833"/>
    </row>
    <row r="41" spans="1:23" s="2837" customFormat="1" ht="13.15" customHeight="1" thickBot="1">
      <c r="A41" s="2973">
        <v>11</v>
      </c>
      <c r="B41" s="2974" t="s">
        <v>2428</v>
      </c>
      <c r="C41" s="2974">
        <f>ROUND(C40*10000/B4,0)</f>
        <v>21774</v>
      </c>
      <c r="D41" s="2975"/>
      <c r="E41" s="2975"/>
      <c r="F41" s="2976"/>
      <c r="G41" s="2977"/>
      <c r="H41" s="2832"/>
      <c r="I41" s="2833"/>
      <c r="J41" s="2924">
        <v>2</v>
      </c>
      <c r="K41" s="2925" t="s">
        <v>2406</v>
      </c>
      <c r="L41" s="2926"/>
      <c r="M41" s="2926"/>
      <c r="N41" s="2926"/>
      <c r="O41" s="2926"/>
      <c r="P41" s="2927"/>
      <c r="Q41" s="2928"/>
      <c r="R41" s="2900">
        <f>ROUND(R40*Q41,0)</f>
        <v>0</v>
      </c>
      <c r="S41" s="2903"/>
      <c r="T41" s="2825"/>
      <c r="U41" s="2936"/>
      <c r="V41" s="2833"/>
    </row>
    <row r="42" spans="1:23" s="2837" customFormat="1" ht="13.15" customHeight="1">
      <c r="G42" s="2977"/>
      <c r="H42" s="2832"/>
      <c r="I42" s="2833"/>
      <c r="J42" s="3759">
        <v>3</v>
      </c>
      <c r="K42" s="2931" t="s">
        <v>2408</v>
      </c>
      <c r="L42" s="2932"/>
      <c r="M42" s="2933"/>
      <c r="N42" s="2934" t="s">
        <v>2409</v>
      </c>
      <c r="O42" s="2934" t="s">
        <v>2410</v>
      </c>
      <c r="P42" s="2935" t="s">
        <v>2411</v>
      </c>
      <c r="Q42" s="2935" t="s">
        <v>2412</v>
      </c>
      <c r="R42" s="2842" t="s">
        <v>2340</v>
      </c>
      <c r="S42" s="2936"/>
      <c r="T42" s="2936"/>
      <c r="U42" s="2825"/>
      <c r="V42" s="2833"/>
    </row>
    <row r="43" spans="1:23" ht="13.15" customHeight="1">
      <c r="A43" s="2837"/>
      <c r="B43" s="2837"/>
      <c r="C43" s="2837"/>
      <c r="D43" s="2837"/>
      <c r="E43" s="2837"/>
      <c r="F43" s="2837"/>
      <c r="I43" s="2820"/>
      <c r="J43" s="3760"/>
      <c r="K43" s="2939"/>
      <c r="L43" s="2940"/>
      <c r="M43" s="2941"/>
      <c r="N43" s="2868"/>
      <c r="O43" s="2868"/>
      <c r="P43" s="2868"/>
      <c r="Q43" s="2928"/>
      <c r="R43" s="2900">
        <f>ROUND(O43*N43*P43*(1-Q43)/10000,0)</f>
        <v>0</v>
      </c>
      <c r="S43" s="2903"/>
      <c r="T43" s="2825"/>
      <c r="V43" s="2979"/>
      <c r="W43" s="2980"/>
    </row>
    <row r="44" spans="1:23" ht="13.15" customHeight="1" thickBot="1">
      <c r="J44" s="2944">
        <v>6</v>
      </c>
      <c r="K44" s="2945" t="s">
        <v>2415</v>
      </c>
      <c r="L44" s="2981" t="s">
        <v>2416</v>
      </c>
      <c r="M44" s="2947"/>
      <c r="N44" s="2981" t="s">
        <v>2417</v>
      </c>
      <c r="O44" s="2947"/>
      <c r="P44" s="2981" t="s">
        <v>2418</v>
      </c>
      <c r="Q44" s="2949">
        <v>1.4999999999999999E-2</v>
      </c>
      <c r="R44" s="295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4" customWidth="1"/>
    <col min="2" max="2" width="12" style="1464" customWidth="1"/>
    <col min="3" max="3" width="9" style="1464"/>
    <col min="4" max="4" width="14.125" style="1464" customWidth="1"/>
    <col min="5" max="5" width="9" style="1464"/>
    <col min="6" max="6" width="12.875" style="1464" customWidth="1"/>
    <col min="7" max="16384" width="9" style="1464"/>
  </cols>
  <sheetData>
    <row r="1" spans="1:22" ht="21">
      <c r="A1" s="1854" t="s">
        <v>1657</v>
      </c>
      <c r="B1" s="1855"/>
      <c r="C1" s="1855"/>
      <c r="D1" s="1855"/>
      <c r="E1" s="1856"/>
      <c r="F1" s="2692"/>
      <c r="G1" s="1476"/>
      <c r="H1" s="1476"/>
      <c r="I1" s="1476"/>
      <c r="J1" s="1476"/>
      <c r="K1" s="1476"/>
      <c r="L1" s="1476"/>
      <c r="M1" s="1476"/>
      <c r="N1" s="1476"/>
      <c r="O1" s="1476"/>
      <c r="P1" s="1476"/>
      <c r="Q1" s="1476"/>
      <c r="R1" s="1476"/>
      <c r="S1" s="1476"/>
    </row>
    <row r="2" spans="1:22" ht="15.75">
      <c r="A2" s="1857" t="s">
        <v>1461</v>
      </c>
      <c r="B2" s="1858">
        <f ca="1">SUMIF(B6:B13,"&lt;&gt;#ref!",B6:B13)</f>
        <v>296311</v>
      </c>
      <c r="C2" s="1859" t="s">
        <v>1650</v>
      </c>
      <c r="D2" s="1860" t="s">
        <v>1651</v>
      </c>
      <c r="E2" s="2594">
        <f>SUM(E6:E13)</f>
        <v>98312.17</v>
      </c>
      <c r="F2" s="2692"/>
      <c r="G2" s="1476"/>
      <c r="H2" s="1476"/>
      <c r="I2" s="1476"/>
      <c r="J2" s="1476"/>
      <c r="K2" s="1476"/>
      <c r="L2" s="1476"/>
      <c r="M2" s="1476"/>
      <c r="N2" s="1476"/>
      <c r="O2" s="1476"/>
      <c r="P2" s="1476"/>
      <c r="Q2" s="1476"/>
      <c r="R2" s="1476"/>
      <c r="S2" s="1476"/>
    </row>
    <row r="3" spans="1:22" ht="15.75">
      <c r="A3" s="1857" t="s">
        <v>686</v>
      </c>
      <c r="B3" s="2588">
        <f ca="1">ROUND(B2*10000/E2,0)</f>
        <v>30140</v>
      </c>
      <c r="C3" s="1859" t="s">
        <v>1658</v>
      </c>
      <c r="D3" s="2694"/>
      <c r="E3" s="2696"/>
      <c r="F3" s="2692"/>
      <c r="G3" s="1476"/>
      <c r="H3" s="1476"/>
      <c r="I3" s="1476"/>
      <c r="J3" s="1476"/>
      <c r="K3" s="1476"/>
      <c r="L3" s="1476"/>
      <c r="M3" s="1476"/>
      <c r="N3" s="1476"/>
      <c r="O3" s="1476"/>
      <c r="P3" s="1476"/>
      <c r="Q3" s="1476"/>
      <c r="R3" s="1476"/>
      <c r="S3" s="1476"/>
    </row>
    <row r="4" spans="1:22" ht="15.75">
      <c r="A4" s="2697"/>
      <c r="B4" s="2694"/>
      <c r="C4" s="2694"/>
      <c r="D4" s="2694"/>
      <c r="E4" s="2696"/>
      <c r="F4" s="2692"/>
      <c r="G4" s="1476"/>
      <c r="H4" s="1476"/>
      <c r="I4" s="1476"/>
      <c r="J4" s="1476"/>
      <c r="K4" s="1476"/>
      <c r="L4" s="1476"/>
      <c r="M4" s="1476"/>
      <c r="N4" s="1476"/>
      <c r="O4" s="1476"/>
      <c r="P4" s="1476"/>
      <c r="Q4" s="1476"/>
      <c r="R4" s="1476"/>
      <c r="S4" s="1476"/>
    </row>
    <row r="5" spans="1:22" ht="15">
      <c r="A5" s="2590" t="s">
        <v>1652</v>
      </c>
      <c r="B5" s="3774" t="s">
        <v>1653</v>
      </c>
      <c r="C5" s="3775"/>
      <c r="D5" s="2693"/>
      <c r="E5" s="1861" t="s">
        <v>1654</v>
      </c>
      <c r="F5" s="1862" t="s">
        <v>1655</v>
      </c>
      <c r="G5" s="1476"/>
      <c r="H5" s="1476"/>
      <c r="I5" s="1476"/>
      <c r="J5" s="1476"/>
      <c r="K5" s="1476"/>
      <c r="L5" s="1476"/>
      <c r="M5" s="1476"/>
      <c r="N5" s="1476"/>
      <c r="O5" s="1476"/>
      <c r="P5" s="1476"/>
      <c r="Q5" s="1476"/>
      <c r="R5" s="1476"/>
      <c r="S5" s="1476"/>
    </row>
    <row r="6" spans="1:22">
      <c r="A6" s="2591" t="str">
        <f>'数据-取费表'!AN6</f>
        <v>收益法</v>
      </c>
      <c r="B6" s="2589">
        <f ca="1">IF(F6="是",'数据-取费表'!AO6,0)</f>
        <v>296311</v>
      </c>
      <c r="C6" s="1859" t="s">
        <v>1650</v>
      </c>
      <c r="D6" s="2694"/>
      <c r="E6" s="2593">
        <f>IF(OR(A6=0,F6="否"),0,'数据-取费表'!K6+'数据-取费表'!S6)</f>
        <v>98312.17</v>
      </c>
      <c r="F6" s="1863" t="s">
        <v>1656</v>
      </c>
      <c r="G6" s="1476"/>
      <c r="H6" s="1476"/>
      <c r="I6" s="1476"/>
      <c r="J6" s="1476"/>
      <c r="K6" s="1476"/>
      <c r="L6" s="1476"/>
      <c r="M6" s="1476"/>
      <c r="N6" s="1476"/>
      <c r="O6" s="1476"/>
      <c r="P6" s="1476"/>
      <c r="Q6" s="1476"/>
      <c r="R6" s="1476"/>
      <c r="S6" s="1476"/>
    </row>
    <row r="7" spans="1:22">
      <c r="A7" s="2591">
        <f>'数据-取费表'!AN7</f>
        <v>0</v>
      </c>
      <c r="B7" s="2589" t="e">
        <f ca="1">IF(F7="是",'数据-取费表'!AO7,0)</f>
        <v>#REF!</v>
      </c>
      <c r="C7" s="1859" t="s">
        <v>1650</v>
      </c>
      <c r="D7" s="2694"/>
      <c r="E7" s="2593">
        <f>IF(OR(A7=0,F7="否"),0,'数据-取费表'!K7+'数据-取费表'!S7)</f>
        <v>0</v>
      </c>
      <c r="F7" s="1863" t="s">
        <v>1656</v>
      </c>
      <c r="G7" s="1476"/>
      <c r="H7" s="1476"/>
      <c r="I7" s="1476"/>
      <c r="J7" s="1476"/>
      <c r="K7" s="1476"/>
      <c r="L7" s="1476"/>
      <c r="M7" s="1476"/>
      <c r="N7" s="1476"/>
      <c r="O7" s="1476"/>
      <c r="P7" s="1476"/>
      <c r="Q7" s="1476"/>
      <c r="R7" s="1476"/>
      <c r="S7" s="1476"/>
    </row>
    <row r="8" spans="1:22">
      <c r="A8" s="2591">
        <f>'数据-取费表'!AN8</f>
        <v>0</v>
      </c>
      <c r="B8" s="2589" t="e">
        <f ca="1">IF(F8="是",'数据-取费表'!AO8,0)</f>
        <v>#REF!</v>
      </c>
      <c r="C8" s="1859" t="s">
        <v>1650</v>
      </c>
      <c r="D8" s="2694"/>
      <c r="E8" s="2593">
        <f>IF(OR(A8=0,F8="否"),0,'数据-取费表'!K8+'数据-取费表'!S8)</f>
        <v>0</v>
      </c>
      <c r="F8" s="1863" t="s">
        <v>1656</v>
      </c>
      <c r="G8" s="1476"/>
      <c r="H8" s="1476"/>
      <c r="I8" s="1476"/>
      <c r="J8" s="1476"/>
      <c r="K8" s="1476"/>
      <c r="L8" s="1476"/>
      <c r="M8" s="1476"/>
      <c r="N8" s="1476"/>
      <c r="O8" s="1476"/>
      <c r="P8" s="1476"/>
      <c r="Q8" s="1476"/>
      <c r="R8" s="1476"/>
      <c r="S8" s="1476"/>
    </row>
    <row r="9" spans="1:22">
      <c r="A9" s="2591">
        <f>'数据-取费表'!AN9</f>
        <v>0</v>
      </c>
      <c r="B9" s="2589" t="e">
        <f ca="1">IF(F9="是",'数据-取费表'!AO9,0)</f>
        <v>#REF!</v>
      </c>
      <c r="C9" s="1859" t="s">
        <v>1650</v>
      </c>
      <c r="D9" s="2694"/>
      <c r="E9" s="2593">
        <f>IF(OR(A9=0,F9="否"),0,'数据-取费表'!K9+'数据-取费表'!S9)</f>
        <v>0</v>
      </c>
      <c r="F9" s="1863" t="s">
        <v>1656</v>
      </c>
      <c r="G9" s="1476"/>
      <c r="H9" s="1476"/>
      <c r="I9" s="1476"/>
      <c r="J9" s="1476"/>
      <c r="K9" s="1476"/>
      <c r="L9" s="1476"/>
      <c r="M9" s="1476"/>
      <c r="N9" s="1476"/>
      <c r="O9" s="1476"/>
      <c r="P9" s="1476"/>
      <c r="Q9" s="1476"/>
      <c r="R9" s="1476"/>
      <c r="S9" s="1476"/>
    </row>
    <row r="10" spans="1:22">
      <c r="A10" s="2591">
        <f>'数据-取费表'!AN10</f>
        <v>0</v>
      </c>
      <c r="B10" s="2589" t="e">
        <f ca="1">IF(F10="是",'数据-取费表'!AO10,0)</f>
        <v>#REF!</v>
      </c>
      <c r="C10" s="1859" t="s">
        <v>1650</v>
      </c>
      <c r="D10" s="2694"/>
      <c r="E10" s="2593">
        <f>IF(OR(A10=0,F10="否"),0,'数据-取费表'!K10+'数据-取费表'!S10)</f>
        <v>0</v>
      </c>
      <c r="F10" s="1863" t="s">
        <v>1656</v>
      </c>
      <c r="G10" s="1476"/>
      <c r="H10" s="1476"/>
      <c r="I10" s="1476"/>
      <c r="J10" s="1476"/>
      <c r="K10" s="1476"/>
      <c r="L10" s="1476"/>
      <c r="M10" s="1476"/>
      <c r="N10" s="1476"/>
      <c r="O10" s="1476"/>
      <c r="P10" s="1476"/>
      <c r="Q10" s="1476"/>
      <c r="R10" s="1476"/>
      <c r="S10" s="1476"/>
    </row>
    <row r="11" spans="1:22">
      <c r="A11" s="2591">
        <f>'数据-取费表'!AN11</f>
        <v>0</v>
      </c>
      <c r="B11" s="2589" t="e">
        <f ca="1">IF(F11="是",'数据-取费表'!AO11,0)</f>
        <v>#REF!</v>
      </c>
      <c r="C11" s="1859" t="s">
        <v>1650</v>
      </c>
      <c r="D11" s="2694"/>
      <c r="E11" s="2593">
        <f>IF(OR(A11=0,F11="否"),0,'数据-取费表'!K11+'数据-取费表'!S11)</f>
        <v>0</v>
      </c>
      <c r="F11" s="1863" t="s">
        <v>1656</v>
      </c>
      <c r="G11" s="1476"/>
      <c r="H11" s="1476"/>
      <c r="I11" s="1476"/>
      <c r="J11" s="1476"/>
      <c r="K11" s="1476"/>
      <c r="L11" s="1476"/>
      <c r="M11" s="1476"/>
      <c r="N11" s="1476"/>
      <c r="O11" s="1476"/>
      <c r="P11" s="1476"/>
      <c r="Q11" s="1476"/>
      <c r="R11" s="1476"/>
      <c r="S11" s="1476"/>
    </row>
    <row r="12" spans="1:22">
      <c r="A12" s="2591">
        <f>'数据-取费表'!AN12</f>
        <v>0</v>
      </c>
      <c r="B12" s="2589" t="e">
        <f ca="1">IF(F12="是",'数据-取费表'!AO12,0)</f>
        <v>#REF!</v>
      </c>
      <c r="C12" s="1859" t="s">
        <v>1650</v>
      </c>
      <c r="D12" s="2694"/>
      <c r="E12" s="2593">
        <f>IF(OR(A12=0,F12="否"),0,'数据-取费表'!K12+'数据-取费表'!S12)</f>
        <v>0</v>
      </c>
      <c r="F12" s="1863" t="s">
        <v>1656</v>
      </c>
      <c r="G12" s="1476"/>
      <c r="H12" s="1476"/>
      <c r="I12" s="1476"/>
      <c r="J12" s="1476"/>
      <c r="K12" s="1476"/>
      <c r="L12" s="1476"/>
      <c r="M12" s="1476"/>
      <c r="N12" s="1476"/>
      <c r="O12" s="1476"/>
      <c r="P12" s="1476"/>
      <c r="Q12" s="1476"/>
      <c r="R12" s="1476"/>
      <c r="S12" s="1476"/>
    </row>
    <row r="13" spans="1:22" ht="15" thickBot="1">
      <c r="A13" s="2592">
        <f>'数据-取费表'!AN13</f>
        <v>0</v>
      </c>
      <c r="B13" s="2589" t="e">
        <f ca="1">IF(F13="是",'数据-取费表'!AO13,0)</f>
        <v>#REF!</v>
      </c>
      <c r="C13" s="1864" t="s">
        <v>1650</v>
      </c>
      <c r="D13" s="2695"/>
      <c r="E13" s="2593">
        <f>IF(OR(A13=0,F13="否"),0,'数据-取费表'!K13+'数据-取费表'!S13)</f>
        <v>0</v>
      </c>
      <c r="F13" s="1863" t="s">
        <v>1656</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865" t="s">
        <v>1660</v>
      </c>
      <c r="C1" s="1225" t="s">
        <v>1661</v>
      </c>
      <c r="D1" s="1212"/>
      <c r="E1" s="3403"/>
      <c r="F1" s="1866"/>
      <c r="G1" s="1222" t="s">
        <v>1662</v>
      </c>
      <c r="H1" s="1221"/>
      <c r="I1" s="1221"/>
      <c r="J1" s="1221"/>
      <c r="K1" s="1223"/>
      <c r="L1" s="1224"/>
      <c r="M1" s="1225"/>
      <c r="N1" s="1225"/>
      <c r="O1" s="1225"/>
      <c r="P1" s="1867"/>
      <c r="Q1" s="1211"/>
      <c r="R1" s="1211"/>
      <c r="S1" s="1211"/>
      <c r="T1" s="1211"/>
      <c r="U1" s="1211"/>
      <c r="V1" s="1211"/>
      <c r="W1" s="1211"/>
      <c r="X1" s="1211"/>
      <c r="Y1" s="1211"/>
      <c r="Z1" s="1211"/>
      <c r="AA1" s="1211"/>
      <c r="AB1" s="1211"/>
      <c r="AC1" s="1219"/>
    </row>
    <row r="2" spans="1:29" s="337" customFormat="1" ht="28.5" customHeight="1" thickTop="1">
      <c r="A2" s="1208" t="s">
        <v>685</v>
      </c>
      <c r="B2" s="3404" t="b">
        <f>IF(E1="项目模式",IF(C2="——",ROUND(C49*D3/10000,0),ROUND(C49*D3/10000,0)-D2),IF(E1="单套模式",IF(C2="——",ROUND(C49*D3/10000,4),ROUND(C49*D3/10000,4)-D2)))</f>
        <v>0</v>
      </c>
      <c r="C2" s="1868"/>
      <c r="D2" s="1102" t="e">
        <f ca="1">IF(E1="项目模式",SUMIF(INDIRECT("'"&amp;F2&amp;"'"&amp;"!A:A"),"承租人权益价值",INDIRECT("'"&amp;F2&amp;"'"&amp;"!c:c")),SUMIF(INDIRECT("'"&amp;F2&amp;"'"&amp;"!A:A"),"承租人权益价值（单套）",INDIRECT("'"&amp;F2&amp;"'"&amp;"!c:c")))</f>
        <v>#REF!</v>
      </c>
      <c r="E2" s="1869" t="s">
        <v>1663</v>
      </c>
      <c r="F2" s="1870"/>
      <c r="G2" s="894"/>
      <c r="H2" s="894"/>
      <c r="I2" s="894"/>
      <c r="J2" s="894"/>
      <c r="K2" s="1871"/>
      <c r="L2" s="2698"/>
      <c r="M2" s="2699"/>
      <c r="N2" s="2699"/>
      <c r="O2" s="2699"/>
      <c r="P2" s="1872"/>
      <c r="Q2" s="1873"/>
      <c r="R2" s="1873"/>
      <c r="S2" s="1873"/>
      <c r="T2" s="1873"/>
      <c r="U2" s="1873"/>
      <c r="V2" s="1873"/>
      <c r="W2" s="1873"/>
      <c r="X2" s="1873"/>
      <c r="Y2" s="1873"/>
      <c r="Z2" s="1873"/>
      <c r="AA2" s="1873"/>
      <c r="AB2" s="1873"/>
      <c r="AC2" s="1874"/>
    </row>
    <row r="3" spans="1:29" s="337" customFormat="1" ht="28.5" customHeight="1" thickBot="1">
      <c r="A3" s="193" t="s">
        <v>686</v>
      </c>
      <c r="B3" s="343">
        <f>IF(C2="——",C49,ROUND(B2*10000/D3,0))</f>
        <v>0</v>
      </c>
      <c r="C3" s="344" t="s">
        <v>1664</v>
      </c>
      <c r="D3" s="343">
        <f>IF(D1="",'数据-汇总表'!E3,SUMIF('数据-汇总表'!$C19:$C33,D1,'数据-汇总表'!$E19:$E33))</f>
        <v>98312.17</v>
      </c>
      <c r="E3" s="894"/>
      <c r="F3" s="1875"/>
      <c r="G3" s="894"/>
      <c r="H3" s="894"/>
      <c r="I3" s="894"/>
      <c r="J3" s="894"/>
      <c r="K3" s="1871"/>
      <c r="L3" s="2698"/>
      <c r="M3" s="2699"/>
      <c r="N3" s="2699"/>
      <c r="O3" s="2699"/>
      <c r="P3" s="1872"/>
      <c r="Q3" s="1873"/>
      <c r="R3" s="1873"/>
      <c r="S3" s="1873"/>
      <c r="T3" s="1873"/>
      <c r="U3" s="1873"/>
      <c r="V3" s="1873"/>
      <c r="W3" s="1873"/>
      <c r="X3" s="1873"/>
      <c r="Y3" s="1873"/>
      <c r="Z3" s="1873"/>
      <c r="AA3" s="1873"/>
      <c r="AB3" s="1873"/>
      <c r="AC3" s="1048"/>
    </row>
    <row r="4" spans="1:29" ht="15">
      <c r="A4" s="345" t="s">
        <v>1665</v>
      </c>
      <c r="B4" s="346"/>
      <c r="C4" s="3719" t="s">
        <v>1666</v>
      </c>
      <c r="D4" s="3720"/>
      <c r="E4" s="3721" t="s">
        <v>1667</v>
      </c>
      <c r="F4" s="3722"/>
      <c r="G4" s="3719" t="s">
        <v>1668</v>
      </c>
      <c r="H4" s="3720"/>
      <c r="I4" s="3719" t="s">
        <v>1669</v>
      </c>
      <c r="J4" s="3720"/>
      <c r="K4" s="1876" t="s">
        <v>1670</v>
      </c>
      <c r="L4" s="2700"/>
      <c r="M4" s="2701"/>
      <c r="N4" s="2701"/>
      <c r="O4" s="2701"/>
      <c r="P4" s="3723" t="s">
        <v>1671</v>
      </c>
      <c r="Q4" s="3724"/>
      <c r="R4" s="3729" t="s">
        <v>1667</v>
      </c>
      <c r="S4" s="3730"/>
      <c r="T4" s="3729" t="s">
        <v>1668</v>
      </c>
      <c r="U4" s="3730"/>
      <c r="V4" s="3714" t="s">
        <v>1669</v>
      </c>
      <c r="W4" s="3714"/>
      <c r="X4" s="1342"/>
      <c r="Y4" s="3729" t="s">
        <v>1671</v>
      </c>
      <c r="Z4" s="3730"/>
      <c r="AA4" s="3716" t="s">
        <v>1667</v>
      </c>
      <c r="AB4" s="3716" t="s">
        <v>1668</v>
      </c>
      <c r="AC4" s="3716" t="s">
        <v>1669</v>
      </c>
    </row>
    <row r="5" spans="1:29" ht="15">
      <c r="A5" s="348"/>
      <c r="B5" s="349"/>
      <c r="C5" s="3737" t="s">
        <v>1672</v>
      </c>
      <c r="D5" s="3738"/>
      <c r="E5" s="3776" t="s">
        <v>1673</v>
      </c>
      <c r="F5" s="3746"/>
      <c r="G5" s="3737" t="s">
        <v>1674</v>
      </c>
      <c r="H5" s="3738"/>
      <c r="I5" s="3737" t="s">
        <v>1675</v>
      </c>
      <c r="J5" s="3738"/>
      <c r="K5" s="1877"/>
      <c r="L5" s="2700"/>
      <c r="M5" s="2701"/>
      <c r="N5" s="2701"/>
      <c r="O5" s="2701"/>
      <c r="P5" s="3725"/>
      <c r="Q5" s="3726"/>
      <c r="R5" s="3731"/>
      <c r="S5" s="3732"/>
      <c r="T5" s="3731"/>
      <c r="U5" s="3732"/>
      <c r="V5" s="3714"/>
      <c r="W5" s="3714"/>
      <c r="X5" s="1342"/>
      <c r="Y5" s="3731"/>
      <c r="Z5" s="3732"/>
      <c r="AA5" s="3717"/>
      <c r="AB5" s="3717"/>
      <c r="AC5" s="3717"/>
    </row>
    <row r="6" spans="1:29" ht="15.75" thickBot="1">
      <c r="A6" s="350"/>
      <c r="B6" s="351"/>
      <c r="C6" s="3735" t="s">
        <v>1676</v>
      </c>
      <c r="D6" s="3736"/>
      <c r="E6" s="3743" t="s">
        <v>1676</v>
      </c>
      <c r="F6" s="3744"/>
      <c r="G6" s="3735" t="s">
        <v>1676</v>
      </c>
      <c r="H6" s="3736"/>
      <c r="I6" s="3735" t="s">
        <v>1676</v>
      </c>
      <c r="J6" s="3736"/>
      <c r="K6" s="1877" t="s">
        <v>1677</v>
      </c>
      <c r="L6" s="2700"/>
      <c r="M6" s="2701"/>
      <c r="N6" s="2701"/>
      <c r="O6" s="2701"/>
      <c r="P6" s="3727"/>
      <c r="Q6" s="3728"/>
      <c r="R6" s="3731"/>
      <c r="S6" s="3732"/>
      <c r="T6" s="3733"/>
      <c r="U6" s="3734"/>
      <c r="V6" s="3714"/>
      <c r="W6" s="3714"/>
      <c r="X6" s="1342"/>
      <c r="Y6" s="3733"/>
      <c r="Z6" s="3734"/>
      <c r="AA6" s="3718"/>
      <c r="AB6" s="3718"/>
      <c r="AC6" s="3718"/>
    </row>
    <row r="7" spans="1:29" s="105" customFormat="1" ht="15.75" thickBot="1">
      <c r="A7" s="352" t="s">
        <v>1678</v>
      </c>
      <c r="B7" s="353"/>
      <c r="C7" s="354">
        <f>'数据-取费表'!B2</f>
        <v>45373</v>
      </c>
      <c r="D7" s="355">
        <v>100</v>
      </c>
      <c r="E7" s="356"/>
      <c r="F7" s="357">
        <f>SUMIF(58:58,YEAR(E7)&amp;"-"&amp;MONTH(E7),59:59)</f>
        <v>0</v>
      </c>
      <c r="G7" s="356"/>
      <c r="H7" s="355">
        <f>SUMIF(58:58,YEAR(G7)&amp;"-"&amp;MONTH(G7),59:59)</f>
        <v>0</v>
      </c>
      <c r="I7" s="356"/>
      <c r="J7" s="355">
        <f>SUMIF(58:58,YEAR(I7)&amp;"-"&amp;MONTH(I7),59:59)</f>
        <v>0</v>
      </c>
      <c r="K7" s="1878"/>
      <c r="L7" s="2702"/>
      <c r="M7" s="2703"/>
      <c r="N7" s="2703"/>
      <c r="O7" s="2703"/>
      <c r="P7" s="3739" t="s">
        <v>1679</v>
      </c>
      <c r="Q7" s="3741"/>
      <c r="R7" s="688" t="s">
        <v>20</v>
      </c>
      <c r="S7" s="689">
        <f t="shared" ref="S7:S15" si="0">F7</f>
        <v>0</v>
      </c>
      <c r="T7" s="688" t="s">
        <v>20</v>
      </c>
      <c r="U7" s="689">
        <f t="shared" ref="U7:U15" si="1">H7</f>
        <v>0</v>
      </c>
      <c r="V7" s="688" t="s">
        <v>20</v>
      </c>
      <c r="W7" s="689">
        <f t="shared" ref="W7:W15" si="2">J7</f>
        <v>0</v>
      </c>
      <c r="X7" s="690"/>
      <c r="Y7" s="3739" t="s">
        <v>1679</v>
      </c>
      <c r="Z7" s="3740"/>
      <c r="AA7" s="691" t="e">
        <f>D7/F7</f>
        <v>#DIV/0!</v>
      </c>
      <c r="AB7" s="691" t="e">
        <f>D7/H7</f>
        <v>#DIV/0!</v>
      </c>
      <c r="AC7" s="691" t="e">
        <f>D7/J7</f>
        <v>#DIV/0!</v>
      </c>
    </row>
    <row r="8" spans="1:29" s="105" customFormat="1" ht="15.75" thickBot="1">
      <c r="A8" s="352" t="s">
        <v>1680</v>
      </c>
      <c r="B8" s="353"/>
      <c r="C8" s="358"/>
      <c r="D8" s="355">
        <v>100</v>
      </c>
      <c r="E8" s="1879"/>
      <c r="F8" s="357">
        <f>SUMIF(61:61,E8,62:62)-SUMIF(61:61,C8,62:62)+100</f>
        <v>100</v>
      </c>
      <c r="G8" s="358"/>
      <c r="H8" s="355">
        <f>SUMIF(61:61,G8,62:62)-SUMIF(61:61,C8,62:62)+100</f>
        <v>100</v>
      </c>
      <c r="I8" s="1879"/>
      <c r="J8" s="355">
        <f>SUMIF(61:61,I8,62:62)-SUMIF(61:61,C8,62:62)+100</f>
        <v>100</v>
      </c>
      <c r="K8" s="1878"/>
      <c r="L8" s="2702"/>
      <c r="M8" s="2703"/>
      <c r="N8" s="2703"/>
      <c r="O8" s="2703"/>
      <c r="P8" s="3739" t="s">
        <v>1682</v>
      </c>
      <c r="Q8" s="3740"/>
      <c r="R8" s="688" t="s">
        <v>20</v>
      </c>
      <c r="S8" s="689">
        <f t="shared" si="0"/>
        <v>100</v>
      </c>
      <c r="T8" s="688" t="s">
        <v>20</v>
      </c>
      <c r="U8" s="689">
        <f t="shared" si="1"/>
        <v>100</v>
      </c>
      <c r="V8" s="688" t="s">
        <v>20</v>
      </c>
      <c r="W8" s="689">
        <f t="shared" si="2"/>
        <v>100</v>
      </c>
      <c r="X8" s="690"/>
      <c r="Y8" s="3739" t="s">
        <v>1682</v>
      </c>
      <c r="Z8" s="3740"/>
      <c r="AA8" s="691">
        <f t="shared" ref="AA8:AA19" si="3">D8/F8</f>
        <v>1</v>
      </c>
      <c r="AB8" s="691">
        <f t="shared" ref="AB8:AB19" si="4">D8/H8</f>
        <v>1</v>
      </c>
      <c r="AC8" s="691">
        <f t="shared" ref="AC8:AC19" si="5">D8/J8</f>
        <v>1</v>
      </c>
    </row>
    <row r="9" spans="1:29" s="105" customFormat="1">
      <c r="A9" s="359" t="s">
        <v>1683</v>
      </c>
      <c r="B9" s="63" t="s">
        <v>1684</v>
      </c>
      <c r="C9" s="360"/>
      <c r="D9" s="116">
        <v>100</v>
      </c>
      <c r="E9" s="361"/>
      <c r="F9" s="362">
        <f>SUMIF(63:63,E9,64:64)-SUMIF(63:63,C9,64:64)+100</f>
        <v>100</v>
      </c>
      <c r="G9" s="363"/>
      <c r="H9" s="116">
        <f>SUMIF(63:63,G9,64:64)-SUMIF(63:63,C9,64:64)+100</f>
        <v>100</v>
      </c>
      <c r="I9" s="363"/>
      <c r="J9" s="116">
        <f>SUMIF(63:63,I9,64:64)-SUMIF(63:63,C9,64:64)+100</f>
        <v>100</v>
      </c>
      <c r="K9" s="1878"/>
      <c r="L9" s="2702"/>
      <c r="M9" s="2703"/>
      <c r="N9" s="2703"/>
      <c r="O9" s="2703"/>
      <c r="P9" s="3715" t="s">
        <v>1685</v>
      </c>
      <c r="Q9" s="1330" t="str">
        <f t="shared" ref="Q9:Q15" si="6">B9</f>
        <v>用途</v>
      </c>
      <c r="R9" s="688" t="s">
        <v>14</v>
      </c>
      <c r="S9" s="689">
        <f t="shared" si="0"/>
        <v>100</v>
      </c>
      <c r="T9" s="688" t="s">
        <v>14</v>
      </c>
      <c r="U9" s="689">
        <f t="shared" si="1"/>
        <v>100</v>
      </c>
      <c r="V9" s="688" t="s">
        <v>14</v>
      </c>
      <c r="W9" s="689">
        <f t="shared" si="2"/>
        <v>100</v>
      </c>
      <c r="X9" s="690"/>
      <c r="Y9" s="3607"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2"/>
      <c r="F10" s="366">
        <f>SUMIF(65:65,E10,66:66)-SUMIF(65:65,C10,66:66)+100</f>
        <v>100</v>
      </c>
      <c r="G10" s="3411"/>
      <c r="H10" s="117">
        <f>SUMIF(65:65,G10,66:66)-SUMIF(65:65,C10,66:66)+100</f>
        <v>100</v>
      </c>
      <c r="I10" s="3411"/>
      <c r="J10" s="117">
        <f>SUMIF(65:65,I10,66:66)-SUMIF(65:65,C10,66:66)+100</f>
        <v>100</v>
      </c>
      <c r="K10" s="1878"/>
      <c r="L10" s="2704"/>
      <c r="M10" s="2705"/>
      <c r="N10" s="2705"/>
      <c r="O10" s="2705"/>
      <c r="P10" s="3715"/>
      <c r="Q10" s="1330"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365" t="s">
        <v>1688</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6"/>
      <c r="M11" s="2701"/>
      <c r="N11" s="2701"/>
      <c r="O11" s="2701"/>
      <c r="P11" s="3715"/>
      <c r="Q11" s="1330" t="str">
        <f t="shared" si="6"/>
        <v>容积率</v>
      </c>
      <c r="R11" s="688" t="s">
        <v>18</v>
      </c>
      <c r="S11" s="689" t="e">
        <f t="shared" si="0"/>
        <v>#N/A</v>
      </c>
      <c r="T11" s="688" t="s">
        <v>18</v>
      </c>
      <c r="U11" s="689" t="e">
        <f t="shared" si="1"/>
        <v>#N/A</v>
      </c>
      <c r="V11" s="688" t="s">
        <v>18</v>
      </c>
      <c r="W11" s="689" t="e">
        <f t="shared" si="2"/>
        <v>#N/A</v>
      </c>
      <c r="X11" s="690"/>
      <c r="Y11" s="3607"/>
      <c r="Z11" s="52" t="str">
        <f t="shared" si="7"/>
        <v>容积率</v>
      </c>
      <c r="AA11" s="691" t="e">
        <f t="shared" si="3"/>
        <v>#N/A</v>
      </c>
      <c r="AB11" s="691" t="e">
        <f t="shared" si="4"/>
        <v>#N/A</v>
      </c>
      <c r="AC11" s="691" t="e">
        <f t="shared" si="5"/>
        <v>#N/A</v>
      </c>
    </row>
    <row r="12" spans="1:29" s="105" customFormat="1" ht="15">
      <c r="A12" s="372"/>
      <c r="B12" s="1880">
        <v>111</v>
      </c>
      <c r="C12" s="373"/>
      <c r="D12" s="374">
        <v>100</v>
      </c>
      <c r="E12" s="373"/>
      <c r="F12" s="366">
        <f>SUMIF(70:70,E12,71:71)-SUMIF(70:70,C12,71:71)+100</f>
        <v>100</v>
      </c>
      <c r="G12" s="373"/>
      <c r="H12" s="117">
        <f>SUMIF(70:70,G12,71:71)-SUMIF(70:70,C12,71:71)+100</f>
        <v>100</v>
      </c>
      <c r="I12" s="373"/>
      <c r="J12" s="117">
        <f>SUMIF(70:70,I12,71:71)-SUMIF(70:70,C12,71:71)+100</f>
        <v>100</v>
      </c>
      <c r="K12" s="1881"/>
      <c r="L12" s="2702"/>
      <c r="M12" s="2703"/>
      <c r="N12" s="2703"/>
      <c r="O12" s="2703"/>
      <c r="P12" s="3715"/>
      <c r="Q12" s="1330">
        <f t="shared" si="6"/>
        <v>111</v>
      </c>
      <c r="R12" s="688" t="s">
        <v>18</v>
      </c>
      <c r="S12" s="689">
        <f t="shared" si="0"/>
        <v>100</v>
      </c>
      <c r="T12" s="688" t="s">
        <v>18</v>
      </c>
      <c r="U12" s="689">
        <f t="shared" si="1"/>
        <v>100</v>
      </c>
      <c r="V12" s="688" t="s">
        <v>18</v>
      </c>
      <c r="W12" s="689">
        <f t="shared" si="2"/>
        <v>100</v>
      </c>
      <c r="X12" s="690"/>
      <c r="Y12" s="3607"/>
      <c r="Z12" s="52">
        <f t="shared" si="7"/>
        <v>111</v>
      </c>
      <c r="AA12" s="691">
        <f>D12/F12</f>
        <v>1</v>
      </c>
      <c r="AB12" s="691">
        <f>D12/H12</f>
        <v>1</v>
      </c>
      <c r="AC12" s="691">
        <f>D12/J12</f>
        <v>1</v>
      </c>
    </row>
    <row r="13" spans="1:29" ht="15">
      <c r="A13" s="369"/>
      <c r="B13" s="1880">
        <v>111</v>
      </c>
      <c r="C13" s="375"/>
      <c r="D13" s="376">
        <v>100</v>
      </c>
      <c r="E13" s="375"/>
      <c r="F13" s="366">
        <f>SUMIF(72:72,E13,73:73)-SUMIF(72:72,C13,73:73)+100</f>
        <v>100</v>
      </c>
      <c r="G13" s="375"/>
      <c r="H13" s="376">
        <f>SUMIF(72:72,G13,73:73)-SUMIF(72:72,C13,73:73)+100</f>
        <v>100</v>
      </c>
      <c r="I13" s="375"/>
      <c r="J13" s="376">
        <f>SUMIF(72:72,I13,73:73)-SUMIF(72:72,C13,73:73)+100</f>
        <v>100</v>
      </c>
      <c r="K13" s="1881"/>
      <c r="L13" s="2707"/>
      <c r="M13" s="2701"/>
      <c r="N13" s="2701"/>
      <c r="O13" s="2701"/>
      <c r="P13" s="3715"/>
      <c r="Q13" s="1330">
        <f t="shared" si="6"/>
        <v>111</v>
      </c>
      <c r="R13" s="688" t="s">
        <v>18</v>
      </c>
      <c r="S13" s="689">
        <f t="shared" si="0"/>
        <v>100</v>
      </c>
      <c r="T13" s="688" t="s">
        <v>18</v>
      </c>
      <c r="U13" s="689">
        <f t="shared" si="1"/>
        <v>100</v>
      </c>
      <c r="V13" s="688" t="s">
        <v>18</v>
      </c>
      <c r="W13" s="689">
        <f t="shared" si="2"/>
        <v>100</v>
      </c>
      <c r="X13" s="690"/>
      <c r="Y13" s="3607"/>
      <c r="Z13" s="52">
        <f t="shared" si="7"/>
        <v>111</v>
      </c>
      <c r="AA13" s="691">
        <f t="shared" si="3"/>
        <v>1</v>
      </c>
      <c r="AB13" s="691">
        <f t="shared" si="4"/>
        <v>1</v>
      </c>
      <c r="AC13" s="691">
        <f t="shared" si="5"/>
        <v>1</v>
      </c>
    </row>
    <row r="14" spans="1:29" ht="15.75" thickBot="1">
      <c r="A14" s="377"/>
      <c r="B14" s="1882">
        <v>111</v>
      </c>
      <c r="C14" s="378"/>
      <c r="D14" s="379">
        <v>100</v>
      </c>
      <c r="E14" s="378"/>
      <c r="F14" s="380">
        <f>SUMIF(74:74,E14,75:75)-SUMIF(74:74,C14,75:75)+100</f>
        <v>100</v>
      </c>
      <c r="G14" s="378"/>
      <c r="H14" s="379">
        <f>SUMIF(74:74,G14,75:75)-SUMIF(74:74,C14,75:75)+100</f>
        <v>100</v>
      </c>
      <c r="I14" s="378"/>
      <c r="J14" s="379">
        <f>SUMIF(74:74,I14,75:75)-SUMIF(74:74,C14,75:75)+100</f>
        <v>100</v>
      </c>
      <c r="K14" s="1881"/>
      <c r="L14" s="2707"/>
      <c r="M14" s="2701"/>
      <c r="N14" s="2701"/>
      <c r="O14" s="2701"/>
      <c r="P14" s="3715"/>
      <c r="Q14" s="1330">
        <f t="shared" si="6"/>
        <v>111</v>
      </c>
      <c r="R14" s="688" t="s">
        <v>18</v>
      </c>
      <c r="S14" s="689">
        <f t="shared" si="0"/>
        <v>100</v>
      </c>
      <c r="T14" s="688" t="s">
        <v>18</v>
      </c>
      <c r="U14" s="689">
        <f t="shared" si="1"/>
        <v>100</v>
      </c>
      <c r="V14" s="688" t="s">
        <v>18</v>
      </c>
      <c r="W14" s="689">
        <f t="shared" si="2"/>
        <v>100</v>
      </c>
      <c r="X14" s="690"/>
      <c r="Y14" s="3607"/>
      <c r="Z14" s="52">
        <f t="shared" si="7"/>
        <v>111</v>
      </c>
      <c r="AA14" s="691">
        <f t="shared" si="3"/>
        <v>1</v>
      </c>
      <c r="AB14" s="691">
        <f t="shared" si="4"/>
        <v>1</v>
      </c>
      <c r="AC14" s="691">
        <f t="shared" si="5"/>
        <v>1</v>
      </c>
    </row>
    <row r="15" spans="1:29" ht="15">
      <c r="A15" s="381" t="s">
        <v>1689</v>
      </c>
      <c r="B15" s="61" t="s">
        <v>1257</v>
      </c>
      <c r="C15" s="1883">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7"/>
      <c r="M15" s="2701"/>
      <c r="N15" s="2701"/>
      <c r="O15" s="2701"/>
      <c r="P15" s="3705" t="s">
        <v>1690</v>
      </c>
      <c r="Q15" s="1339" t="str">
        <f t="shared" si="6"/>
        <v>居住社区成熟度</v>
      </c>
      <c r="R15" s="692" t="s">
        <v>18</v>
      </c>
      <c r="S15" s="693">
        <f t="shared" si="0"/>
        <v>100</v>
      </c>
      <c r="T15" s="692" t="s">
        <v>18</v>
      </c>
      <c r="U15" s="693">
        <f t="shared" si="1"/>
        <v>100</v>
      </c>
      <c r="V15" s="692" t="s">
        <v>18</v>
      </c>
      <c r="W15" s="693">
        <f t="shared" si="2"/>
        <v>100</v>
      </c>
      <c r="X15" s="1342"/>
      <c r="Y15" s="3707" t="s">
        <v>1690</v>
      </c>
      <c r="Z15" s="1343" t="str">
        <f t="shared" si="7"/>
        <v>居住社区成熟度</v>
      </c>
      <c r="AA15" s="1340">
        <f t="shared" si="3"/>
        <v>1</v>
      </c>
      <c r="AB15" s="1340">
        <f t="shared" si="4"/>
        <v>1</v>
      </c>
      <c r="AC15" s="1340">
        <f t="shared" si="5"/>
        <v>1</v>
      </c>
    </row>
    <row r="16" spans="1:29" ht="15">
      <c r="A16" s="369"/>
      <c r="B16" s="387"/>
      <c r="C16" s="388"/>
      <c r="D16" s="389"/>
      <c r="E16" s="1884"/>
      <c r="F16" s="389"/>
      <c r="G16" s="1885"/>
      <c r="H16" s="391"/>
      <c r="I16" s="1885"/>
      <c r="J16" s="389"/>
      <c r="K16" s="1886"/>
      <c r="L16" s="2707"/>
      <c r="M16" s="2701"/>
      <c r="N16" s="2701"/>
      <c r="O16" s="2701"/>
      <c r="P16" s="3706"/>
      <c r="Q16" s="1339"/>
      <c r="R16" s="692"/>
      <c r="S16" s="693"/>
      <c r="T16" s="692"/>
      <c r="U16" s="693"/>
      <c r="V16" s="692"/>
      <c r="W16" s="693"/>
      <c r="X16" s="1342"/>
      <c r="Y16" s="3708"/>
      <c r="Z16" s="1343"/>
      <c r="AA16" s="1340">
        <v>1</v>
      </c>
      <c r="AB16" s="1340">
        <v>1</v>
      </c>
      <c r="AC16" s="1340">
        <v>1</v>
      </c>
    </row>
    <row r="17" spans="1:29" ht="71.25">
      <c r="A17" s="369"/>
      <c r="B17" s="392" t="s">
        <v>1259</v>
      </c>
      <c r="C17" s="1887" t="str">
        <f>估价对象房地状况!C6</f>
        <v>估价对象周边道路状况、公共交通通达情况、停车便捷程度，综合评价交通便捷度较好</v>
      </c>
      <c r="D17" s="391">
        <v>100</v>
      </c>
      <c r="E17" s="395"/>
      <c r="F17" s="391">
        <f>SUMIF(78:78,E18,79:79)-SUMIF(78:78,C18,79:79)+100</f>
        <v>100</v>
      </c>
      <c r="G17" s="393"/>
      <c r="H17" s="396">
        <f>SUMIF(78:78,G18,79:79)-SUMIF(78:78,C18,79:79)+100</f>
        <v>100</v>
      </c>
      <c r="I17" s="393"/>
      <c r="J17" s="396">
        <f>SUMIF(78:78,I18,79:79)-SUMIF(78:78,C18,79:79)+100</f>
        <v>100</v>
      </c>
      <c r="K17" s="386"/>
      <c r="L17" s="2707"/>
      <c r="M17" s="2701"/>
      <c r="N17" s="2701"/>
      <c r="O17" s="2701"/>
      <c r="P17" s="3706"/>
      <c r="Q17" s="1339" t="str">
        <f>B17</f>
        <v>交通便捷度</v>
      </c>
      <c r="R17" s="692" t="s">
        <v>18</v>
      </c>
      <c r="S17" s="693">
        <f>F17</f>
        <v>100</v>
      </c>
      <c r="T17" s="692" t="s">
        <v>18</v>
      </c>
      <c r="U17" s="693">
        <f>H17</f>
        <v>100</v>
      </c>
      <c r="V17" s="692" t="s">
        <v>18</v>
      </c>
      <c r="W17" s="693">
        <f>J17</f>
        <v>100</v>
      </c>
      <c r="X17" s="1342"/>
      <c r="Y17" s="3708"/>
      <c r="Z17" s="1343" t="str">
        <f>Q17</f>
        <v>交通便捷度</v>
      </c>
      <c r="AA17" s="1340">
        <f t="shared" si="3"/>
        <v>1</v>
      </c>
      <c r="AB17" s="1340">
        <f t="shared" si="4"/>
        <v>1</v>
      </c>
      <c r="AC17" s="1340">
        <f t="shared" si="5"/>
        <v>1</v>
      </c>
    </row>
    <row r="18" spans="1:29" ht="15">
      <c r="A18" s="369"/>
      <c r="B18" s="397"/>
      <c r="C18" s="1888"/>
      <c r="D18" s="391"/>
      <c r="E18" s="1889"/>
      <c r="F18" s="391"/>
      <c r="G18" s="1890"/>
      <c r="H18" s="389"/>
      <c r="I18" s="1890"/>
      <c r="J18" s="389"/>
      <c r="K18" s="1886"/>
      <c r="L18" s="2707"/>
      <c r="M18" s="2701"/>
      <c r="N18" s="2701"/>
      <c r="O18" s="2701"/>
      <c r="P18" s="3706"/>
      <c r="Q18" s="1339"/>
      <c r="R18" s="692"/>
      <c r="S18" s="693"/>
      <c r="T18" s="692"/>
      <c r="U18" s="693"/>
      <c r="V18" s="692"/>
      <c r="W18" s="693"/>
      <c r="X18" s="1342"/>
      <c r="Y18" s="3708"/>
      <c r="Z18" s="1343"/>
      <c r="AA18" s="1340">
        <v>1</v>
      </c>
      <c r="AB18" s="1340">
        <v>1</v>
      </c>
      <c r="AC18" s="1340">
        <v>1</v>
      </c>
    </row>
    <row r="19" spans="1:29" ht="42.75">
      <c r="A19" s="369"/>
      <c r="B19" s="392" t="s">
        <v>1258</v>
      </c>
      <c r="C19" s="1887" t="str">
        <f>估价对象房地状况!C7</f>
        <v>估价对象所在区域公共配套设施齐备情况较好</v>
      </c>
      <c r="D19" s="396">
        <v>100</v>
      </c>
      <c r="E19" s="400"/>
      <c r="F19" s="396">
        <f>SUMIF(80:80,E20,81:81)-SUMIF(80:80,C20,81:81)+100</f>
        <v>100</v>
      </c>
      <c r="G19" s="398"/>
      <c r="H19" s="391">
        <f>SUMIF(80:80,G20,81:81)-SUMIF(80:80,C20,81:81)+100</f>
        <v>100</v>
      </c>
      <c r="I19" s="398"/>
      <c r="J19" s="391">
        <f>SUMIF(80:80,I20,81:81)-SUMIF(80:80,C20,81:81)+100</f>
        <v>100</v>
      </c>
      <c r="K19" s="386"/>
      <c r="L19" s="2707"/>
      <c r="M19" s="2701"/>
      <c r="N19" s="2701"/>
      <c r="O19" s="2701"/>
      <c r="P19" s="3706"/>
      <c r="Q19" s="1339" t="str">
        <f>B19</f>
        <v>公共配套设施</v>
      </c>
      <c r="R19" s="692" t="s">
        <v>18</v>
      </c>
      <c r="S19" s="693">
        <f>F19</f>
        <v>100</v>
      </c>
      <c r="T19" s="692" t="s">
        <v>18</v>
      </c>
      <c r="U19" s="693">
        <f>H19</f>
        <v>100</v>
      </c>
      <c r="V19" s="692" t="s">
        <v>18</v>
      </c>
      <c r="W19" s="693">
        <f>J19</f>
        <v>100</v>
      </c>
      <c r="X19" s="1342"/>
      <c r="Y19" s="3708"/>
      <c r="Z19" s="1343" t="str">
        <f>Q19</f>
        <v>公共配套设施</v>
      </c>
      <c r="AA19" s="1340">
        <f t="shared" si="3"/>
        <v>1</v>
      </c>
      <c r="AB19" s="1340">
        <f t="shared" si="4"/>
        <v>1</v>
      </c>
      <c r="AC19" s="1340">
        <f t="shared" si="5"/>
        <v>1</v>
      </c>
    </row>
    <row r="20" spans="1:29" ht="15">
      <c r="A20" s="369"/>
      <c r="B20" s="397"/>
      <c r="C20" s="388"/>
      <c r="D20" s="389"/>
      <c r="E20" s="1884"/>
      <c r="F20" s="389"/>
      <c r="G20" s="1885"/>
      <c r="H20" s="389"/>
      <c r="I20" s="1885"/>
      <c r="J20" s="389"/>
      <c r="K20" s="1886"/>
      <c r="L20" s="2707"/>
      <c r="M20" s="2701"/>
      <c r="N20" s="2701"/>
      <c r="O20" s="2701"/>
      <c r="P20" s="3706"/>
      <c r="Q20" s="1339"/>
      <c r="R20" s="692"/>
      <c r="S20" s="693"/>
      <c r="T20" s="692"/>
      <c r="U20" s="693"/>
      <c r="V20" s="692"/>
      <c r="W20" s="693"/>
      <c r="X20" s="1342"/>
      <c r="Y20" s="3708"/>
      <c r="Z20" s="1343"/>
      <c r="AA20" s="1340">
        <v>1</v>
      </c>
      <c r="AB20" s="1340">
        <v>1</v>
      </c>
      <c r="AC20" s="1340">
        <v>1</v>
      </c>
    </row>
    <row r="21" spans="1:29" ht="15">
      <c r="A21" s="369"/>
      <c r="B21" s="1118" t="s">
        <v>1260</v>
      </c>
      <c r="C21" s="1887" t="str">
        <f>估价对象房地状况!C8</f>
        <v>七通</v>
      </c>
      <c r="D21" s="391">
        <v>100</v>
      </c>
      <c r="E21" s="400"/>
      <c r="F21" s="396">
        <f>SUMIF(82:82,E22,83:83)-SUMIF(82:82,C22,83:83)+100</f>
        <v>100</v>
      </c>
      <c r="G21" s="398"/>
      <c r="H21" s="391">
        <f>SUMIF(82:82,G22,83:83)-SUMIF(82:82,C22,83:83)+100</f>
        <v>100</v>
      </c>
      <c r="I21" s="398"/>
      <c r="J21" s="391">
        <f>SUMIF(82:82,I22,83:83)-SUMIF(82:82,C22,83:83)+100</f>
        <v>100</v>
      </c>
      <c r="K21" s="386"/>
      <c r="L21" s="2707"/>
      <c r="M21" s="2701"/>
      <c r="N21" s="2701"/>
      <c r="O21" s="2701"/>
      <c r="P21" s="3706"/>
      <c r="Q21" s="1339" t="str">
        <f>B21</f>
        <v>基础设施水平</v>
      </c>
      <c r="R21" s="692" t="s">
        <v>14</v>
      </c>
      <c r="S21" s="693">
        <f>F21</f>
        <v>100</v>
      </c>
      <c r="T21" s="692" t="s">
        <v>14</v>
      </c>
      <c r="U21" s="693">
        <f>H21</f>
        <v>100</v>
      </c>
      <c r="V21" s="692" t="s">
        <v>14</v>
      </c>
      <c r="W21" s="693">
        <f>J21</f>
        <v>100</v>
      </c>
      <c r="X21" s="1342"/>
      <c r="Y21" s="3708"/>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89"/>
      <c r="G22" s="1891"/>
      <c r="H22" s="389"/>
      <c r="I22" s="388"/>
      <c r="J22" s="389"/>
      <c r="K22" s="1892"/>
      <c r="L22" s="2707"/>
      <c r="M22" s="2701"/>
      <c r="N22" s="2701"/>
      <c r="O22" s="2701"/>
      <c r="P22" s="3706"/>
      <c r="Q22" s="1339"/>
      <c r="R22" s="692"/>
      <c r="S22" s="693"/>
      <c r="T22" s="692"/>
      <c r="U22" s="693"/>
      <c r="V22" s="692"/>
      <c r="W22" s="693"/>
      <c r="X22" s="1342"/>
      <c r="Y22" s="3708"/>
      <c r="Z22" s="1343"/>
      <c r="AA22" s="1340">
        <v>1</v>
      </c>
      <c r="AB22" s="1340">
        <v>1</v>
      </c>
      <c r="AC22" s="1340">
        <v>1</v>
      </c>
    </row>
    <row r="23" spans="1:29" ht="85.5">
      <c r="A23" s="369"/>
      <c r="B23" s="392" t="s">
        <v>1261</v>
      </c>
      <c r="C23" s="1887" t="str">
        <f>估价对象房地状况!C9</f>
        <v>区域自然环境：蓝靛厂公园、四季曙光公园、南长河公园；人文环境；综合评价环境状况较好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7"/>
      <c r="M23" s="2701"/>
      <c r="N23" s="2701"/>
      <c r="O23" s="2701"/>
      <c r="P23" s="3706"/>
      <c r="Q23" s="1339" t="str">
        <f>B23</f>
        <v>自然及人文环境</v>
      </c>
      <c r="R23" s="692" t="s">
        <v>18</v>
      </c>
      <c r="S23" s="693">
        <f>F23</f>
        <v>100</v>
      </c>
      <c r="T23" s="692" t="s">
        <v>18</v>
      </c>
      <c r="U23" s="693">
        <f>H23</f>
        <v>100</v>
      </c>
      <c r="V23" s="692" t="s">
        <v>18</v>
      </c>
      <c r="W23" s="693">
        <f>J23</f>
        <v>100</v>
      </c>
      <c r="X23" s="1342"/>
      <c r="Y23" s="3708"/>
      <c r="Z23" s="1343" t="str">
        <f>Q23</f>
        <v>自然及人文环境</v>
      </c>
      <c r="AA23" s="1340">
        <f>D23/F23</f>
        <v>1</v>
      </c>
      <c r="AB23" s="1340">
        <f>D23/H23</f>
        <v>1</v>
      </c>
      <c r="AC23" s="1340">
        <f>D23/J23</f>
        <v>1</v>
      </c>
    </row>
    <row r="24" spans="1:29" ht="15">
      <c r="A24" s="369"/>
      <c r="B24" s="397"/>
      <c r="C24" s="388"/>
      <c r="D24" s="389"/>
      <c r="E24" s="1884"/>
      <c r="F24" s="389"/>
      <c r="G24" s="1885"/>
      <c r="H24" s="389"/>
      <c r="I24" s="1885"/>
      <c r="J24" s="389"/>
      <c r="K24" s="1886"/>
      <c r="L24" s="2707"/>
      <c r="M24" s="2701"/>
      <c r="N24" s="2701"/>
      <c r="O24" s="2701"/>
      <c r="P24" s="3706"/>
      <c r="Q24" s="1339"/>
      <c r="R24" s="692"/>
      <c r="S24" s="693"/>
      <c r="T24" s="692"/>
      <c r="U24" s="693"/>
      <c r="V24" s="692"/>
      <c r="W24" s="693"/>
      <c r="X24" s="1342"/>
      <c r="Y24" s="3708"/>
      <c r="Z24" s="1343"/>
      <c r="AA24" s="1340">
        <v>1</v>
      </c>
      <c r="AB24" s="1340">
        <v>1</v>
      </c>
      <c r="AC24" s="1340">
        <v>1</v>
      </c>
    </row>
    <row r="25" spans="1:29" ht="15">
      <c r="A25" s="369"/>
      <c r="B25" s="365" t="s">
        <v>1691</v>
      </c>
      <c r="C25" s="401"/>
      <c r="D25" s="376">
        <v>100</v>
      </c>
      <c r="E25" s="1893"/>
      <c r="F25" s="376">
        <f>SUMIF(86:86,E25,87:87)-SUMIF(86:86,C25,87:87)+100</f>
        <v>100</v>
      </c>
      <c r="G25" s="1894"/>
      <c r="H25" s="376">
        <f>SUMIF(86:86,G25,87:87)-SUMIF(86:86,C25,87:87)+100</f>
        <v>100</v>
      </c>
      <c r="I25" s="1894"/>
      <c r="J25" s="376">
        <f>SUMIF(86:86,I25,87:87)-SUMIF(86:86,C25,87:87)+100</f>
        <v>100</v>
      </c>
      <c r="K25" s="367"/>
      <c r="L25" s="2707"/>
      <c r="M25" s="2701"/>
      <c r="N25" s="2701"/>
      <c r="O25" s="2701"/>
      <c r="P25" s="3706"/>
      <c r="Q25" s="1339" t="str">
        <f t="shared" ref="Q25:Q46" si="11">B25</f>
        <v>楼层-1</v>
      </c>
      <c r="R25" s="692" t="s">
        <v>18</v>
      </c>
      <c r="S25" s="693">
        <f t="shared" ref="S25:S46" si="12">F25</f>
        <v>100</v>
      </c>
      <c r="T25" s="692" t="s">
        <v>18</v>
      </c>
      <c r="U25" s="693">
        <f t="shared" ref="U25:U46" si="13">H25</f>
        <v>100</v>
      </c>
      <c r="V25" s="692" t="s">
        <v>18</v>
      </c>
      <c r="W25" s="693">
        <f t="shared" ref="W25:W46" si="14">J25</f>
        <v>100</v>
      </c>
      <c r="X25" s="1342"/>
      <c r="Y25" s="3708"/>
      <c r="Z25" s="1343" t="str">
        <f>Q25</f>
        <v>楼层-1</v>
      </c>
      <c r="AA25" s="1340">
        <f t="shared" ref="AA25:AA46" si="15">D25/F25</f>
        <v>1</v>
      </c>
      <c r="AB25" s="1340">
        <f t="shared" ref="AB25:AB46" si="16">D25/H25</f>
        <v>1</v>
      </c>
      <c r="AC25" s="1340">
        <f t="shared" ref="AC25:AC46" si="17">D25/J25</f>
        <v>1</v>
      </c>
    </row>
    <row r="26" spans="1:29" ht="15">
      <c r="A26" s="369"/>
      <c r="B26" s="365" t="s">
        <v>1692</v>
      </c>
      <c r="C26" s="401"/>
      <c r="D26" s="376">
        <v>100</v>
      </c>
      <c r="E26" s="1893"/>
      <c r="F26" s="376">
        <f>SUMIF(88:88,E26,89:89)-SUMIF(88:88,C26,89:89)+100</f>
        <v>100</v>
      </c>
      <c r="G26" s="1894"/>
      <c r="H26" s="376">
        <f>SUMIF(88:88,G26,89:89)-SUMIF(88:88,C26,89:89)+100</f>
        <v>100</v>
      </c>
      <c r="I26" s="1894"/>
      <c r="J26" s="376">
        <f>SUMIF(88:88,I26,89:89)-SUMIF(88:88,C26,89:89)+100</f>
        <v>100</v>
      </c>
      <c r="K26" s="367"/>
      <c r="L26" s="2707"/>
      <c r="M26" s="2701"/>
      <c r="N26" s="2701"/>
      <c r="O26" s="2701"/>
      <c r="P26" s="3706"/>
      <c r="Q26" s="1339" t="str">
        <f t="shared" si="11"/>
        <v>朝向</v>
      </c>
      <c r="R26" s="692" t="s">
        <v>18</v>
      </c>
      <c r="S26" s="693">
        <f t="shared" si="12"/>
        <v>100</v>
      </c>
      <c r="T26" s="692" t="s">
        <v>18</v>
      </c>
      <c r="U26" s="693">
        <f t="shared" si="13"/>
        <v>100</v>
      </c>
      <c r="V26" s="692" t="s">
        <v>18</v>
      </c>
      <c r="W26" s="693">
        <f t="shared" si="14"/>
        <v>100</v>
      </c>
      <c r="X26" s="1342"/>
      <c r="Y26" s="3708"/>
      <c r="Z26" s="1343" t="str">
        <f>Q26</f>
        <v>朝向</v>
      </c>
      <c r="AA26" s="1340">
        <f t="shared" si="15"/>
        <v>1</v>
      </c>
      <c r="AB26" s="1340">
        <f t="shared" si="16"/>
        <v>1</v>
      </c>
      <c r="AC26" s="1340">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1"/>
      <c r="L27" s="2702"/>
      <c r="M27" s="2703"/>
      <c r="N27" s="2703"/>
      <c r="O27" s="2703"/>
      <c r="P27" s="3706"/>
      <c r="Q27" s="1330">
        <f t="shared" si="11"/>
        <v>111</v>
      </c>
      <c r="R27" s="688" t="s">
        <v>18</v>
      </c>
      <c r="S27" s="689">
        <f t="shared" si="12"/>
        <v>100</v>
      </c>
      <c r="T27" s="688" t="s">
        <v>18</v>
      </c>
      <c r="U27" s="689">
        <f t="shared" si="13"/>
        <v>100</v>
      </c>
      <c r="V27" s="688" t="s">
        <v>18</v>
      </c>
      <c r="W27" s="689">
        <f t="shared" si="14"/>
        <v>100</v>
      </c>
      <c r="X27" s="690"/>
      <c r="Y27" s="3708"/>
      <c r="Z27" s="52">
        <f>Q27</f>
        <v>111</v>
      </c>
      <c r="AA27" s="1340">
        <f t="shared" si="15"/>
        <v>1</v>
      </c>
      <c r="AB27" s="1340">
        <f t="shared" si="16"/>
        <v>1</v>
      </c>
      <c r="AC27" s="1340">
        <f t="shared" si="17"/>
        <v>1</v>
      </c>
    </row>
    <row r="28" spans="1:29" ht="15">
      <c r="A28" s="369"/>
      <c r="B28" s="1120">
        <v>111</v>
      </c>
      <c r="C28" s="375"/>
      <c r="D28" s="376">
        <v>100</v>
      </c>
      <c r="E28" s="375"/>
      <c r="F28" s="376">
        <f>SUMIF(92:92,E28,93:93)-SUMIF(92:92,C28,93:93)+100</f>
        <v>100</v>
      </c>
      <c r="G28" s="1895"/>
      <c r="H28" s="376">
        <f>SUMIF(92:92,G28,93:93)-SUMIF(92:92,C28,93:93)+100</f>
        <v>100</v>
      </c>
      <c r="I28" s="375"/>
      <c r="J28" s="376">
        <f>SUMIF(92:92,I28,93:93)-SUMIF(92:92,C28,93:93)+100</f>
        <v>100</v>
      </c>
      <c r="K28" s="1881"/>
      <c r="L28" s="2707"/>
      <c r="M28" s="2701"/>
      <c r="N28" s="2701"/>
      <c r="O28" s="2701"/>
      <c r="P28" s="3706"/>
      <c r="Q28" s="1339">
        <f t="shared" si="11"/>
        <v>111</v>
      </c>
      <c r="R28" s="692" t="s">
        <v>18</v>
      </c>
      <c r="S28" s="693">
        <f t="shared" si="12"/>
        <v>100</v>
      </c>
      <c r="T28" s="692" t="s">
        <v>18</v>
      </c>
      <c r="U28" s="693">
        <f t="shared" si="13"/>
        <v>100</v>
      </c>
      <c r="V28" s="692" t="s">
        <v>18</v>
      </c>
      <c r="W28" s="693">
        <f t="shared" si="14"/>
        <v>100</v>
      </c>
      <c r="X28" s="1342"/>
      <c r="Y28" s="3708"/>
      <c r="Z28" s="1343">
        <f t="shared" ref="Z28:Z46" si="18">Q28</f>
        <v>111</v>
      </c>
      <c r="AA28" s="1340">
        <f t="shared" si="15"/>
        <v>1</v>
      </c>
      <c r="AB28" s="1340">
        <f t="shared" si="16"/>
        <v>1</v>
      </c>
      <c r="AC28" s="1340">
        <f t="shared" si="17"/>
        <v>1</v>
      </c>
    </row>
    <row r="29" spans="1:29" ht="15">
      <c r="A29" s="369"/>
      <c r="B29" s="1120">
        <v>111</v>
      </c>
      <c r="C29" s="375"/>
      <c r="D29" s="376">
        <v>100</v>
      </c>
      <c r="E29" s="375"/>
      <c r="F29" s="376">
        <f>SUMIF(94:94,E29,95:95)-SUMIF(94:94,C29,95:95)+100</f>
        <v>100</v>
      </c>
      <c r="G29" s="1895"/>
      <c r="H29" s="376">
        <f>SUMIF(94:94,G29,95:95)-SUMIF(94:94,C29,95:95)+100</f>
        <v>100</v>
      </c>
      <c r="I29" s="375"/>
      <c r="J29" s="376">
        <f>SUMIF(94:94,I29,95:95)-SUMIF(94:94,C29,95:95)+100</f>
        <v>100</v>
      </c>
      <c r="K29" s="1881"/>
      <c r="L29" s="2707"/>
      <c r="M29" s="2701"/>
      <c r="N29" s="2701"/>
      <c r="O29" s="2701"/>
      <c r="P29" s="3706"/>
      <c r="Q29" s="1339">
        <f t="shared" si="11"/>
        <v>111</v>
      </c>
      <c r="R29" s="692" t="s">
        <v>18</v>
      </c>
      <c r="S29" s="693">
        <f t="shared" si="12"/>
        <v>100</v>
      </c>
      <c r="T29" s="692" t="s">
        <v>18</v>
      </c>
      <c r="U29" s="693">
        <f t="shared" si="13"/>
        <v>100</v>
      </c>
      <c r="V29" s="692" t="s">
        <v>18</v>
      </c>
      <c r="W29" s="693">
        <f t="shared" si="14"/>
        <v>100</v>
      </c>
      <c r="X29" s="1342"/>
      <c r="Y29" s="3708"/>
      <c r="Z29" s="1343">
        <f t="shared" si="18"/>
        <v>111</v>
      </c>
      <c r="AA29" s="1340">
        <f t="shared" si="15"/>
        <v>1</v>
      </c>
      <c r="AB29" s="1340">
        <f t="shared" si="16"/>
        <v>1</v>
      </c>
      <c r="AC29" s="1340">
        <f t="shared" si="17"/>
        <v>1</v>
      </c>
    </row>
    <row r="30" spans="1:29" ht="15">
      <c r="A30" s="369"/>
      <c r="B30" s="1120">
        <v>111</v>
      </c>
      <c r="C30" s="375"/>
      <c r="D30" s="376">
        <v>100</v>
      </c>
      <c r="E30" s="375"/>
      <c r="F30" s="376">
        <f>SUMIF(96:96,E30,97:97)-SUMIF(96:96,C30,97:97)+100</f>
        <v>100</v>
      </c>
      <c r="G30" s="1895"/>
      <c r="H30" s="376">
        <f>SUMIF(96:96,G30,97:97)-SUMIF(96:96,C30,97:97)+100</f>
        <v>100</v>
      </c>
      <c r="I30" s="375"/>
      <c r="J30" s="376">
        <f>SUMIF(96:96,I30,97:97)-SUMIF(96:96,C30,97:97)+100</f>
        <v>100</v>
      </c>
      <c r="K30" s="1881"/>
      <c r="L30" s="2707"/>
      <c r="M30" s="2701"/>
      <c r="N30" s="2701"/>
      <c r="O30" s="2701"/>
      <c r="P30" s="3706"/>
      <c r="Q30" s="1339">
        <f t="shared" si="11"/>
        <v>111</v>
      </c>
      <c r="R30" s="692" t="s">
        <v>18</v>
      </c>
      <c r="S30" s="693">
        <f t="shared" si="12"/>
        <v>100</v>
      </c>
      <c r="T30" s="692" t="s">
        <v>18</v>
      </c>
      <c r="U30" s="693">
        <f t="shared" si="13"/>
        <v>100</v>
      </c>
      <c r="V30" s="692" t="s">
        <v>18</v>
      </c>
      <c r="W30" s="693">
        <f t="shared" si="14"/>
        <v>100</v>
      </c>
      <c r="X30" s="1342"/>
      <c r="Y30" s="3708"/>
      <c r="Z30" s="1343">
        <f t="shared" si="18"/>
        <v>111</v>
      </c>
      <c r="AA30" s="1340">
        <f t="shared" si="15"/>
        <v>1</v>
      </c>
      <c r="AB30" s="1340">
        <f t="shared" si="16"/>
        <v>1</v>
      </c>
      <c r="AC30" s="1340">
        <f t="shared" si="17"/>
        <v>1</v>
      </c>
    </row>
    <row r="31" spans="1:29" ht="15.75" thickBot="1">
      <c r="A31" s="377"/>
      <c r="B31" s="1120">
        <v>111</v>
      </c>
      <c r="C31" s="378"/>
      <c r="D31" s="379">
        <v>100</v>
      </c>
      <c r="E31" s="378"/>
      <c r="F31" s="379">
        <f>SUMIF(98:98,E31,99:99)-SUMIF(98:98,C31,99:99)+100</f>
        <v>100</v>
      </c>
      <c r="G31" s="1896"/>
      <c r="H31" s="379">
        <f>SUMIF(98:98,G31,99:99)-SUMIF(98:98,C31,99:99)+100</f>
        <v>100</v>
      </c>
      <c r="I31" s="378"/>
      <c r="J31" s="379">
        <f>SUMIF(98:98,I31,99:99)-SUMIF(98:98,C31,99:99)+100</f>
        <v>100</v>
      </c>
      <c r="K31" s="1881"/>
      <c r="L31" s="2707"/>
      <c r="M31" s="2701"/>
      <c r="N31" s="2701"/>
      <c r="O31" s="2701"/>
      <c r="P31" s="3706"/>
      <c r="Q31" s="1339">
        <f t="shared" si="11"/>
        <v>111</v>
      </c>
      <c r="R31" s="692" t="s">
        <v>18</v>
      </c>
      <c r="S31" s="693">
        <f t="shared" si="12"/>
        <v>100</v>
      </c>
      <c r="T31" s="692" t="s">
        <v>18</v>
      </c>
      <c r="U31" s="693">
        <f t="shared" si="13"/>
        <v>100</v>
      </c>
      <c r="V31" s="692" t="s">
        <v>18</v>
      </c>
      <c r="W31" s="693">
        <f t="shared" si="14"/>
        <v>100</v>
      </c>
      <c r="X31" s="1342"/>
      <c r="Y31" s="3708"/>
      <c r="Z31" s="1343">
        <f t="shared" si="18"/>
        <v>111</v>
      </c>
      <c r="AA31" s="1340">
        <f t="shared" si="15"/>
        <v>1</v>
      </c>
      <c r="AB31" s="1340">
        <f t="shared" si="16"/>
        <v>1</v>
      </c>
      <c r="AC31" s="1340">
        <f t="shared" si="17"/>
        <v>1</v>
      </c>
    </row>
    <row r="32" spans="1:29" ht="15">
      <c r="A32" s="381" t="s">
        <v>1693</v>
      </c>
      <c r="B32" s="63" t="s">
        <v>1694</v>
      </c>
      <c r="C32" s="1897"/>
      <c r="D32" s="408">
        <v>100</v>
      </c>
      <c r="E32" s="1898"/>
      <c r="F32" s="402">
        <f>SUMIF(100:100,E32,101:101)-SUMIF(100:100,C32,101:101)+100</f>
        <v>100</v>
      </c>
      <c r="G32" s="1897"/>
      <c r="H32" s="408">
        <f>SUMIF(100:100,G32,101:101)-SUMIF(100:100,C32,101:101)+100</f>
        <v>100</v>
      </c>
      <c r="I32" s="1898"/>
      <c r="J32" s="376">
        <f>SUMIF(100:100,I32,101:101)-SUMIF(100:100,C32,101:101)+100</f>
        <v>100</v>
      </c>
      <c r="K32" s="367"/>
      <c r="L32" s="2707"/>
      <c r="M32" s="2701"/>
      <c r="N32" s="2701"/>
      <c r="O32" s="2701"/>
      <c r="P32" s="3709" t="s">
        <v>1695</v>
      </c>
      <c r="Q32" s="1339" t="str">
        <f t="shared" si="11"/>
        <v>建筑类型</v>
      </c>
      <c r="R32" s="692" t="s">
        <v>18</v>
      </c>
      <c r="S32" s="693">
        <f t="shared" si="12"/>
        <v>100</v>
      </c>
      <c r="T32" s="692" t="s">
        <v>18</v>
      </c>
      <c r="U32" s="693">
        <f t="shared" si="13"/>
        <v>100</v>
      </c>
      <c r="V32" s="692" t="s">
        <v>18</v>
      </c>
      <c r="W32" s="693">
        <f t="shared" si="14"/>
        <v>100</v>
      </c>
      <c r="X32" s="1342"/>
      <c r="Y32" s="3712" t="s">
        <v>1695</v>
      </c>
      <c r="Z32" s="1343" t="str">
        <f t="shared" si="18"/>
        <v>建筑类型</v>
      </c>
      <c r="AA32" s="1340">
        <f t="shared" si="15"/>
        <v>1</v>
      </c>
      <c r="AB32" s="1340">
        <f t="shared" si="16"/>
        <v>1</v>
      </c>
      <c r="AC32" s="1340">
        <f t="shared" si="17"/>
        <v>1</v>
      </c>
    </row>
    <row r="33" spans="1:29" s="412" customFormat="1" ht="15">
      <c r="A33" s="409"/>
      <c r="B33" s="365" t="s">
        <v>1696</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1"/>
      <c r="L33" s="2706"/>
      <c r="M33" s="2708"/>
      <c r="N33" s="2708"/>
      <c r="O33" s="2708"/>
      <c r="P33" s="3710"/>
      <c r="Q33" s="694" t="str">
        <f t="shared" si="11"/>
        <v>项目建筑规模</v>
      </c>
      <c r="R33" s="695" t="s">
        <v>18</v>
      </c>
      <c r="S33" s="696" t="e">
        <f t="shared" si="12"/>
        <v>#N/A</v>
      </c>
      <c r="T33" s="695" t="s">
        <v>18</v>
      </c>
      <c r="U33" s="696" t="e">
        <f t="shared" si="13"/>
        <v>#N/A</v>
      </c>
      <c r="V33" s="695" t="s">
        <v>18</v>
      </c>
      <c r="W33" s="696" t="e">
        <f t="shared" si="14"/>
        <v>#N/A</v>
      </c>
      <c r="X33" s="697"/>
      <c r="Y33" s="3712"/>
      <c r="Z33" s="698" t="str">
        <f t="shared" si="18"/>
        <v>项目建筑规模</v>
      </c>
      <c r="AA33" s="1340" t="e">
        <f t="shared" si="15"/>
        <v>#N/A</v>
      </c>
      <c r="AB33" s="1340" t="e">
        <f t="shared" si="16"/>
        <v>#N/A</v>
      </c>
      <c r="AC33" s="1340" t="e">
        <f t="shared" si="17"/>
        <v>#N/A</v>
      </c>
    </row>
    <row r="34" spans="1:29" ht="15">
      <c r="A34" s="413"/>
      <c r="B34" s="365" t="s">
        <v>1697</v>
      </c>
      <c r="C34" s="1899"/>
      <c r="D34" s="376">
        <v>100</v>
      </c>
      <c r="E34" s="1900"/>
      <c r="F34" s="402">
        <f>SUMIF(105:105,E34,106:106)-SUMIF(105:105,C34,106:106)+100</f>
        <v>100</v>
      </c>
      <c r="G34" s="1899"/>
      <c r="H34" s="376">
        <f>SUMIF(105:105,G34,106:106)-SUMIF(105:105,C34,106:106)+100</f>
        <v>100</v>
      </c>
      <c r="I34" s="1900"/>
      <c r="J34" s="376">
        <f>SUMIF(105:105,I34,106:106)-SUMIF(105:105,C34,106:106)+100</f>
        <v>100</v>
      </c>
      <c r="K34" s="367"/>
      <c r="L34" s="2707"/>
      <c r="M34" s="2701"/>
      <c r="N34" s="2701"/>
      <c r="O34" s="2701"/>
      <c r="P34" s="3710"/>
      <c r="Q34" s="1339" t="str">
        <f t="shared" si="11"/>
        <v>建筑结构</v>
      </c>
      <c r="R34" s="692" t="s">
        <v>18</v>
      </c>
      <c r="S34" s="693">
        <f t="shared" si="12"/>
        <v>100</v>
      </c>
      <c r="T34" s="692" t="s">
        <v>18</v>
      </c>
      <c r="U34" s="693">
        <f t="shared" si="13"/>
        <v>100</v>
      </c>
      <c r="V34" s="692" t="s">
        <v>18</v>
      </c>
      <c r="W34" s="693">
        <f t="shared" si="14"/>
        <v>100</v>
      </c>
      <c r="X34" s="1342"/>
      <c r="Y34" s="3712"/>
      <c r="Z34" s="1343" t="str">
        <f t="shared" si="18"/>
        <v>建筑结构</v>
      </c>
      <c r="AA34" s="1340">
        <f t="shared" si="15"/>
        <v>1</v>
      </c>
      <c r="AB34" s="1340">
        <f t="shared" si="16"/>
        <v>1</v>
      </c>
      <c r="AC34" s="1340">
        <f t="shared" si="17"/>
        <v>1</v>
      </c>
    </row>
    <row r="35" spans="1:29" ht="15">
      <c r="A35" s="413"/>
      <c r="B35" s="365" t="s">
        <v>1698</v>
      </c>
      <c r="C35" s="1893"/>
      <c r="D35" s="376">
        <v>100</v>
      </c>
      <c r="E35" s="1894"/>
      <c r="F35" s="402">
        <f>SUMIF(107:107,E35,108:108)-SUMIF(107:107,C35,108:108)+100</f>
        <v>100</v>
      </c>
      <c r="G35" s="1893"/>
      <c r="H35" s="376">
        <f>SUMIF(107:107,G35,108:108)-SUMIF(107:107,C35,108:108)+100</f>
        <v>100</v>
      </c>
      <c r="I35" s="1894"/>
      <c r="J35" s="376">
        <f>SUMIF(107:107,I35,108:108)-SUMIF(107:107,C35,108:108)+100</f>
        <v>100</v>
      </c>
      <c r="K35" s="367"/>
      <c r="L35" s="2707"/>
      <c r="M35" s="2701"/>
      <c r="N35" s="2701"/>
      <c r="O35" s="2701"/>
      <c r="P35" s="3710"/>
      <c r="Q35" s="1339" t="str">
        <f t="shared" si="11"/>
        <v>建筑品质</v>
      </c>
      <c r="R35" s="692" t="s">
        <v>18</v>
      </c>
      <c r="S35" s="693">
        <f t="shared" si="12"/>
        <v>100</v>
      </c>
      <c r="T35" s="692" t="s">
        <v>18</v>
      </c>
      <c r="U35" s="693">
        <f t="shared" si="13"/>
        <v>100</v>
      </c>
      <c r="V35" s="692" t="s">
        <v>18</v>
      </c>
      <c r="W35" s="693">
        <f t="shared" si="14"/>
        <v>100</v>
      </c>
      <c r="X35" s="1342"/>
      <c r="Y35" s="3712"/>
      <c r="Z35" s="1343" t="str">
        <f t="shared" si="18"/>
        <v>建筑品质</v>
      </c>
      <c r="AA35" s="1340">
        <f t="shared" si="15"/>
        <v>1</v>
      </c>
      <c r="AB35" s="1340">
        <f t="shared" si="16"/>
        <v>1</v>
      </c>
      <c r="AC35" s="1340">
        <f t="shared" si="17"/>
        <v>1</v>
      </c>
    </row>
    <row r="36" spans="1:29" ht="15">
      <c r="A36" s="413"/>
      <c r="B36" s="365" t="s">
        <v>1699</v>
      </c>
      <c r="C36" s="1893"/>
      <c r="D36" s="376">
        <v>100</v>
      </c>
      <c r="E36" s="1894"/>
      <c r="F36" s="402">
        <f>SUMIF(109:109,E36,110:110)-SUMIF(109:109,C36,110:110)+100</f>
        <v>100</v>
      </c>
      <c r="G36" s="1893"/>
      <c r="H36" s="376">
        <f>SUMIF(109:109,G36,110:110)-SUMIF(109:109,C36,110:110)+100</f>
        <v>100</v>
      </c>
      <c r="I36" s="1894"/>
      <c r="J36" s="376">
        <f>SUMIF(109:109,I36,110:110)-SUMIF(109:109,C36,110:110)+100</f>
        <v>100</v>
      </c>
      <c r="K36" s="367"/>
      <c r="L36" s="2707"/>
      <c r="M36" s="2701"/>
      <c r="N36" s="2701"/>
      <c r="O36" s="2701"/>
      <c r="P36" s="3710"/>
      <c r="Q36" s="1339" t="str">
        <f t="shared" si="11"/>
        <v>公共部分装修</v>
      </c>
      <c r="R36" s="692" t="s">
        <v>18</v>
      </c>
      <c r="S36" s="693">
        <f t="shared" si="12"/>
        <v>100</v>
      </c>
      <c r="T36" s="692" t="s">
        <v>18</v>
      </c>
      <c r="U36" s="693">
        <f t="shared" si="13"/>
        <v>100</v>
      </c>
      <c r="V36" s="692" t="s">
        <v>18</v>
      </c>
      <c r="W36" s="693">
        <f t="shared" si="14"/>
        <v>100</v>
      </c>
      <c r="X36" s="1342"/>
      <c r="Y36" s="3712"/>
      <c r="Z36" s="1343" t="str">
        <f t="shared" si="18"/>
        <v>公共部分装修</v>
      </c>
      <c r="AA36" s="1340">
        <f t="shared" si="15"/>
        <v>1</v>
      </c>
      <c r="AB36" s="1340">
        <f t="shared" si="16"/>
        <v>1</v>
      </c>
      <c r="AC36" s="1340">
        <f t="shared" si="17"/>
        <v>1</v>
      </c>
    </row>
    <row r="37" spans="1:29" s="105" customFormat="1" ht="15">
      <c r="A37" s="414"/>
      <c r="B37" s="365" t="s">
        <v>1700</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702"/>
      <c r="M37" s="2703"/>
      <c r="N37" s="2703"/>
      <c r="O37" s="2703"/>
      <c r="P37" s="3710"/>
      <c r="Q37" s="1330" t="str">
        <f t="shared" si="11"/>
        <v>成新度</v>
      </c>
      <c r="R37" s="688" t="s">
        <v>18</v>
      </c>
      <c r="S37" s="689" t="e">
        <f t="shared" si="12"/>
        <v>#N/A</v>
      </c>
      <c r="T37" s="688" t="s">
        <v>18</v>
      </c>
      <c r="U37" s="689" t="e">
        <f t="shared" si="13"/>
        <v>#N/A</v>
      </c>
      <c r="V37" s="688" t="s">
        <v>18</v>
      </c>
      <c r="W37" s="689" t="e">
        <f t="shared" si="14"/>
        <v>#N/A</v>
      </c>
      <c r="X37" s="690"/>
      <c r="Y37" s="3712"/>
      <c r="Z37" s="52" t="str">
        <f t="shared" si="18"/>
        <v>成新度</v>
      </c>
      <c r="AA37" s="691" t="e">
        <f t="shared" si="15"/>
        <v>#N/A</v>
      </c>
      <c r="AB37" s="691" t="e">
        <f t="shared" si="16"/>
        <v>#N/A</v>
      </c>
      <c r="AC37" s="691" t="e">
        <f t="shared" si="17"/>
        <v>#N/A</v>
      </c>
    </row>
    <row r="38" spans="1:29" ht="15">
      <c r="A38" s="413"/>
      <c r="B38" s="365" t="s">
        <v>1701</v>
      </c>
      <c r="C38" s="1893"/>
      <c r="D38" s="376">
        <v>100</v>
      </c>
      <c r="E38" s="1894"/>
      <c r="F38" s="402">
        <f>SUMIF(114:114,E38,115:115)-SUMIF(114:114,C38,115:115)+100</f>
        <v>100</v>
      </c>
      <c r="G38" s="1893"/>
      <c r="H38" s="376">
        <f>SUMIF(114:114,G38,115:115)-SUMIF(114:114,C38,115:115)+100</f>
        <v>100</v>
      </c>
      <c r="I38" s="1894"/>
      <c r="J38" s="376">
        <f>SUMIF(114:114,I38,115:115)-SUMIF(114:114,C38,115:115)+100</f>
        <v>100</v>
      </c>
      <c r="K38" s="367"/>
      <c r="L38" s="2707"/>
      <c r="M38" s="2701"/>
      <c r="N38" s="2701"/>
      <c r="O38" s="2701"/>
      <c r="P38" s="3710" t="s">
        <v>1695</v>
      </c>
      <c r="Q38" s="1339" t="str">
        <f t="shared" si="11"/>
        <v>物业管理</v>
      </c>
      <c r="R38" s="692" t="s">
        <v>18</v>
      </c>
      <c r="S38" s="693">
        <f t="shared" si="12"/>
        <v>100</v>
      </c>
      <c r="T38" s="692" t="s">
        <v>18</v>
      </c>
      <c r="U38" s="693">
        <f t="shared" si="13"/>
        <v>100</v>
      </c>
      <c r="V38" s="692" t="s">
        <v>18</v>
      </c>
      <c r="W38" s="693">
        <f t="shared" si="14"/>
        <v>100</v>
      </c>
      <c r="X38" s="1342"/>
      <c r="Y38" s="3712" t="s">
        <v>1695</v>
      </c>
      <c r="Z38" s="1343" t="str">
        <f t="shared" si="18"/>
        <v>物业管理</v>
      </c>
      <c r="AA38" s="1340">
        <f t="shared" si="15"/>
        <v>1</v>
      </c>
      <c r="AB38" s="1340">
        <f t="shared" si="16"/>
        <v>1</v>
      </c>
      <c r="AC38" s="1340">
        <f t="shared" si="17"/>
        <v>1</v>
      </c>
    </row>
    <row r="39" spans="1:29" ht="15">
      <c r="A39" s="413"/>
      <c r="B39" s="365" t="s">
        <v>1702</v>
      </c>
      <c r="C39" s="1893"/>
      <c r="D39" s="376">
        <v>100</v>
      </c>
      <c r="E39" s="1894"/>
      <c r="F39" s="402">
        <f>SUMIF(116:116,E39,117:117)-SUMIF(116:116,C39,117:117)+100</f>
        <v>100</v>
      </c>
      <c r="G39" s="1893"/>
      <c r="H39" s="376">
        <f>SUMIF(116:116,G39,117:117)-SUMIF(116:116,C39,117:117)+100</f>
        <v>100</v>
      </c>
      <c r="I39" s="1894"/>
      <c r="J39" s="376">
        <f>SUMIF(116:116,I39,117:117)-SUMIF(116:116,C39,117:117)+100</f>
        <v>100</v>
      </c>
      <c r="K39" s="367"/>
      <c r="L39" s="2707"/>
      <c r="M39" s="2701"/>
      <c r="N39" s="2701"/>
      <c r="O39" s="2701"/>
      <c r="P39" s="3710"/>
      <c r="Q39" s="1339" t="str">
        <f t="shared" si="11"/>
        <v>市政基础设施</v>
      </c>
      <c r="R39" s="692" t="s">
        <v>18</v>
      </c>
      <c r="S39" s="693">
        <f t="shared" si="12"/>
        <v>100</v>
      </c>
      <c r="T39" s="692" t="s">
        <v>18</v>
      </c>
      <c r="U39" s="693">
        <f t="shared" si="13"/>
        <v>100</v>
      </c>
      <c r="V39" s="692" t="s">
        <v>18</v>
      </c>
      <c r="W39" s="693">
        <f t="shared" si="14"/>
        <v>100</v>
      </c>
      <c r="X39" s="1342"/>
      <c r="Y39" s="3712"/>
      <c r="Z39" s="1343" t="str">
        <f t="shared" si="18"/>
        <v>市政基础设施</v>
      </c>
      <c r="AA39" s="1340">
        <f t="shared" si="15"/>
        <v>1</v>
      </c>
      <c r="AB39" s="1340">
        <f t="shared" si="16"/>
        <v>1</v>
      </c>
      <c r="AC39" s="1340">
        <f t="shared" si="17"/>
        <v>1</v>
      </c>
    </row>
    <row r="40" spans="1:29" ht="15">
      <c r="A40" s="413"/>
      <c r="B40" s="365" t="s">
        <v>1703</v>
      </c>
      <c r="C40" s="1893"/>
      <c r="D40" s="376">
        <v>100</v>
      </c>
      <c r="E40" s="1894"/>
      <c r="F40" s="402">
        <f>SUMIF(118:118,E40,119:119)-SUMIF(118:118,C40,119:119)+100</f>
        <v>100</v>
      </c>
      <c r="G40" s="1893"/>
      <c r="H40" s="376">
        <f>SUMIF(118:118,G40,119:119)-SUMIF(118:118,C40,119:119)+100</f>
        <v>100</v>
      </c>
      <c r="I40" s="1894"/>
      <c r="J40" s="376">
        <f>SUMIF(118:118,I40,119:119)-SUMIF(118:118,C40,119:119)+100</f>
        <v>100</v>
      </c>
      <c r="K40" s="367"/>
      <c r="L40" s="2707"/>
      <c r="M40" s="2701"/>
      <c r="N40" s="2701"/>
      <c r="O40" s="2701"/>
      <c r="P40" s="3710"/>
      <c r="Q40" s="1339" t="str">
        <f t="shared" si="11"/>
        <v>房型</v>
      </c>
      <c r="R40" s="692" t="s">
        <v>18</v>
      </c>
      <c r="S40" s="693">
        <f t="shared" si="12"/>
        <v>100</v>
      </c>
      <c r="T40" s="692" t="s">
        <v>18</v>
      </c>
      <c r="U40" s="693">
        <f t="shared" si="13"/>
        <v>100</v>
      </c>
      <c r="V40" s="692" t="s">
        <v>18</v>
      </c>
      <c r="W40" s="693">
        <f t="shared" si="14"/>
        <v>100</v>
      </c>
      <c r="X40" s="1342"/>
      <c r="Y40" s="3712"/>
      <c r="Z40" s="1343" t="str">
        <f t="shared" si="18"/>
        <v>房型</v>
      </c>
      <c r="AA40" s="1340">
        <f t="shared" si="15"/>
        <v>1</v>
      </c>
      <c r="AB40" s="1340">
        <f t="shared" si="16"/>
        <v>1</v>
      </c>
      <c r="AC40" s="1340">
        <f t="shared" si="17"/>
        <v>1</v>
      </c>
    </row>
    <row r="41" spans="1:29" s="412" customFormat="1" ht="28.5">
      <c r="A41" s="409"/>
      <c r="B41" s="365" t="s">
        <v>1704</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1"/>
      <c r="L41" s="2706"/>
      <c r="M41" s="2708"/>
      <c r="N41" s="2708"/>
      <c r="O41" s="2708"/>
      <c r="P41" s="3710"/>
      <c r="Q41" s="694" t="str">
        <f t="shared" si="11"/>
        <v>单套/主力户型建筑面积</v>
      </c>
      <c r="R41" s="695" t="s">
        <v>18</v>
      </c>
      <c r="S41" s="696">
        <f t="shared" si="12"/>
        <v>100</v>
      </c>
      <c r="T41" s="695" t="s">
        <v>18</v>
      </c>
      <c r="U41" s="696">
        <f t="shared" si="13"/>
        <v>100</v>
      </c>
      <c r="V41" s="695" t="s">
        <v>18</v>
      </c>
      <c r="W41" s="696">
        <f t="shared" si="14"/>
        <v>100</v>
      </c>
      <c r="X41" s="697"/>
      <c r="Y41" s="3712"/>
      <c r="Z41" s="698" t="str">
        <f t="shared" si="18"/>
        <v>单套/主力户型建筑面积</v>
      </c>
      <c r="AA41" s="1340">
        <f t="shared" si="15"/>
        <v>1</v>
      </c>
      <c r="AB41" s="1340">
        <f t="shared" si="16"/>
        <v>1</v>
      </c>
      <c r="AC41" s="1340">
        <f t="shared" si="17"/>
        <v>1</v>
      </c>
    </row>
    <row r="42" spans="1:29" ht="15">
      <c r="A42" s="413"/>
      <c r="B42" s="365" t="s">
        <v>1705</v>
      </c>
      <c r="C42" s="1893"/>
      <c r="D42" s="376">
        <v>100</v>
      </c>
      <c r="E42" s="1894"/>
      <c r="F42" s="402">
        <f>SUMIF(122:122,E42,123:123)-SUMIF(122:122,C42,123:123)+100</f>
        <v>100</v>
      </c>
      <c r="G42" s="1893"/>
      <c r="H42" s="376">
        <f>SUMIF(122:122,G42,123:123)-SUMIF(122:122,C42,123:123)+100</f>
        <v>100</v>
      </c>
      <c r="I42" s="1894"/>
      <c r="J42" s="376">
        <f>SUMIF(122:122,I42,123:123)-SUMIF(122:122,C42,123:123)+100</f>
        <v>100</v>
      </c>
      <c r="K42" s="367"/>
      <c r="L42" s="2707"/>
      <c r="M42" s="2701"/>
      <c r="N42" s="2701"/>
      <c r="O42" s="2701"/>
      <c r="P42" s="3710"/>
      <c r="Q42" s="1339" t="str">
        <f t="shared" si="11"/>
        <v>内部装修</v>
      </c>
      <c r="R42" s="692" t="s">
        <v>18</v>
      </c>
      <c r="S42" s="693">
        <f t="shared" si="12"/>
        <v>100</v>
      </c>
      <c r="T42" s="692" t="s">
        <v>18</v>
      </c>
      <c r="U42" s="693">
        <f t="shared" si="13"/>
        <v>100</v>
      </c>
      <c r="V42" s="692" t="s">
        <v>18</v>
      </c>
      <c r="W42" s="693">
        <f t="shared" si="14"/>
        <v>100</v>
      </c>
      <c r="X42" s="1342"/>
      <c r="Y42" s="3712"/>
      <c r="Z42" s="1343" t="str">
        <f t="shared" si="18"/>
        <v>内部装修</v>
      </c>
      <c r="AA42" s="1340">
        <f t="shared" si="15"/>
        <v>1</v>
      </c>
      <c r="AB42" s="1340">
        <f t="shared" si="16"/>
        <v>1</v>
      </c>
      <c r="AC42" s="1340">
        <f t="shared" si="17"/>
        <v>1</v>
      </c>
    </row>
    <row r="43" spans="1:29" ht="15">
      <c r="A43" s="413"/>
      <c r="B43" s="365" t="s">
        <v>1706</v>
      </c>
      <c r="C43" s="1893"/>
      <c r="D43" s="376">
        <v>100</v>
      </c>
      <c r="E43" s="1894"/>
      <c r="F43" s="402">
        <f>SUMIF(124:124,E43,125:125)-SUMIF(124:124,C43,125:125)+100</f>
        <v>100</v>
      </c>
      <c r="G43" s="1893"/>
      <c r="H43" s="376">
        <f>SUMIF(124:124,G43,125:125)-SUMIF(124:124,C43,125:125)+100</f>
        <v>100</v>
      </c>
      <c r="I43" s="1894"/>
      <c r="J43" s="376">
        <f>SUMIF(124:124,I43,125:125)-SUMIF(124:124,C43,125:125)+100</f>
        <v>100</v>
      </c>
      <c r="K43" s="367"/>
      <c r="L43" s="2707"/>
      <c r="M43" s="2701"/>
      <c r="N43" s="2701"/>
      <c r="O43" s="2701"/>
      <c r="P43" s="3710"/>
      <c r="Q43" s="1339" t="str">
        <f t="shared" si="11"/>
        <v>内部装修维护情况</v>
      </c>
      <c r="R43" s="692" t="s">
        <v>18</v>
      </c>
      <c r="S43" s="693">
        <f t="shared" si="12"/>
        <v>100</v>
      </c>
      <c r="T43" s="692" t="s">
        <v>18</v>
      </c>
      <c r="U43" s="693">
        <f t="shared" si="13"/>
        <v>100</v>
      </c>
      <c r="V43" s="692" t="s">
        <v>18</v>
      </c>
      <c r="W43" s="693">
        <f t="shared" si="14"/>
        <v>100</v>
      </c>
      <c r="X43" s="1342"/>
      <c r="Y43" s="3712"/>
      <c r="Z43" s="1343" t="str">
        <f t="shared" si="18"/>
        <v>内部装修维护情况</v>
      </c>
      <c r="AA43" s="1340">
        <f t="shared" si="15"/>
        <v>1</v>
      </c>
      <c r="AB43" s="1340">
        <f t="shared" si="16"/>
        <v>1</v>
      </c>
      <c r="AC43" s="1340">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1"/>
      <c r="L44" s="2702"/>
      <c r="M44" s="2703"/>
      <c r="N44" s="2703"/>
      <c r="O44" s="2703"/>
      <c r="P44" s="3710"/>
      <c r="Q44" s="1330">
        <f t="shared" si="11"/>
        <v>111</v>
      </c>
      <c r="R44" s="688" t="s">
        <v>18</v>
      </c>
      <c r="S44" s="689">
        <f t="shared" si="12"/>
        <v>100</v>
      </c>
      <c r="T44" s="688" t="s">
        <v>18</v>
      </c>
      <c r="U44" s="689">
        <f t="shared" si="13"/>
        <v>100</v>
      </c>
      <c r="V44" s="688" t="s">
        <v>18</v>
      </c>
      <c r="W44" s="689">
        <f t="shared" si="14"/>
        <v>100</v>
      </c>
      <c r="X44" s="690"/>
      <c r="Y44" s="3712"/>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1"/>
      <c r="L45" s="2707"/>
      <c r="M45" s="2701"/>
      <c r="N45" s="2701"/>
      <c r="O45" s="2701"/>
      <c r="P45" s="3710"/>
      <c r="Q45" s="1339">
        <f t="shared" si="11"/>
        <v>111</v>
      </c>
      <c r="R45" s="692" t="s">
        <v>18</v>
      </c>
      <c r="S45" s="693">
        <f t="shared" si="12"/>
        <v>100</v>
      </c>
      <c r="T45" s="692" t="s">
        <v>18</v>
      </c>
      <c r="U45" s="693">
        <f t="shared" si="13"/>
        <v>100</v>
      </c>
      <c r="V45" s="692" t="s">
        <v>18</v>
      </c>
      <c r="W45" s="693">
        <f t="shared" si="14"/>
        <v>100</v>
      </c>
      <c r="X45" s="1342"/>
      <c r="Y45" s="3712"/>
      <c r="Z45" s="1343">
        <f t="shared" si="18"/>
        <v>111</v>
      </c>
      <c r="AA45" s="1340">
        <f t="shared" si="15"/>
        <v>1</v>
      </c>
      <c r="AB45" s="1340">
        <f t="shared" si="16"/>
        <v>1</v>
      </c>
      <c r="AC45" s="1340">
        <f t="shared" si="17"/>
        <v>1</v>
      </c>
    </row>
    <row r="46" spans="1:29" ht="15.75" thickBot="1">
      <c r="A46" s="419"/>
      <c r="B46" s="1882">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1"/>
      <c r="L46" s="2707"/>
      <c r="M46" s="2701"/>
      <c r="N46" s="2701"/>
      <c r="O46" s="2701"/>
      <c r="P46" s="3711"/>
      <c r="Q46" s="1339">
        <f t="shared" si="11"/>
        <v>111</v>
      </c>
      <c r="R46" s="692" t="s">
        <v>17</v>
      </c>
      <c r="S46" s="693">
        <f t="shared" si="12"/>
        <v>100</v>
      </c>
      <c r="T46" s="692" t="s">
        <v>17</v>
      </c>
      <c r="U46" s="693">
        <f t="shared" si="13"/>
        <v>100</v>
      </c>
      <c r="V46" s="692" t="s">
        <v>17</v>
      </c>
      <c r="W46" s="693">
        <f t="shared" si="14"/>
        <v>100</v>
      </c>
      <c r="X46" s="1342"/>
      <c r="Y46" s="3713"/>
      <c r="Z46" s="1343">
        <f t="shared" si="18"/>
        <v>111</v>
      </c>
      <c r="AA46" s="1340">
        <f t="shared" si="15"/>
        <v>1</v>
      </c>
      <c r="AB46" s="1340">
        <f t="shared" si="16"/>
        <v>1</v>
      </c>
      <c r="AC46" s="1340">
        <f t="shared" si="17"/>
        <v>1</v>
      </c>
    </row>
    <row r="47" spans="1:29" ht="15">
      <c r="A47" s="420" t="s">
        <v>1707</v>
      </c>
      <c r="B47" s="421"/>
      <c r="C47" s="1141" t="s">
        <v>16</v>
      </c>
      <c r="D47" s="1142"/>
      <c r="E47" s="1143"/>
      <c r="F47" s="1144"/>
      <c r="G47" s="1145"/>
      <c r="H47" s="1146"/>
      <c r="I47" s="1143"/>
      <c r="J47" s="1146"/>
      <c r="K47" s="1901"/>
      <c r="L47" s="2709"/>
      <c r="M47" s="2710"/>
      <c r="N47" s="2701"/>
      <c r="O47" s="2710"/>
      <c r="P47" s="3700" t="str">
        <f>A47</f>
        <v>成交单价（元/平方米）</v>
      </c>
      <c r="Q47" s="3700"/>
      <c r="R47" s="3701">
        <f>E47</f>
        <v>0</v>
      </c>
      <c r="S47" s="3701"/>
      <c r="T47" s="3701">
        <f>G47</f>
        <v>0</v>
      </c>
      <c r="U47" s="3701"/>
      <c r="V47" s="3701">
        <f>I47</f>
        <v>0</v>
      </c>
      <c r="W47" s="3701"/>
      <c r="X47" s="677"/>
      <c r="Y47" s="699"/>
      <c r="Z47" s="677"/>
      <c r="AA47" s="677"/>
      <c r="AB47" s="677"/>
      <c r="AC47" s="677"/>
    </row>
    <row r="48" spans="1:29" ht="15.75" thickBot="1">
      <c r="A48" s="427" t="s">
        <v>1708</v>
      </c>
      <c r="B48" s="428"/>
      <c r="C48" s="1147" t="e">
        <f>R49</f>
        <v>#DIV/0!</v>
      </c>
      <c r="D48" s="2304" t="s">
        <v>2137</v>
      </c>
      <c r="E48" s="1148" t="e">
        <f>R48</f>
        <v>#DIV/0!</v>
      </c>
      <c r="F48" s="2305"/>
      <c r="G48" s="1147" t="e">
        <f>T48</f>
        <v>#DIV/0!</v>
      </c>
      <c r="H48" s="2305"/>
      <c r="I48" s="1148" t="e">
        <f>V48</f>
        <v>#DIV/0!</v>
      </c>
      <c r="J48" s="2305"/>
      <c r="K48" s="2306">
        <f>F48+H48+J48</f>
        <v>0</v>
      </c>
      <c r="L48" s="2709"/>
      <c r="M48" s="2710"/>
      <c r="N48" s="2710"/>
      <c r="O48" s="2710"/>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77"/>
      <c r="Y48" s="677"/>
      <c r="Z48" s="677"/>
      <c r="AA48" s="677"/>
      <c r="AB48" s="677"/>
      <c r="AC48" s="677"/>
    </row>
    <row r="49" spans="1:29" ht="15.75" thickBot="1">
      <c r="A49" s="431" t="s">
        <v>1709</v>
      </c>
      <c r="B49" s="432"/>
      <c r="C49" s="1149" t="e">
        <f>R49</f>
        <v>#DIV/0!</v>
      </c>
      <c r="D49" s="1150"/>
      <c r="E49" s="1150"/>
      <c r="F49" s="1150"/>
      <c r="G49" s="1150"/>
      <c r="H49" s="1150"/>
      <c r="I49" s="1150"/>
      <c r="J49" s="1150"/>
      <c r="K49" s="1902"/>
      <c r="L49" s="2709"/>
      <c r="M49" s="2710"/>
      <c r="N49" s="2710"/>
      <c r="O49" s="2710"/>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77"/>
      <c r="Y49" s="677"/>
      <c r="Z49" s="677"/>
      <c r="AA49" s="677"/>
      <c r="AB49" s="677"/>
      <c r="AC49" s="677"/>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36" t="s">
        <v>1710</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5"/>
      <c r="L52" s="2711"/>
      <c r="M52" s="2710"/>
      <c r="N52" s="2710"/>
      <c r="O52" s="2710"/>
    </row>
    <row r="53" spans="1:29" ht="13.5" customHeight="1">
      <c r="A53" s="2710"/>
      <c r="B53" s="2710"/>
      <c r="C53" s="436" t="s">
        <v>1711</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5"/>
      <c r="L53" s="2711"/>
      <c r="M53" s="2710"/>
      <c r="N53" s="2710"/>
      <c r="O53" s="2710"/>
    </row>
    <row r="54" spans="1:29" s="441" customFormat="1" ht="13.5" customHeight="1">
      <c r="A54" s="2713"/>
      <c r="B54" s="2713"/>
      <c r="C54" s="436" t="s">
        <v>1712</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8"/>
      <c r="L54" s="2712"/>
      <c r="M54" s="2713"/>
      <c r="N54" s="2713"/>
      <c r="O54" s="2713"/>
      <c r="P54" s="1904"/>
    </row>
    <row r="55" spans="1:29" s="441" customFormat="1">
      <c r="A55" s="2713"/>
      <c r="B55" s="2716"/>
      <c r="C55" s="2717"/>
      <c r="D55" s="2713"/>
      <c r="E55" s="2713"/>
      <c r="F55" s="2713"/>
      <c r="G55" s="2713"/>
      <c r="H55" s="2713"/>
      <c r="I55" s="2713"/>
      <c r="J55" s="2713"/>
      <c r="K55" s="2718"/>
      <c r="L55" s="2712"/>
      <c r="M55" s="2713"/>
      <c r="N55" s="2713"/>
      <c r="O55" s="2713"/>
      <c r="P55" s="1904"/>
    </row>
    <row r="56" spans="1:29">
      <c r="A56" s="2710"/>
      <c r="B56" s="2716"/>
      <c r="C56" s="2717"/>
      <c r="D56" s="2710"/>
      <c r="E56" s="2710"/>
      <c r="F56" s="2710"/>
      <c r="G56" s="2710"/>
      <c r="H56" s="2710"/>
      <c r="I56" s="2710"/>
      <c r="J56" s="2710"/>
      <c r="K56" s="2715"/>
      <c r="L56" s="2711"/>
      <c r="M56" s="2710"/>
      <c r="N56" s="2710"/>
      <c r="O56" s="2710"/>
    </row>
    <row r="57" spans="1:29" ht="21.75" thickBot="1">
      <c r="A57" s="681" t="s">
        <v>1713</v>
      </c>
      <c r="B57" s="677"/>
      <c r="C57" s="682"/>
      <c r="D57" s="682"/>
      <c r="E57" s="682"/>
      <c r="F57" s="683"/>
      <c r="G57" s="683"/>
      <c r="H57" s="682"/>
      <c r="I57" s="682"/>
      <c r="J57" s="682"/>
      <c r="K57" s="928"/>
      <c r="L57" s="929"/>
      <c r="M57" s="927"/>
      <c r="N57" s="927"/>
      <c r="O57" s="927"/>
      <c r="P57" s="1905"/>
      <c r="Q57" s="443"/>
    </row>
    <row r="58" spans="1:29" s="447" customFormat="1" ht="15">
      <c r="A58" s="444" t="s">
        <v>1714</v>
      </c>
      <c r="B58" s="445"/>
      <c r="C58" s="1173" t="str">
        <f>YEAR(C7)&amp;"-"&amp;MONTH(C7)</f>
        <v>2024-3</v>
      </c>
      <c r="D58" s="1172">
        <f>EDATE(C58,-1)</f>
        <v>45323</v>
      </c>
      <c r="E58" s="1172">
        <f>EDATE(D58,-1)</f>
        <v>45292</v>
      </c>
      <c r="F58" s="1172">
        <f t="shared" ref="F58:O58" si="19">EDATE(E58,-1)</f>
        <v>45261</v>
      </c>
      <c r="G58" s="1172">
        <f t="shared" si="19"/>
        <v>45231</v>
      </c>
      <c r="H58" s="1172">
        <f t="shared" si="19"/>
        <v>45200</v>
      </c>
      <c r="I58" s="1172">
        <f t="shared" si="19"/>
        <v>45170</v>
      </c>
      <c r="J58" s="1172">
        <f t="shared" si="19"/>
        <v>45139</v>
      </c>
      <c r="K58" s="1172">
        <f t="shared" si="19"/>
        <v>45108</v>
      </c>
      <c r="L58" s="1172">
        <f t="shared" si="19"/>
        <v>45078</v>
      </c>
      <c r="M58" s="1172">
        <f t="shared" si="19"/>
        <v>45047</v>
      </c>
      <c r="N58" s="1172">
        <f t="shared" si="19"/>
        <v>45017</v>
      </c>
      <c r="O58" s="1172">
        <f t="shared" si="19"/>
        <v>44986</v>
      </c>
      <c r="P58" s="1168"/>
    </row>
    <row r="59" spans="1:29" s="105" customFormat="1" ht="15">
      <c r="A59" s="448"/>
      <c r="B59" s="1906"/>
      <c r="C59" s="1170">
        <v>100</v>
      </c>
      <c r="D59" s="450"/>
      <c r="E59" s="451"/>
      <c r="F59" s="451"/>
      <c r="G59" s="451"/>
      <c r="H59" s="451"/>
      <c r="I59" s="451"/>
      <c r="J59" s="451"/>
      <c r="K59" s="451"/>
      <c r="L59" s="451"/>
      <c r="M59" s="452"/>
      <c r="N59" s="451"/>
      <c r="O59" s="452"/>
      <c r="P59" s="1907"/>
    </row>
    <row r="60" spans="1:29" s="105" customFormat="1" ht="15.75" thickBot="1">
      <c r="A60" s="454" t="s">
        <v>1715</v>
      </c>
      <c r="B60" s="455"/>
      <c r="C60" s="456"/>
      <c r="D60" s="457"/>
      <c r="E60" s="457"/>
      <c r="F60" s="457"/>
      <c r="G60" s="457"/>
      <c r="H60" s="457"/>
      <c r="I60" s="457"/>
      <c r="J60" s="457"/>
      <c r="K60" s="457"/>
      <c r="L60" s="457"/>
      <c r="M60" s="458"/>
      <c r="N60" s="457"/>
      <c r="O60" s="458"/>
      <c r="P60" s="1907"/>
      <c r="Q60" s="443"/>
    </row>
    <row r="61" spans="1:29" s="105" customFormat="1" ht="15">
      <c r="A61" s="460" t="s">
        <v>1716</v>
      </c>
      <c r="B61" s="449"/>
      <c r="C61" s="461" t="s">
        <v>1717</v>
      </c>
      <c r="D61" s="462"/>
      <c r="E61" s="462"/>
      <c r="F61" s="462"/>
      <c r="G61" s="462"/>
      <c r="H61" s="462"/>
      <c r="I61" s="462"/>
      <c r="J61" s="462"/>
      <c r="K61" s="462"/>
      <c r="L61" s="463"/>
      <c r="M61" s="464"/>
      <c r="N61" s="919"/>
      <c r="O61" s="919"/>
      <c r="P61" s="1908"/>
      <c r="Q61" s="443"/>
    </row>
    <row r="62" spans="1:29" s="105" customFormat="1" ht="15.75" thickBot="1">
      <c r="A62" s="460"/>
      <c r="B62" s="449"/>
      <c r="C62" s="450">
        <v>100</v>
      </c>
      <c r="D62" s="451"/>
      <c r="E62" s="451"/>
      <c r="F62" s="451"/>
      <c r="G62" s="451"/>
      <c r="H62" s="451"/>
      <c r="I62" s="451"/>
      <c r="J62" s="451"/>
      <c r="K62" s="451"/>
      <c r="L62" s="451"/>
      <c r="M62" s="453"/>
      <c r="N62" s="919"/>
      <c r="O62" s="919"/>
      <c r="P62" s="1907"/>
      <c r="Q62" s="443"/>
    </row>
    <row r="63" spans="1:29">
      <c r="A63" s="466" t="s">
        <v>1718</v>
      </c>
      <c r="B63" s="467" t="s">
        <v>1684</v>
      </c>
      <c r="C63" s="468">
        <f>C9</f>
        <v>0</v>
      </c>
      <c r="D63" s="469"/>
      <c r="E63" s="469"/>
      <c r="F63" s="469"/>
      <c r="G63" s="469"/>
      <c r="H63" s="469"/>
      <c r="I63" s="469"/>
      <c r="J63" s="469"/>
      <c r="K63" s="470"/>
      <c r="L63" s="471"/>
      <c r="M63" s="472"/>
      <c r="N63" s="920"/>
      <c r="O63" s="920"/>
      <c r="P63" s="1909"/>
      <c r="Q63" s="443"/>
    </row>
    <row r="64" spans="1:29" ht="15.75" thickBot="1">
      <c r="A64" s="473"/>
      <c r="B64" s="474"/>
      <c r="C64" s="475">
        <v>100</v>
      </c>
      <c r="D64" s="475"/>
      <c r="E64" s="475"/>
      <c r="F64" s="475"/>
      <c r="G64" s="475"/>
      <c r="H64" s="475"/>
      <c r="I64" s="475"/>
      <c r="J64" s="475"/>
      <c r="K64" s="475"/>
      <c r="L64" s="475"/>
      <c r="M64" s="476"/>
      <c r="N64" s="921"/>
      <c r="O64" s="921"/>
      <c r="P64" s="1909"/>
      <c r="Q64" s="443"/>
    </row>
    <row r="65" spans="1:17" ht="27.75" thickTop="1">
      <c r="A65" s="473"/>
      <c r="B65" s="477" t="s">
        <v>1687</v>
      </c>
      <c r="C65" s="522"/>
      <c r="D65" s="522"/>
      <c r="E65" s="522"/>
      <c r="F65" s="522"/>
      <c r="G65" s="522"/>
      <c r="H65" s="522"/>
      <c r="I65" s="522"/>
      <c r="J65" s="522"/>
      <c r="K65" s="522"/>
      <c r="L65" s="522"/>
      <c r="M65" s="522"/>
      <c r="N65" s="921"/>
      <c r="O65" s="921"/>
      <c r="P65" s="1909"/>
      <c r="Q65" s="443"/>
    </row>
    <row r="66" spans="1:17" ht="15.75" thickBot="1">
      <c r="A66" s="473"/>
      <c r="B66" s="482"/>
      <c r="C66" s="475"/>
      <c r="D66" s="475"/>
      <c r="E66" s="475"/>
      <c r="F66" s="475"/>
      <c r="G66" s="475"/>
      <c r="H66" s="475"/>
      <c r="I66" s="475"/>
      <c r="J66" s="475"/>
      <c r="K66" s="475"/>
      <c r="L66" s="475"/>
      <c r="M66" s="476"/>
      <c r="N66" s="921"/>
      <c r="O66" s="921"/>
      <c r="P66" s="1909"/>
      <c r="Q66" s="443"/>
    </row>
    <row r="67" spans="1:17" ht="15.75" thickTop="1">
      <c r="A67" s="473"/>
      <c r="B67" s="485" t="s">
        <v>1688</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9"/>
      <c r="Q67" s="443"/>
    </row>
    <row r="68" spans="1:17" ht="15">
      <c r="A68" s="473"/>
      <c r="B68" s="487"/>
      <c r="C68" s="488"/>
      <c r="D68" s="488"/>
      <c r="E68" s="488"/>
      <c r="F68" s="488"/>
      <c r="G68" s="488"/>
      <c r="H68" s="488"/>
      <c r="I68" s="488"/>
      <c r="J68" s="488"/>
      <c r="K68" s="489"/>
      <c r="L68" s="490"/>
      <c r="M68" s="491"/>
      <c r="N68" s="920"/>
      <c r="O68" s="920"/>
      <c r="P68" s="1909"/>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9"/>
      <c r="Q69" s="443"/>
    </row>
    <row r="70" spans="1:17" s="412" customFormat="1" ht="15.75" thickTop="1">
      <c r="A70" s="492"/>
      <c r="B70" s="477">
        <f>B12</f>
        <v>111</v>
      </c>
      <c r="C70" s="493"/>
      <c r="D70" s="493"/>
      <c r="E70" s="493"/>
      <c r="F70" s="493"/>
      <c r="G70" s="493"/>
      <c r="H70" s="494"/>
      <c r="I70" s="494"/>
      <c r="J70" s="494"/>
      <c r="K70" s="494"/>
      <c r="L70" s="495"/>
      <c r="M70" s="496"/>
      <c r="N70" s="922"/>
      <c r="O70" s="922"/>
      <c r="P70" s="1910"/>
      <c r="Q70" s="498"/>
    </row>
    <row r="71" spans="1:17" s="412" customFormat="1" ht="15.75" thickBot="1">
      <c r="A71" s="492"/>
      <c r="B71" s="482"/>
      <c r="C71" s="499"/>
      <c r="D71" s="475"/>
      <c r="E71" s="475"/>
      <c r="F71" s="475"/>
      <c r="G71" s="475"/>
      <c r="H71" s="475"/>
      <c r="I71" s="475"/>
      <c r="J71" s="475"/>
      <c r="K71" s="475"/>
      <c r="L71" s="475"/>
      <c r="M71" s="476"/>
      <c r="N71" s="921"/>
      <c r="O71" s="921"/>
      <c r="P71" s="1910"/>
      <c r="Q71" s="498"/>
    </row>
    <row r="72" spans="1:17" s="412" customFormat="1" ht="15.75" thickTop="1">
      <c r="A72" s="492"/>
      <c r="B72" s="477">
        <f>B13</f>
        <v>111</v>
      </c>
      <c r="C72" s="493"/>
      <c r="D72" s="493"/>
      <c r="E72" s="493"/>
      <c r="F72" s="493"/>
      <c r="G72" s="493"/>
      <c r="H72" s="494"/>
      <c r="I72" s="494"/>
      <c r="J72" s="494"/>
      <c r="K72" s="494"/>
      <c r="L72" s="495"/>
      <c r="M72" s="496"/>
      <c r="N72" s="922"/>
      <c r="O72" s="922"/>
      <c r="P72" s="1911"/>
      <c r="Q72" s="500"/>
    </row>
    <row r="73" spans="1:17" s="412" customFormat="1" ht="15.75" thickBot="1">
      <c r="A73" s="492"/>
      <c r="B73" s="482"/>
      <c r="C73" s="499"/>
      <c r="D73" s="499"/>
      <c r="E73" s="499"/>
      <c r="F73" s="499"/>
      <c r="G73" s="499"/>
      <c r="H73" s="501"/>
      <c r="I73" s="501"/>
      <c r="J73" s="501"/>
      <c r="K73" s="501"/>
      <c r="L73" s="501"/>
      <c r="M73" s="502"/>
      <c r="N73" s="922"/>
      <c r="O73" s="922"/>
      <c r="P73" s="1910"/>
      <c r="Q73" s="498"/>
    </row>
    <row r="74" spans="1:17" s="412" customFormat="1" ht="15.75" thickTop="1">
      <c r="A74" s="492"/>
      <c r="B74" s="485">
        <f>B14</f>
        <v>111</v>
      </c>
      <c r="C74" s="493"/>
      <c r="D74" s="493"/>
      <c r="E74" s="493"/>
      <c r="F74" s="493"/>
      <c r="G74" s="462"/>
      <c r="H74" s="503"/>
      <c r="I74" s="503"/>
      <c r="J74" s="503"/>
      <c r="K74" s="503"/>
      <c r="L74" s="504"/>
      <c r="M74" s="505"/>
      <c r="N74" s="922"/>
      <c r="O74" s="922"/>
      <c r="P74" s="1912"/>
      <c r="Q74" s="498"/>
    </row>
    <row r="75" spans="1:17" s="412" customFormat="1" ht="15.75" thickBot="1">
      <c r="A75" s="507"/>
      <c r="B75" s="508"/>
      <c r="C75" s="509"/>
      <c r="D75" s="509"/>
      <c r="E75" s="509"/>
      <c r="F75" s="509"/>
      <c r="G75" s="509"/>
      <c r="H75" s="510"/>
      <c r="I75" s="510"/>
      <c r="J75" s="510"/>
      <c r="K75" s="510"/>
      <c r="L75" s="510"/>
      <c r="M75" s="511"/>
      <c r="N75" s="922"/>
      <c r="O75" s="922"/>
      <c r="P75" s="1910"/>
      <c r="Q75" s="498"/>
    </row>
    <row r="76" spans="1:17">
      <c r="A76" s="466" t="s">
        <v>1689</v>
      </c>
      <c r="B76" s="467" t="s">
        <v>1719</v>
      </c>
      <c r="C76" s="512" t="s">
        <v>1720</v>
      </c>
      <c r="D76" s="512" t="s">
        <v>1721</v>
      </c>
      <c r="E76" s="512" t="s">
        <v>1722</v>
      </c>
      <c r="F76" s="512" t="s">
        <v>1723</v>
      </c>
      <c r="G76" s="512" t="s">
        <v>1724</v>
      </c>
      <c r="H76" s="468"/>
      <c r="I76" s="468"/>
      <c r="J76" s="468"/>
      <c r="K76" s="513"/>
      <c r="L76" s="514"/>
      <c r="M76" s="515"/>
      <c r="N76" s="920"/>
      <c r="O76" s="920"/>
      <c r="P76" s="1913"/>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9"/>
      <c r="Q77" s="443"/>
    </row>
    <row r="78" spans="1:17" ht="15.75" thickTop="1">
      <c r="A78" s="473"/>
      <c r="B78" s="477" t="s">
        <v>1725</v>
      </c>
      <c r="C78" s="517" t="s">
        <v>1720</v>
      </c>
      <c r="D78" s="517" t="s">
        <v>1721</v>
      </c>
      <c r="E78" s="517" t="s">
        <v>1722</v>
      </c>
      <c r="F78" s="517" t="s">
        <v>1723</v>
      </c>
      <c r="G78" s="517" t="s">
        <v>1724</v>
      </c>
      <c r="H78" s="478"/>
      <c r="I78" s="478"/>
      <c r="J78" s="478"/>
      <c r="K78" s="479"/>
      <c r="L78" s="480"/>
      <c r="M78" s="481"/>
      <c r="N78" s="920"/>
      <c r="O78" s="920"/>
      <c r="P78" s="1909"/>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9"/>
      <c r="Q79" s="443"/>
    </row>
    <row r="80" spans="1:17" ht="15.75" thickTop="1">
      <c r="A80" s="473"/>
      <c r="B80" s="477" t="s">
        <v>1726</v>
      </c>
      <c r="C80" s="517" t="s">
        <v>1720</v>
      </c>
      <c r="D80" s="517" t="s">
        <v>1721</v>
      </c>
      <c r="E80" s="517" t="s">
        <v>1722</v>
      </c>
      <c r="F80" s="517" t="s">
        <v>1723</v>
      </c>
      <c r="G80" s="517" t="s">
        <v>1724</v>
      </c>
      <c r="H80" s="478"/>
      <c r="I80" s="478"/>
      <c r="J80" s="478"/>
      <c r="K80" s="479"/>
      <c r="L80" s="480"/>
      <c r="M80" s="481"/>
      <c r="N80" s="920"/>
      <c r="O80" s="920"/>
      <c r="P80" s="1909"/>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9"/>
      <c r="Q81" s="443"/>
    </row>
    <row r="82" spans="1:17" ht="15.75" thickTop="1">
      <c r="A82" s="473"/>
      <c r="B82" s="485" t="s">
        <v>1260</v>
      </c>
      <c r="C82" s="478" t="s">
        <v>1727</v>
      </c>
      <c r="D82" s="478" t="s">
        <v>1728</v>
      </c>
      <c r="E82" s="478" t="s">
        <v>1729</v>
      </c>
      <c r="F82" s="478" t="s">
        <v>1730</v>
      </c>
      <c r="G82" s="478" t="s">
        <v>1731</v>
      </c>
      <c r="H82" s="478"/>
      <c r="I82" s="478"/>
      <c r="J82" s="478"/>
      <c r="K82" s="478"/>
      <c r="L82" s="478"/>
      <c r="M82" s="1116"/>
      <c r="N82" s="921"/>
      <c r="O82" s="921"/>
      <c r="P82" s="1909"/>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9"/>
      <c r="Q83" s="443"/>
    </row>
    <row r="84" spans="1:17" ht="15.75" thickTop="1">
      <c r="A84" s="473"/>
      <c r="B84" s="477" t="s">
        <v>1732</v>
      </c>
      <c r="C84" s="517" t="s">
        <v>1720</v>
      </c>
      <c r="D84" s="517" t="s">
        <v>1721</v>
      </c>
      <c r="E84" s="517" t="s">
        <v>1722</v>
      </c>
      <c r="F84" s="517" t="s">
        <v>1723</v>
      </c>
      <c r="G84" s="517" t="s">
        <v>1724</v>
      </c>
      <c r="H84" s="478"/>
      <c r="I84" s="478"/>
      <c r="J84" s="478"/>
      <c r="K84" s="479"/>
      <c r="L84" s="480"/>
      <c r="M84" s="481"/>
      <c r="N84" s="920"/>
      <c r="O84" s="920"/>
      <c r="P84" s="1909"/>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9"/>
      <c r="Q85" s="443"/>
    </row>
    <row r="86" spans="1:17" s="105" customFormat="1" ht="15.75" thickTop="1">
      <c r="A86" s="518"/>
      <c r="B86" s="477" t="s">
        <v>1733</v>
      </c>
      <c r="C86" s="493"/>
      <c r="D86" s="493"/>
      <c r="E86" s="493"/>
      <c r="F86" s="493"/>
      <c r="G86" s="493"/>
      <c r="H86" s="493"/>
      <c r="I86" s="493"/>
      <c r="J86" s="493"/>
      <c r="K86" s="493"/>
      <c r="L86" s="519"/>
      <c r="M86" s="520"/>
      <c r="N86" s="919"/>
      <c r="O86" s="919"/>
      <c r="P86" s="1909"/>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9"/>
      <c r="Q87" s="443"/>
    </row>
    <row r="88" spans="1:17" s="105" customFormat="1" ht="15.75" thickTop="1">
      <c r="A88" s="518"/>
      <c r="B88" s="477" t="s">
        <v>1734</v>
      </c>
      <c r="C88" s="493"/>
      <c r="D88" s="493"/>
      <c r="E88" s="493"/>
      <c r="F88" s="1914"/>
      <c r="G88" s="493"/>
      <c r="H88" s="493"/>
      <c r="I88" s="493"/>
      <c r="J88" s="493"/>
      <c r="K88" s="493"/>
      <c r="L88" s="493"/>
      <c r="M88" s="520"/>
      <c r="N88" s="919"/>
      <c r="O88" s="919"/>
      <c r="P88" s="1909"/>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9"/>
      <c r="Q89" s="443"/>
    </row>
    <row r="90" spans="1:17" s="412" customFormat="1" ht="15.75" thickTop="1">
      <c r="A90" s="492"/>
      <c r="B90" s="477">
        <f>B27</f>
        <v>111</v>
      </c>
      <c r="C90" s="493"/>
      <c r="D90" s="493"/>
      <c r="E90" s="493"/>
      <c r="F90" s="493"/>
      <c r="G90" s="493"/>
      <c r="H90" s="494"/>
      <c r="I90" s="494"/>
      <c r="J90" s="494"/>
      <c r="K90" s="494"/>
      <c r="L90" s="495"/>
      <c r="M90" s="496"/>
      <c r="N90" s="922"/>
      <c r="O90" s="922"/>
      <c r="P90" s="1910"/>
      <c r="Q90" s="498"/>
    </row>
    <row r="91" spans="1:17" s="412" customFormat="1" ht="15.75" thickBot="1">
      <c r="A91" s="492"/>
      <c r="B91" s="482"/>
      <c r="C91" s="499"/>
      <c r="D91" s="499"/>
      <c r="E91" s="499"/>
      <c r="F91" s="499"/>
      <c r="G91" s="499"/>
      <c r="H91" s="501"/>
      <c r="I91" s="501"/>
      <c r="J91" s="501"/>
      <c r="K91" s="501"/>
      <c r="L91" s="501"/>
      <c r="M91" s="502"/>
      <c r="N91" s="922"/>
      <c r="O91" s="922"/>
      <c r="P91" s="1910"/>
      <c r="Q91" s="498"/>
    </row>
    <row r="92" spans="1:17" ht="15.75" thickTop="1">
      <c r="A92" s="473"/>
      <c r="B92" s="477">
        <f>B28</f>
        <v>111</v>
      </c>
      <c r="C92" s="493"/>
      <c r="D92" s="493"/>
      <c r="E92" s="493"/>
      <c r="F92" s="493"/>
      <c r="G92" s="522"/>
      <c r="H92" s="522"/>
      <c r="I92" s="522"/>
      <c r="J92" s="522"/>
      <c r="K92" s="523"/>
      <c r="L92" s="524"/>
      <c r="M92" s="525"/>
      <c r="N92" s="920"/>
      <c r="O92" s="920"/>
      <c r="P92" s="1909"/>
      <c r="Q92" s="443"/>
    </row>
    <row r="93" spans="1:17" ht="15.75" thickBot="1">
      <c r="A93" s="473"/>
      <c r="B93" s="482"/>
      <c r="C93" s="499"/>
      <c r="D93" s="475"/>
      <c r="E93" s="475"/>
      <c r="F93" s="475"/>
      <c r="G93" s="475"/>
      <c r="H93" s="475"/>
      <c r="I93" s="475"/>
      <c r="J93" s="475"/>
      <c r="K93" s="475"/>
      <c r="L93" s="475"/>
      <c r="M93" s="476"/>
      <c r="N93" s="921"/>
      <c r="O93" s="921"/>
      <c r="P93" s="1909"/>
      <c r="Q93" s="443"/>
    </row>
    <row r="94" spans="1:17" ht="15.75" thickTop="1">
      <c r="A94" s="473"/>
      <c r="B94" s="477">
        <f>B29</f>
        <v>111</v>
      </c>
      <c r="C94" s="493"/>
      <c r="D94" s="493"/>
      <c r="E94" s="493"/>
      <c r="F94" s="493"/>
      <c r="G94" s="522"/>
      <c r="H94" s="522"/>
      <c r="I94" s="522"/>
      <c r="J94" s="522"/>
      <c r="K94" s="523"/>
      <c r="L94" s="524"/>
      <c r="M94" s="525"/>
      <c r="N94" s="920"/>
      <c r="O94" s="920"/>
      <c r="P94" s="1909"/>
      <c r="Q94" s="443"/>
    </row>
    <row r="95" spans="1:17" ht="15.75" thickBot="1">
      <c r="A95" s="473"/>
      <c r="B95" s="482"/>
      <c r="C95" s="499"/>
      <c r="D95" s="499"/>
      <c r="E95" s="499"/>
      <c r="F95" s="499"/>
      <c r="G95" s="475"/>
      <c r="H95" s="475"/>
      <c r="I95" s="475"/>
      <c r="J95" s="475"/>
      <c r="K95" s="475"/>
      <c r="L95" s="475"/>
      <c r="M95" s="476"/>
      <c r="N95" s="921"/>
      <c r="O95" s="921"/>
      <c r="P95" s="1909"/>
      <c r="Q95" s="443"/>
    </row>
    <row r="96" spans="1:17" ht="15.75" thickTop="1">
      <c r="A96" s="473"/>
      <c r="B96" s="477">
        <f>B30</f>
        <v>111</v>
      </c>
      <c r="C96" s="493"/>
      <c r="D96" s="493"/>
      <c r="E96" s="493"/>
      <c r="F96" s="493"/>
      <c r="G96" s="522"/>
      <c r="H96" s="522"/>
      <c r="I96" s="522"/>
      <c r="J96" s="522"/>
      <c r="K96" s="523"/>
      <c r="L96" s="524"/>
      <c r="M96" s="525"/>
      <c r="N96" s="920"/>
      <c r="O96" s="920"/>
      <c r="P96" s="1909"/>
      <c r="Q96" s="443"/>
    </row>
    <row r="97" spans="1:17" ht="15.75" thickBot="1">
      <c r="A97" s="473"/>
      <c r="B97" s="482"/>
      <c r="C97" s="509"/>
      <c r="D97" s="509"/>
      <c r="E97" s="509"/>
      <c r="F97" s="509"/>
      <c r="G97" s="475"/>
      <c r="H97" s="475"/>
      <c r="I97" s="475"/>
      <c r="J97" s="475"/>
      <c r="K97" s="475"/>
      <c r="L97" s="475"/>
      <c r="M97" s="476"/>
      <c r="N97" s="921"/>
      <c r="O97" s="921"/>
      <c r="P97" s="1909"/>
      <c r="Q97" s="443"/>
    </row>
    <row r="98" spans="1:17" ht="15.75" thickTop="1">
      <c r="A98" s="473"/>
      <c r="B98" s="485">
        <f>B31</f>
        <v>111</v>
      </c>
      <c r="C98" s="526"/>
      <c r="D98" s="526"/>
      <c r="E98" s="526"/>
      <c r="F98" s="526"/>
      <c r="G98" s="526"/>
      <c r="H98" s="526"/>
      <c r="I98" s="526"/>
      <c r="J98" s="526"/>
      <c r="K98" s="527"/>
      <c r="L98" s="528"/>
      <c r="M98" s="529"/>
      <c r="N98" s="920"/>
      <c r="O98" s="920"/>
      <c r="P98" s="1909"/>
      <c r="Q98" s="443"/>
    </row>
    <row r="99" spans="1:17" ht="15.75" thickBot="1">
      <c r="A99" s="1915"/>
      <c r="B99" s="508"/>
      <c r="C99" s="530"/>
      <c r="D99" s="530"/>
      <c r="E99" s="530"/>
      <c r="F99" s="530"/>
      <c r="G99" s="530"/>
      <c r="H99" s="530"/>
      <c r="I99" s="530"/>
      <c r="J99" s="530"/>
      <c r="K99" s="530"/>
      <c r="L99" s="530"/>
      <c r="M99" s="531"/>
      <c r="N99" s="921"/>
      <c r="O99" s="921"/>
      <c r="P99" s="1909"/>
      <c r="Q99" s="443"/>
    </row>
    <row r="100" spans="1:17">
      <c r="A100" s="466" t="s">
        <v>1693</v>
      </c>
      <c r="B100" s="467" t="s">
        <v>1735</v>
      </c>
      <c r="C100" s="469"/>
      <c r="D100" s="469"/>
      <c r="E100" s="469"/>
      <c r="F100" s="469"/>
      <c r="G100" s="469"/>
      <c r="H100" s="469"/>
      <c r="I100" s="469"/>
      <c r="J100" s="469"/>
      <c r="K100" s="470"/>
      <c r="L100" s="471"/>
      <c r="M100" s="472"/>
      <c r="N100" s="920"/>
      <c r="O100" s="920"/>
      <c r="P100" s="1909"/>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9"/>
      <c r="Q101" s="443"/>
    </row>
    <row r="102" spans="1:17" ht="15.75" thickTop="1">
      <c r="A102" s="473"/>
      <c r="B102" s="477" t="s">
        <v>1736</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9"/>
      <c r="Q102" s="443"/>
    </row>
    <row r="103" spans="1:17" s="412" customFormat="1">
      <c r="A103" s="532"/>
      <c r="B103" s="533"/>
      <c r="C103" s="534"/>
      <c r="D103" s="534"/>
      <c r="E103" s="534"/>
      <c r="F103" s="534"/>
      <c r="G103" s="534"/>
      <c r="H103" s="534"/>
      <c r="I103" s="534"/>
      <c r="J103" s="535"/>
      <c r="K103" s="535"/>
      <c r="L103" s="536"/>
      <c r="M103" s="537"/>
      <c r="N103" s="922"/>
      <c r="O103" s="922"/>
      <c r="P103" s="1910"/>
      <c r="Q103" s="498"/>
    </row>
    <row r="104" spans="1:17" s="412" customFormat="1" ht="15.75" thickBot="1">
      <c r="A104" s="492"/>
      <c r="B104" s="482"/>
      <c r="C104" s="499"/>
      <c r="D104" s="475"/>
      <c r="E104" s="475"/>
      <c r="F104" s="475"/>
      <c r="G104" s="475"/>
      <c r="H104" s="475"/>
      <c r="I104" s="475"/>
      <c r="J104" s="475"/>
      <c r="K104" s="475"/>
      <c r="L104" s="475"/>
      <c r="M104" s="475"/>
      <c r="N104" s="921"/>
      <c r="O104" s="921"/>
      <c r="P104" s="1910"/>
      <c r="Q104" s="498"/>
    </row>
    <row r="105" spans="1:17" ht="15" thickTop="1">
      <c r="A105" s="538"/>
      <c r="B105" s="477" t="s">
        <v>1737</v>
      </c>
      <c r="C105" s="493"/>
      <c r="D105" s="493"/>
      <c r="E105" s="522"/>
      <c r="F105" s="522"/>
      <c r="G105" s="522"/>
      <c r="H105" s="522"/>
      <c r="I105" s="522"/>
      <c r="J105" s="522"/>
      <c r="K105" s="523"/>
      <c r="L105" s="524"/>
      <c r="M105" s="525"/>
      <c r="N105" s="920"/>
      <c r="O105" s="920"/>
      <c r="P105" s="1909"/>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9"/>
      <c r="Q106" s="443"/>
    </row>
    <row r="107" spans="1:17" ht="15" thickTop="1">
      <c r="A107" s="538"/>
      <c r="B107" s="477" t="s">
        <v>1738</v>
      </c>
      <c r="C107" s="522"/>
      <c r="D107" s="522"/>
      <c r="E107" s="522"/>
      <c r="F107" s="522"/>
      <c r="G107" s="522"/>
      <c r="H107" s="522"/>
      <c r="I107" s="522"/>
      <c r="J107" s="522"/>
      <c r="K107" s="523"/>
      <c r="L107" s="524"/>
      <c r="M107" s="525"/>
      <c r="N107" s="920"/>
      <c r="O107" s="920"/>
      <c r="P107" s="1909"/>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9"/>
      <c r="Q108" s="443"/>
    </row>
    <row r="109" spans="1:17" ht="15" thickTop="1">
      <c r="A109" s="538"/>
      <c r="B109" s="477" t="s">
        <v>1739</v>
      </c>
      <c r="C109" s="493"/>
      <c r="D109" s="493"/>
      <c r="E109" s="493"/>
      <c r="F109" s="522"/>
      <c r="G109" s="522"/>
      <c r="H109" s="522"/>
      <c r="I109" s="522"/>
      <c r="J109" s="522"/>
      <c r="K109" s="523"/>
      <c r="L109" s="524"/>
      <c r="M109" s="525"/>
      <c r="N109" s="920"/>
      <c r="O109" s="920"/>
      <c r="P109" s="1909"/>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9"/>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10"/>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10"/>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10"/>
      <c r="Q113" s="498"/>
    </row>
    <row r="114" spans="1:17" ht="15" thickTop="1">
      <c r="A114" s="538"/>
      <c r="B114" s="477" t="s">
        <v>1740</v>
      </c>
      <c r="C114" s="493"/>
      <c r="D114" s="493"/>
      <c r="E114" s="522"/>
      <c r="F114" s="522"/>
      <c r="G114" s="522"/>
      <c r="H114" s="522"/>
      <c r="I114" s="522"/>
      <c r="J114" s="522"/>
      <c r="K114" s="523"/>
      <c r="L114" s="524"/>
      <c r="M114" s="525"/>
      <c r="N114" s="920"/>
      <c r="O114" s="920"/>
      <c r="P114" s="1909"/>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9"/>
      <c r="Q115" s="443"/>
    </row>
    <row r="116" spans="1:17" ht="15" thickTop="1">
      <c r="A116" s="538"/>
      <c r="B116" s="477" t="s">
        <v>1741</v>
      </c>
      <c r="C116" s="493"/>
      <c r="D116" s="493"/>
      <c r="E116" s="493"/>
      <c r="F116" s="493"/>
      <c r="G116" s="493"/>
      <c r="H116" s="522"/>
      <c r="I116" s="522"/>
      <c r="J116" s="522"/>
      <c r="K116" s="523"/>
      <c r="L116" s="524"/>
      <c r="M116" s="525"/>
      <c r="N116" s="920"/>
      <c r="O116" s="920"/>
      <c r="P116" s="1909"/>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9"/>
      <c r="Q117" s="443"/>
    </row>
    <row r="118" spans="1:17" ht="15" thickTop="1">
      <c r="A118" s="538"/>
      <c r="B118" s="477" t="s">
        <v>1742</v>
      </c>
      <c r="C118" s="522"/>
      <c r="D118" s="522"/>
      <c r="E118" s="522"/>
      <c r="F118" s="522"/>
      <c r="G118" s="522"/>
      <c r="H118" s="522"/>
      <c r="I118" s="522"/>
      <c r="J118" s="522"/>
      <c r="K118" s="523"/>
      <c r="L118" s="524"/>
      <c r="M118" s="525"/>
      <c r="N118" s="920"/>
      <c r="O118" s="920"/>
      <c r="P118" s="1909"/>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9"/>
      <c r="Q119" s="443"/>
    </row>
    <row r="120" spans="1:17" s="412" customFormat="1" ht="28.5" thickTop="1">
      <c r="A120" s="532"/>
      <c r="B120" s="477" t="s">
        <v>1704</v>
      </c>
      <c r="C120" s="493"/>
      <c r="D120" s="493"/>
      <c r="E120" s="493"/>
      <c r="F120" s="493"/>
      <c r="G120" s="493"/>
      <c r="H120" s="493"/>
      <c r="I120" s="493"/>
      <c r="J120" s="493"/>
      <c r="K120" s="493"/>
      <c r="L120" s="519"/>
      <c r="M120" s="520"/>
      <c r="N120" s="922"/>
      <c r="O120" s="922"/>
      <c r="P120" s="1910"/>
      <c r="Q120" s="498"/>
    </row>
    <row r="121" spans="1:17" s="412" customFormat="1" ht="15.75" thickBot="1">
      <c r="A121" s="492"/>
      <c r="B121" s="474"/>
      <c r="C121" s="499"/>
      <c r="D121" s="475"/>
      <c r="E121" s="475"/>
      <c r="F121" s="475"/>
      <c r="G121" s="475"/>
      <c r="H121" s="475"/>
      <c r="I121" s="475"/>
      <c r="J121" s="475"/>
      <c r="K121" s="475"/>
      <c r="L121" s="475"/>
      <c r="M121" s="475"/>
      <c r="N121" s="922"/>
      <c r="O121" s="922"/>
      <c r="P121" s="1910"/>
      <c r="Q121" s="498"/>
    </row>
    <row r="122" spans="1:17" ht="15" thickTop="1">
      <c r="A122" s="538"/>
      <c r="B122" s="477" t="s">
        <v>1743</v>
      </c>
      <c r="C122" s="493"/>
      <c r="D122" s="493"/>
      <c r="E122" s="493"/>
      <c r="F122" s="522"/>
      <c r="G122" s="522"/>
      <c r="H122" s="522"/>
      <c r="I122" s="522"/>
      <c r="J122" s="522"/>
      <c r="K122" s="523"/>
      <c r="L122" s="524"/>
      <c r="M122" s="525"/>
      <c r="N122" s="920"/>
      <c r="O122" s="920"/>
      <c r="P122" s="1909"/>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9"/>
      <c r="Q123" s="443"/>
    </row>
    <row r="124" spans="1:17" ht="15" thickTop="1">
      <c r="A124" s="538"/>
      <c r="B124" s="477" t="s">
        <v>1744</v>
      </c>
      <c r="C124" s="517" t="s">
        <v>1720</v>
      </c>
      <c r="D124" s="517" t="s">
        <v>1721</v>
      </c>
      <c r="E124" s="517" t="s">
        <v>1722</v>
      </c>
      <c r="F124" s="517" t="s">
        <v>1723</v>
      </c>
      <c r="G124" s="517" t="s">
        <v>1724</v>
      </c>
      <c r="H124" s="478"/>
      <c r="I124" s="478"/>
      <c r="J124" s="478"/>
      <c r="K124" s="479"/>
      <c r="L124" s="480"/>
      <c r="M124" s="481"/>
      <c r="N124" s="920"/>
      <c r="O124" s="920"/>
      <c r="P124" s="1910"/>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9"/>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10"/>
      <c r="Q126" s="498"/>
    </row>
    <row r="127" spans="1:17" s="412" customFormat="1" ht="15.75" thickBot="1">
      <c r="A127" s="492"/>
      <c r="B127" s="482"/>
      <c r="C127" s="499"/>
      <c r="D127" s="475"/>
      <c r="E127" s="475"/>
      <c r="F127" s="475"/>
      <c r="G127" s="499"/>
      <c r="H127" s="501"/>
      <c r="I127" s="501"/>
      <c r="J127" s="501"/>
      <c r="K127" s="501"/>
      <c r="L127" s="501"/>
      <c r="M127" s="502"/>
      <c r="N127" s="922"/>
      <c r="O127" s="922"/>
      <c r="P127" s="1910"/>
      <c r="Q127" s="498"/>
    </row>
    <row r="128" spans="1:17" ht="15" thickTop="1">
      <c r="A128" s="538"/>
      <c r="B128" s="477">
        <f>B45</f>
        <v>111</v>
      </c>
      <c r="C128" s="493"/>
      <c r="D128" s="493"/>
      <c r="E128" s="493"/>
      <c r="F128" s="493"/>
      <c r="G128" s="522"/>
      <c r="H128" s="522"/>
      <c r="I128" s="522"/>
      <c r="J128" s="522"/>
      <c r="K128" s="523"/>
      <c r="L128" s="524"/>
      <c r="M128" s="525"/>
      <c r="N128" s="920"/>
      <c r="O128" s="920"/>
      <c r="P128" s="1909"/>
      <c r="Q128" s="443"/>
    </row>
    <row r="129" spans="1:17" ht="15.75" thickBot="1">
      <c r="A129" s="473"/>
      <c r="B129" s="482"/>
      <c r="C129" s="499"/>
      <c r="D129" s="499"/>
      <c r="E129" s="499"/>
      <c r="F129" s="499"/>
      <c r="G129" s="475"/>
      <c r="H129" s="475"/>
      <c r="I129" s="475"/>
      <c r="J129" s="475"/>
      <c r="K129" s="475"/>
      <c r="L129" s="475"/>
      <c r="M129" s="476"/>
      <c r="N129" s="921"/>
      <c r="O129" s="921"/>
      <c r="P129" s="1909"/>
      <c r="Q129" s="443"/>
    </row>
    <row r="130" spans="1:17" ht="15" thickTop="1">
      <c r="A130" s="538"/>
      <c r="B130" s="485">
        <f>B46</f>
        <v>111</v>
      </c>
      <c r="C130" s="493"/>
      <c r="D130" s="493"/>
      <c r="E130" s="493"/>
      <c r="F130" s="493"/>
      <c r="G130" s="526"/>
      <c r="H130" s="526"/>
      <c r="I130" s="526"/>
      <c r="J130" s="526"/>
      <c r="K130" s="462"/>
      <c r="L130" s="463"/>
      <c r="M130" s="529"/>
      <c r="N130" s="920"/>
      <c r="O130" s="920"/>
      <c r="P130" s="1909"/>
      <c r="Q130" s="443"/>
    </row>
    <row r="131" spans="1:17" ht="15.75" thickBot="1">
      <c r="A131" s="1915"/>
      <c r="B131" s="508"/>
      <c r="C131" s="509"/>
      <c r="D131" s="509"/>
      <c r="E131" s="509"/>
      <c r="F131" s="509"/>
      <c r="G131" s="530"/>
      <c r="H131" s="530"/>
      <c r="I131" s="530"/>
      <c r="J131" s="530"/>
      <c r="K131" s="530"/>
      <c r="L131" s="530"/>
      <c r="M131" s="531"/>
      <c r="N131" s="921"/>
      <c r="O131" s="921"/>
      <c r="P131" s="1909"/>
      <c r="Q131" s="443"/>
    </row>
    <row r="136" spans="1:17" ht="15" thickBot="1">
      <c r="B136" s="1916" t="s">
        <v>1745</v>
      </c>
    </row>
    <row r="137" spans="1:17" ht="15">
      <c r="B137" s="1917" t="s">
        <v>1746</v>
      </c>
      <c r="C137" s="1918"/>
      <c r="D137" s="1918"/>
      <c r="E137" s="1918"/>
      <c r="F137" s="1918"/>
      <c r="G137" s="1919"/>
      <c r="H137" s="1920"/>
      <c r="I137" s="1921" t="s">
        <v>1747</v>
      </c>
      <c r="J137" s="1918"/>
      <c r="K137" s="1922"/>
    </row>
    <row r="138" spans="1:17" ht="15">
      <c r="B138" s="1923"/>
      <c r="C138" s="127" t="s">
        <v>1748</v>
      </c>
      <c r="D138" s="127" t="s">
        <v>1749</v>
      </c>
      <c r="E138" s="1924" t="s">
        <v>1750</v>
      </c>
      <c r="F138" s="1925" t="s">
        <v>1751</v>
      </c>
      <c r="G138" s="127" t="s">
        <v>1749</v>
      </c>
      <c r="H138" s="128" t="s">
        <v>1750</v>
      </c>
      <c r="I138" s="1926"/>
      <c r="J138" s="127" t="s">
        <v>1752</v>
      </c>
      <c r="K138" s="128" t="s">
        <v>1753</v>
      </c>
    </row>
    <row r="139" spans="1:17" ht="15">
      <c r="B139" s="854">
        <v>6</v>
      </c>
      <c r="C139" s="855">
        <v>96</v>
      </c>
      <c r="D139" s="1927" t="s">
        <v>1754</v>
      </c>
      <c r="E139" s="856">
        <v>100</v>
      </c>
      <c r="F139" s="857">
        <v>102.5</v>
      </c>
      <c r="G139" s="1927" t="s">
        <v>1754</v>
      </c>
      <c r="H139" s="858">
        <v>105</v>
      </c>
      <c r="I139" s="1928" t="s">
        <v>1755</v>
      </c>
      <c r="J139" s="855">
        <v>20</v>
      </c>
      <c r="K139" s="859">
        <f>C145/(J139-2)</f>
        <v>4.0555555555555553E-3</v>
      </c>
    </row>
    <row r="140" spans="1:17" ht="15">
      <c r="B140" s="860">
        <v>5</v>
      </c>
      <c r="C140" s="861">
        <v>100</v>
      </c>
      <c r="D140" s="861"/>
      <c r="E140" s="862"/>
      <c r="F140" s="863">
        <v>102</v>
      </c>
      <c r="G140" s="861"/>
      <c r="H140" s="864"/>
      <c r="I140" s="1929" t="s">
        <v>1756</v>
      </c>
      <c r="J140" s="261">
        <f>ROUNDUP((J139-1)/2,0)</f>
        <v>10</v>
      </c>
      <c r="K140" s="865">
        <v>100</v>
      </c>
    </row>
    <row r="141" spans="1:17" ht="15">
      <c r="B141" s="860">
        <v>4</v>
      </c>
      <c r="C141" s="861">
        <v>102</v>
      </c>
      <c r="D141" s="861"/>
      <c r="E141" s="862"/>
      <c r="F141" s="863">
        <v>101.5</v>
      </c>
      <c r="G141" s="861"/>
      <c r="H141" s="864"/>
      <c r="I141" s="1929" t="s">
        <v>1757</v>
      </c>
      <c r="J141" s="261">
        <v>1</v>
      </c>
      <c r="K141" s="866">
        <f>ROUND(100+(J141-J140)*K139*100,1)</f>
        <v>96.4</v>
      </c>
    </row>
    <row r="142" spans="1:17" ht="15">
      <c r="B142" s="860">
        <v>3</v>
      </c>
      <c r="C142" s="861">
        <v>103</v>
      </c>
      <c r="D142" s="861"/>
      <c r="E142" s="862"/>
      <c r="F142" s="863">
        <v>101</v>
      </c>
      <c r="G142" s="861"/>
      <c r="H142" s="864"/>
      <c r="I142" s="1929" t="s">
        <v>1758</v>
      </c>
      <c r="J142" s="261">
        <f>J139</f>
        <v>20</v>
      </c>
      <c r="K142" s="867">
        <v>95</v>
      </c>
    </row>
    <row r="143" spans="1:17" ht="15">
      <c r="B143" s="860">
        <v>2</v>
      </c>
      <c r="C143" s="861">
        <v>100</v>
      </c>
      <c r="D143" s="861"/>
      <c r="E143" s="862"/>
      <c r="F143" s="863">
        <v>100.5</v>
      </c>
      <c r="G143" s="861"/>
      <c r="H143" s="864"/>
      <c r="I143" s="1929" t="s">
        <v>1759</v>
      </c>
      <c r="J143" s="861">
        <v>15</v>
      </c>
      <c r="K143" s="866">
        <f>ROUND(100+(J143-J140)*K139*100,1)</f>
        <v>102</v>
      </c>
    </row>
    <row r="144" spans="1:17" ht="15">
      <c r="B144" s="860">
        <v>1</v>
      </c>
      <c r="C144" s="861">
        <v>98</v>
      </c>
      <c r="D144" s="1930" t="s">
        <v>1760</v>
      </c>
      <c r="E144" s="862">
        <v>102</v>
      </c>
      <c r="F144" s="868">
        <v>100</v>
      </c>
      <c r="G144" s="1930" t="s">
        <v>1760</v>
      </c>
      <c r="H144" s="864">
        <v>105</v>
      </c>
      <c r="I144" s="1929" t="s">
        <v>1759</v>
      </c>
      <c r="J144" s="861">
        <v>18</v>
      </c>
      <c r="K144" s="866">
        <f>ROUND(100+(J144-J140)*K139*100,1)</f>
        <v>103.2</v>
      </c>
    </row>
    <row r="145" spans="2:11" ht="15.75" thickBot="1">
      <c r="B145" s="1931" t="s">
        <v>1761</v>
      </c>
      <c r="C145" s="869">
        <f>ROUND(MAX(C139:C144)/MIN(C139:C144)-1,3)</f>
        <v>7.2999999999999995E-2</v>
      </c>
      <c r="D145" s="870"/>
      <c r="E145" s="870"/>
      <c r="F145" s="1932" t="s">
        <v>1762</v>
      </c>
      <c r="G145" s="1933"/>
      <c r="H145" s="1934"/>
      <c r="I145" s="1935" t="s">
        <v>1759</v>
      </c>
      <c r="J145" s="871">
        <v>8</v>
      </c>
      <c r="K145" s="872">
        <f>ROUND(100+(J145-J140)*K139*100,1)</f>
        <v>99.2</v>
      </c>
    </row>
    <row r="147" spans="2:11">
      <c r="B147" s="1916" t="s">
        <v>1763</v>
      </c>
    </row>
    <row r="148" spans="2:11">
      <c r="B148" s="191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1809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IF(E1="项目模式",IF(C2="——",ROUND(C50*D3/10000,0),ROUND(C50*D3/10000,0)-D2),IF(E1="单套模式",IF(C2="——",ROUND(C50*D3/10000,4),ROUND(C50*D3/10000,4)-D2)))</f>
        <v>0</v>
      </c>
      <c r="C2" s="1868"/>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f>IF(C2="——",C50,ROUND(B2*10000/D3,0))</f>
        <v>0</v>
      </c>
      <c r="C3" s="344" t="s">
        <v>1767</v>
      </c>
      <c r="D3" s="343">
        <f>IF(D1="",'数据-汇总表'!E3,SUMIF('数据-汇总表'!$C19:$C33,D1,'数据-汇总表'!$E19:$E33))</f>
        <v>98312.17</v>
      </c>
      <c r="E3" s="1941"/>
      <c r="F3" s="896"/>
      <c r="G3" s="895"/>
      <c r="H3" s="895"/>
      <c r="I3" s="895"/>
      <c r="J3" s="895"/>
      <c r="K3" s="897"/>
      <c r="L3" s="2719"/>
      <c r="M3" s="2720"/>
      <c r="N3" s="2720"/>
      <c r="O3" s="2720"/>
      <c r="P3" s="686"/>
      <c r="Q3" s="686"/>
      <c r="R3" s="686"/>
      <c r="S3" s="686"/>
      <c r="T3" s="686"/>
      <c r="U3" s="686"/>
      <c r="V3" s="686"/>
      <c r="W3" s="686"/>
      <c r="X3" s="686"/>
      <c r="Y3" s="686"/>
      <c r="Z3" s="686"/>
      <c r="AA3" s="686"/>
      <c r="AB3" s="686"/>
      <c r="AC3" s="687"/>
    </row>
    <row r="4" spans="1:29" ht="15">
      <c r="A4" s="345" t="s">
        <v>1768</v>
      </c>
      <c r="B4" s="346"/>
      <c r="C4" s="3719" t="s">
        <v>1769</v>
      </c>
      <c r="D4" s="3720"/>
      <c r="E4" s="3721" t="s">
        <v>1770</v>
      </c>
      <c r="F4" s="3722"/>
      <c r="G4" s="3719" t="s">
        <v>1771</v>
      </c>
      <c r="H4" s="3720"/>
      <c r="I4" s="3719" t="s">
        <v>1772</v>
      </c>
      <c r="J4" s="3720"/>
      <c r="K4" s="549" t="s">
        <v>1773</v>
      </c>
      <c r="L4" s="2700"/>
      <c r="M4" s="2701"/>
      <c r="N4" s="2701"/>
      <c r="O4" s="2701"/>
      <c r="P4" s="3783" t="s">
        <v>1774</v>
      </c>
      <c r="Q4" s="3784"/>
      <c r="R4" s="3787" t="s">
        <v>1770</v>
      </c>
      <c r="S4" s="3788"/>
      <c r="T4" s="3787" t="s">
        <v>1771</v>
      </c>
      <c r="U4" s="3788"/>
      <c r="V4" s="3789" t="s">
        <v>1772</v>
      </c>
      <c r="W4" s="3789"/>
      <c r="X4" s="1945"/>
      <c r="Y4" s="3787" t="s">
        <v>1774</v>
      </c>
      <c r="Z4" s="3788"/>
      <c r="AA4" s="3791" t="s">
        <v>1770</v>
      </c>
      <c r="AB4" s="3791" t="s">
        <v>1771</v>
      </c>
      <c r="AC4" s="3780" t="s">
        <v>1772</v>
      </c>
    </row>
    <row r="5" spans="1:29" ht="15">
      <c r="A5" s="348"/>
      <c r="B5" s="349"/>
      <c r="C5" s="3737" t="s">
        <v>1672</v>
      </c>
      <c r="D5" s="3738"/>
      <c r="E5" s="3776" t="s">
        <v>1673</v>
      </c>
      <c r="F5" s="3746"/>
      <c r="G5" s="3737" t="s">
        <v>1674</v>
      </c>
      <c r="H5" s="3738"/>
      <c r="I5" s="3737" t="s">
        <v>1675</v>
      </c>
      <c r="J5" s="3738"/>
      <c r="K5" s="549"/>
      <c r="L5" s="2700"/>
      <c r="M5" s="2701"/>
      <c r="N5" s="2701"/>
      <c r="O5" s="2701"/>
      <c r="P5" s="3785"/>
      <c r="Q5" s="3726"/>
      <c r="R5" s="3731"/>
      <c r="S5" s="3732"/>
      <c r="T5" s="3731"/>
      <c r="U5" s="3732"/>
      <c r="V5" s="3714"/>
      <c r="W5" s="3714"/>
      <c r="X5" s="1342"/>
      <c r="Y5" s="3731"/>
      <c r="Z5" s="3732"/>
      <c r="AA5" s="3717"/>
      <c r="AB5" s="3717"/>
      <c r="AC5" s="3781"/>
    </row>
    <row r="6" spans="1:29" ht="15.75" thickBot="1">
      <c r="A6" s="350"/>
      <c r="B6" s="351"/>
      <c r="C6" s="3735" t="s">
        <v>1676</v>
      </c>
      <c r="D6" s="3736"/>
      <c r="E6" s="3743" t="s">
        <v>1676</v>
      </c>
      <c r="F6" s="3744"/>
      <c r="G6" s="3735" t="s">
        <v>1676</v>
      </c>
      <c r="H6" s="3736"/>
      <c r="I6" s="3735" t="s">
        <v>1676</v>
      </c>
      <c r="J6" s="3736"/>
      <c r="K6" s="549" t="s">
        <v>1677</v>
      </c>
      <c r="L6" s="2700"/>
      <c r="M6" s="2701"/>
      <c r="N6" s="2701"/>
      <c r="O6" s="2701"/>
      <c r="P6" s="3786"/>
      <c r="Q6" s="3728"/>
      <c r="R6" s="3731"/>
      <c r="S6" s="3732"/>
      <c r="T6" s="3733"/>
      <c r="U6" s="3734"/>
      <c r="V6" s="3714"/>
      <c r="W6" s="3714"/>
      <c r="X6" s="1342"/>
      <c r="Y6" s="3733"/>
      <c r="Z6" s="3734"/>
      <c r="AA6" s="3718"/>
      <c r="AB6" s="3718"/>
      <c r="AC6" s="3782"/>
    </row>
    <row r="7" spans="1:29" s="105" customFormat="1" ht="15.75" thickBot="1">
      <c r="A7" s="352" t="s">
        <v>1678</v>
      </c>
      <c r="B7" s="353"/>
      <c r="C7" s="354">
        <f>'数据-取费表'!B2</f>
        <v>45373</v>
      </c>
      <c r="D7" s="355">
        <v>100</v>
      </c>
      <c r="E7" s="356"/>
      <c r="F7" s="357">
        <f>SUMIF(59:59,YEAR(E7)&amp;"-"&amp;MONTH(E7),60:60)</f>
        <v>0</v>
      </c>
      <c r="G7" s="356"/>
      <c r="H7" s="355">
        <f>SUMIF(59:59,YEAR(G7)&amp;"-"&amp;MONTH(G7),60:60)</f>
        <v>0</v>
      </c>
      <c r="I7" s="356"/>
      <c r="J7" s="355">
        <f>SUMIF(59:59,YEAR(I7)&amp;"-"&amp;MONTH(I7),60:60)</f>
        <v>0</v>
      </c>
      <c r="K7" s="550"/>
      <c r="L7" s="2702"/>
      <c r="M7" s="2703"/>
      <c r="N7" s="2703"/>
      <c r="O7" s="2703"/>
      <c r="P7" s="3790" t="s">
        <v>1679</v>
      </c>
      <c r="Q7" s="3741"/>
      <c r="R7" s="688" t="s">
        <v>14</v>
      </c>
      <c r="S7" s="689">
        <f t="shared" ref="S7:S15" si="0">F7</f>
        <v>0</v>
      </c>
      <c r="T7" s="688" t="s">
        <v>14</v>
      </c>
      <c r="U7" s="689">
        <f t="shared" ref="U7:U15" si="1">H7</f>
        <v>0</v>
      </c>
      <c r="V7" s="688" t="s">
        <v>14</v>
      </c>
      <c r="W7" s="689">
        <f t="shared" ref="W7:W15" si="2">J7</f>
        <v>0</v>
      </c>
      <c r="X7" s="690"/>
      <c r="Y7" s="3739" t="s">
        <v>1679</v>
      </c>
      <c r="Z7" s="3740"/>
      <c r="AA7" s="691" t="e">
        <f>D7/F7</f>
        <v>#DIV/0!</v>
      </c>
      <c r="AB7" s="691" t="e">
        <f>D7/H7</f>
        <v>#DIV/0!</v>
      </c>
      <c r="AC7" s="1946" t="e">
        <f>D7/J7</f>
        <v>#DIV/0!</v>
      </c>
    </row>
    <row r="8" spans="1:29" s="105"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550"/>
      <c r="L8" s="2702"/>
      <c r="M8" s="2703"/>
      <c r="N8" s="2703"/>
      <c r="O8" s="2703"/>
      <c r="P8" s="3790" t="s">
        <v>1682</v>
      </c>
      <c r="Q8" s="3740"/>
      <c r="R8" s="688" t="s">
        <v>14</v>
      </c>
      <c r="S8" s="689">
        <f t="shared" si="0"/>
        <v>100</v>
      </c>
      <c r="T8" s="688" t="s">
        <v>14</v>
      </c>
      <c r="U8" s="689">
        <f t="shared" si="1"/>
        <v>100</v>
      </c>
      <c r="V8" s="688" t="s">
        <v>14</v>
      </c>
      <c r="W8" s="689">
        <f t="shared" si="2"/>
        <v>100</v>
      </c>
      <c r="X8" s="690"/>
      <c r="Y8" s="3739" t="s">
        <v>1682</v>
      </c>
      <c r="Z8" s="3740"/>
      <c r="AA8" s="691">
        <f t="shared" ref="AA8:AA47" si="3">D8/F8</f>
        <v>1</v>
      </c>
      <c r="AB8" s="691">
        <f t="shared" ref="AB8:AB47" si="4">D8/H8</f>
        <v>1</v>
      </c>
      <c r="AC8" s="1946">
        <f t="shared" ref="AC8:AC47" si="5">D8/J8</f>
        <v>1</v>
      </c>
    </row>
    <row r="9" spans="1:29" s="105" customFormat="1">
      <c r="A9" s="359" t="s">
        <v>1683</v>
      </c>
      <c r="B9" s="63" t="s">
        <v>1684</v>
      </c>
      <c r="C9" s="360"/>
      <c r="D9" s="116">
        <v>100</v>
      </c>
      <c r="E9" s="363"/>
      <c r="F9" s="116">
        <f>SUMIF(64:64,E9,65:65)-SUMIF(64:64,C9,65:65)+100</f>
        <v>100</v>
      </c>
      <c r="G9" s="361"/>
      <c r="H9" s="116">
        <f>SUMIF(64:64,G9,65:65)-SUMIF(64:64,C9,65:65)+100</f>
        <v>100</v>
      </c>
      <c r="I9" s="361"/>
      <c r="J9" s="116">
        <f>SUMIF(64:64,I9,65:65)-SUMIF(64:64,C9,65:65)+100</f>
        <v>100</v>
      </c>
      <c r="K9" s="550"/>
      <c r="L9" s="2702"/>
      <c r="M9" s="2703"/>
      <c r="N9" s="2703"/>
      <c r="O9" s="2703"/>
      <c r="P9" s="3715" t="s">
        <v>1685</v>
      </c>
      <c r="Q9" s="1330" t="str">
        <f t="shared" ref="Q9:Q15" si="6">B9</f>
        <v>用途</v>
      </c>
      <c r="R9" s="688" t="s">
        <v>14</v>
      </c>
      <c r="S9" s="689">
        <f t="shared" si="0"/>
        <v>100</v>
      </c>
      <c r="T9" s="688" t="s">
        <v>14</v>
      </c>
      <c r="U9" s="689">
        <f t="shared" si="1"/>
        <v>100</v>
      </c>
      <c r="V9" s="688" t="s">
        <v>14</v>
      </c>
      <c r="W9" s="689">
        <f t="shared" si="2"/>
        <v>100</v>
      </c>
      <c r="X9" s="690"/>
      <c r="Y9" s="3607" t="s">
        <v>1686</v>
      </c>
      <c r="Z9" s="52" t="str">
        <f t="shared" ref="Z9:Z15" si="7">Q9</f>
        <v>用途</v>
      </c>
      <c r="AA9" s="691">
        <f t="shared" si="3"/>
        <v>1</v>
      </c>
      <c r="AB9" s="691">
        <f t="shared" si="4"/>
        <v>1</v>
      </c>
      <c r="AC9" s="1946">
        <f t="shared" si="5"/>
        <v>1</v>
      </c>
    </row>
    <row r="10" spans="1:29" s="368" customFormat="1" ht="27">
      <c r="A10" s="364"/>
      <c r="B10" s="365" t="s">
        <v>1687</v>
      </c>
      <c r="C10" s="3411"/>
      <c r="D10" s="117">
        <v>100</v>
      </c>
      <c r="E10" s="3411"/>
      <c r="F10" s="117">
        <f>SUMIF(66:66,E10,67:67)-SUMIF(66:66,C10,67:67)+100</f>
        <v>100</v>
      </c>
      <c r="G10" s="3412"/>
      <c r="H10" s="117">
        <f>SUMIF(66:66,G10,67:67)-SUMIF(66:66,C10,67:67)+100</f>
        <v>100</v>
      </c>
      <c r="I10" s="3411"/>
      <c r="J10" s="117">
        <f>SUMIF(66:66,I10,67:67)-SUMIF(66:66,C10,67:67)+100</f>
        <v>100</v>
      </c>
      <c r="K10" s="550"/>
      <c r="L10" s="2704"/>
      <c r="M10" s="2705"/>
      <c r="N10" s="2705"/>
      <c r="O10" s="2705"/>
      <c r="P10" s="3715"/>
      <c r="Q10" s="1330"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1946">
        <f t="shared" si="5"/>
        <v>1</v>
      </c>
    </row>
    <row r="11" spans="1:29" ht="15">
      <c r="A11" s="369"/>
      <c r="B11" s="365" t="s">
        <v>1688</v>
      </c>
      <c r="C11" s="370"/>
      <c r="D11" s="117">
        <v>100</v>
      </c>
      <c r="E11" s="370"/>
      <c r="F11" s="117">
        <f>LOOKUP(E11,69:69,70:70)-LOOKUP(C11,69:69,70:70)+100</f>
        <v>100</v>
      </c>
      <c r="G11" s="371"/>
      <c r="H11" s="117">
        <f>LOOKUP(G11,69:69,70:70)-LOOKUP(C11,69:69,70:70)+100</f>
        <v>100</v>
      </c>
      <c r="I11" s="370"/>
      <c r="J11" s="117">
        <f>LOOKUP(I11,69:69,70:70)-LOOKUP(C11,69:69,70:70)+100</f>
        <v>100</v>
      </c>
      <c r="K11" s="551"/>
      <c r="L11" s="2706"/>
      <c r="M11" s="2701"/>
      <c r="N11" s="2701"/>
      <c r="O11" s="2701"/>
      <c r="P11" s="3715"/>
      <c r="Q11" s="1330" t="str">
        <f t="shared" si="6"/>
        <v>容积率</v>
      </c>
      <c r="R11" s="688" t="s">
        <v>14</v>
      </c>
      <c r="S11" s="689">
        <f t="shared" si="0"/>
        <v>100</v>
      </c>
      <c r="T11" s="688" t="s">
        <v>14</v>
      </c>
      <c r="U11" s="689">
        <f t="shared" si="1"/>
        <v>100</v>
      </c>
      <c r="V11" s="688" t="s">
        <v>14</v>
      </c>
      <c r="W11" s="689">
        <f t="shared" si="2"/>
        <v>100</v>
      </c>
      <c r="X11" s="690"/>
      <c r="Y11" s="3607"/>
      <c r="Z11" s="52" t="str">
        <f t="shared" si="7"/>
        <v>容积率</v>
      </c>
      <c r="AA11" s="691">
        <f t="shared" si="3"/>
        <v>1</v>
      </c>
      <c r="AB11" s="691">
        <f t="shared" si="4"/>
        <v>1</v>
      </c>
      <c r="AC11" s="1946">
        <f t="shared" si="5"/>
        <v>1</v>
      </c>
    </row>
    <row r="12" spans="1:29" s="105" customFormat="1" ht="15">
      <c r="A12" s="372"/>
      <c r="B12" s="1880">
        <v>111</v>
      </c>
      <c r="C12" s="373"/>
      <c r="D12" s="374">
        <v>100</v>
      </c>
      <c r="E12" s="373"/>
      <c r="F12" s="117">
        <f>SUMIF(71:71,E12,72:72)-SUMIF(71:71,C12,72:72)+100</f>
        <v>100</v>
      </c>
      <c r="G12" s="1947"/>
      <c r="H12" s="117">
        <f>SUMIF(71:71,G12,72:72)-SUMIF(71:71,C12,72:72)+100</f>
        <v>100</v>
      </c>
      <c r="I12" s="373"/>
      <c r="J12" s="117">
        <f>SUMIF(71:71,I12,72:72)-SUMIF(71:71,C12,72:72)+100</f>
        <v>100</v>
      </c>
      <c r="K12" s="552"/>
      <c r="L12" s="2702"/>
      <c r="M12" s="2703"/>
      <c r="N12" s="2703"/>
      <c r="O12" s="2703"/>
      <c r="P12" s="3715"/>
      <c r="Q12" s="1330">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1946">
        <f>D12/J12</f>
        <v>1</v>
      </c>
    </row>
    <row r="13" spans="1:29" ht="15">
      <c r="A13" s="369"/>
      <c r="B13" s="1880">
        <v>111</v>
      </c>
      <c r="C13" s="375"/>
      <c r="D13" s="376">
        <v>100</v>
      </c>
      <c r="E13" s="373"/>
      <c r="F13" s="117">
        <f>SUMIF(73:73,E13,74:74)-SUMIF(73:73,C13,74:74)+100</f>
        <v>100</v>
      </c>
      <c r="G13" s="1947"/>
      <c r="H13" s="376">
        <f>SUMIF(73:73,G13,74:74)-SUMIF(73:73,C13,74:74)+100</f>
        <v>100</v>
      </c>
      <c r="I13" s="373"/>
      <c r="J13" s="376">
        <f>SUMIF(73:73,I13,74:74)-SUMIF(73:73,C13,74:74)+100</f>
        <v>100</v>
      </c>
      <c r="K13" s="552"/>
      <c r="L13" s="2707"/>
      <c r="M13" s="2701"/>
      <c r="N13" s="2701"/>
      <c r="O13" s="2701"/>
      <c r="P13" s="3715"/>
      <c r="Q13" s="1330">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1946">
        <f t="shared" si="5"/>
        <v>1</v>
      </c>
    </row>
    <row r="14" spans="1:29" ht="15.75" thickBot="1">
      <c r="A14" s="377"/>
      <c r="B14" s="1882">
        <v>111</v>
      </c>
      <c r="C14" s="378"/>
      <c r="D14" s="379">
        <v>100</v>
      </c>
      <c r="E14" s="566"/>
      <c r="F14" s="379">
        <f>SUMIF(75:75,E14,76:76)-SUMIF(75:75,C14,76:76)+100</f>
        <v>100</v>
      </c>
      <c r="G14" s="1947"/>
      <c r="H14" s="379">
        <f>SUMIF(75:75,G14,76:76)-SUMIF(75:75,C14,76:76)+100</f>
        <v>100</v>
      </c>
      <c r="I14" s="373"/>
      <c r="J14" s="379">
        <f>SUMIF(75:75,I14,76:76)-SUMIF(75:75,C14,76:76)+100</f>
        <v>100</v>
      </c>
      <c r="K14" s="552"/>
      <c r="L14" s="2707"/>
      <c r="M14" s="2701"/>
      <c r="N14" s="2701"/>
      <c r="O14" s="2701"/>
      <c r="P14" s="3715"/>
      <c r="Q14" s="1330">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1946">
        <f t="shared" si="5"/>
        <v>1</v>
      </c>
    </row>
    <row r="15" spans="1:29" ht="15">
      <c r="A15" s="381" t="s">
        <v>1689</v>
      </c>
      <c r="B15" s="567" t="s">
        <v>1810</v>
      </c>
      <c r="C15" s="1948">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7"/>
      <c r="M15" s="2701"/>
      <c r="N15" s="2701"/>
      <c r="O15" s="2701"/>
      <c r="P15" s="3705" t="s">
        <v>1690</v>
      </c>
      <c r="Q15" s="1339" t="str">
        <f t="shared" si="6"/>
        <v>办公集聚程度</v>
      </c>
      <c r="R15" s="692" t="s">
        <v>14</v>
      </c>
      <c r="S15" s="693">
        <f t="shared" si="0"/>
        <v>100</v>
      </c>
      <c r="T15" s="692" t="s">
        <v>14</v>
      </c>
      <c r="U15" s="693">
        <f t="shared" si="1"/>
        <v>100</v>
      </c>
      <c r="V15" s="692" t="s">
        <v>14</v>
      </c>
      <c r="W15" s="693">
        <f t="shared" si="2"/>
        <v>100</v>
      </c>
      <c r="X15" s="1342"/>
      <c r="Y15" s="3707" t="s">
        <v>1690</v>
      </c>
      <c r="Z15" s="1343" t="str">
        <f t="shared" si="7"/>
        <v>办公集聚程度</v>
      </c>
      <c r="AA15" s="1340">
        <f t="shared" si="3"/>
        <v>1</v>
      </c>
      <c r="AB15" s="1340">
        <f t="shared" si="4"/>
        <v>1</v>
      </c>
      <c r="AC15" s="1949">
        <f t="shared" si="5"/>
        <v>1</v>
      </c>
    </row>
    <row r="16" spans="1:29" ht="15">
      <c r="A16" s="369"/>
      <c r="B16" s="568"/>
      <c r="C16" s="1891"/>
      <c r="D16" s="389"/>
      <c r="E16" s="388"/>
      <c r="F16" s="389"/>
      <c r="G16" s="1891"/>
      <c r="H16" s="391"/>
      <c r="I16" s="388"/>
      <c r="J16" s="389"/>
      <c r="K16" s="554"/>
      <c r="L16" s="2707"/>
      <c r="M16" s="2701"/>
      <c r="N16" s="2701"/>
      <c r="O16" s="2701"/>
      <c r="P16" s="3706"/>
      <c r="Q16" s="1339"/>
      <c r="R16" s="692"/>
      <c r="S16" s="693"/>
      <c r="T16" s="692"/>
      <c r="U16" s="693"/>
      <c r="V16" s="692"/>
      <c r="W16" s="693"/>
      <c r="X16" s="1342"/>
      <c r="Y16" s="3708"/>
      <c r="Z16" s="1343"/>
      <c r="AA16" s="1340">
        <v>1</v>
      </c>
      <c r="AB16" s="1340">
        <v>1</v>
      </c>
      <c r="AC16" s="1949">
        <v>1</v>
      </c>
    </row>
    <row r="17" spans="1:29" ht="71.25">
      <c r="A17" s="369"/>
      <c r="B17" s="569" t="s">
        <v>1259</v>
      </c>
      <c r="C17" s="1950"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3"/>
      <c r="L17" s="2707"/>
      <c r="M17" s="2701"/>
      <c r="N17" s="2701"/>
      <c r="O17" s="2701"/>
      <c r="P17" s="3706"/>
      <c r="Q17" s="1339" t="str">
        <f>B17</f>
        <v>交通便捷度</v>
      </c>
      <c r="R17" s="692" t="s">
        <v>14</v>
      </c>
      <c r="S17" s="693">
        <f>F17</f>
        <v>100</v>
      </c>
      <c r="T17" s="692" t="s">
        <v>14</v>
      </c>
      <c r="U17" s="693">
        <f>H17</f>
        <v>100</v>
      </c>
      <c r="V17" s="692" t="s">
        <v>14</v>
      </c>
      <c r="W17" s="693">
        <f>J17</f>
        <v>100</v>
      </c>
      <c r="X17" s="1342"/>
      <c r="Y17" s="3708"/>
      <c r="Z17" s="1343" t="str">
        <f>Q17</f>
        <v>交通便捷度</v>
      </c>
      <c r="AA17" s="1340">
        <f t="shared" si="3"/>
        <v>1</v>
      </c>
      <c r="AB17" s="1340">
        <f t="shared" si="4"/>
        <v>1</v>
      </c>
      <c r="AC17" s="1949">
        <f t="shared" si="5"/>
        <v>1</v>
      </c>
    </row>
    <row r="18" spans="1:29" ht="15">
      <c r="A18" s="369"/>
      <c r="B18" s="570"/>
      <c r="C18" s="1951"/>
      <c r="D18" s="391"/>
      <c r="E18" s="1889"/>
      <c r="F18" s="391"/>
      <c r="G18" s="1890"/>
      <c r="H18" s="389"/>
      <c r="I18" s="1890"/>
      <c r="J18" s="389"/>
      <c r="K18" s="554"/>
      <c r="L18" s="2707"/>
      <c r="M18" s="2701"/>
      <c r="N18" s="2701"/>
      <c r="O18" s="2701"/>
      <c r="P18" s="3706"/>
      <c r="Q18" s="1339"/>
      <c r="R18" s="692"/>
      <c r="S18" s="693"/>
      <c r="T18" s="692"/>
      <c r="U18" s="693"/>
      <c r="V18" s="692"/>
      <c r="W18" s="693"/>
      <c r="X18" s="1342"/>
      <c r="Y18" s="3708"/>
      <c r="Z18" s="1343"/>
      <c r="AA18" s="1340">
        <v>1</v>
      </c>
      <c r="AB18" s="1340">
        <v>1</v>
      </c>
      <c r="AC18" s="1949">
        <v>1</v>
      </c>
    </row>
    <row r="19" spans="1:29" ht="42.75">
      <c r="A19" s="369"/>
      <c r="B19" s="569" t="s">
        <v>1811</v>
      </c>
      <c r="C19" s="1950" t="str">
        <f>估价对象房地状况!C7</f>
        <v>估价对象所在区域公共配套设施齐备情况较好</v>
      </c>
      <c r="D19" s="396">
        <v>100</v>
      </c>
      <c r="E19" s="400"/>
      <c r="F19" s="396">
        <f>SUMIF(81:81,E20,82:82)-SUMIF(81:81,C20,82:82)+100</f>
        <v>100</v>
      </c>
      <c r="G19" s="398"/>
      <c r="H19" s="391">
        <f>SUMIF(81:81,G20,82:82)-SUMIF(81:81,C20,82:82)+100</f>
        <v>100</v>
      </c>
      <c r="I19" s="398"/>
      <c r="J19" s="391">
        <f>SUMIF(81:81,I20,82:82)-SUMIF(81:81,C20,82:82)+100</f>
        <v>100</v>
      </c>
      <c r="K19" s="553"/>
      <c r="L19" s="2707"/>
      <c r="M19" s="2701"/>
      <c r="N19" s="2701"/>
      <c r="O19" s="2701"/>
      <c r="P19" s="3706"/>
      <c r="Q19" s="1339" t="str">
        <f>B19</f>
        <v>公共配套设施</v>
      </c>
      <c r="R19" s="692" t="s">
        <v>14</v>
      </c>
      <c r="S19" s="693">
        <f>F19</f>
        <v>100</v>
      </c>
      <c r="T19" s="692" t="s">
        <v>14</v>
      </c>
      <c r="U19" s="693">
        <f>H19</f>
        <v>100</v>
      </c>
      <c r="V19" s="692" t="s">
        <v>14</v>
      </c>
      <c r="W19" s="693">
        <f>J19</f>
        <v>100</v>
      </c>
      <c r="X19" s="1342"/>
      <c r="Y19" s="3708"/>
      <c r="Z19" s="1343" t="str">
        <f>Q19</f>
        <v>公共配套设施</v>
      </c>
      <c r="AA19" s="1340">
        <f t="shared" si="3"/>
        <v>1</v>
      </c>
      <c r="AB19" s="1340">
        <f t="shared" si="4"/>
        <v>1</v>
      </c>
      <c r="AC19" s="1949">
        <f t="shared" si="5"/>
        <v>1</v>
      </c>
    </row>
    <row r="20" spans="1:29" ht="15">
      <c r="A20" s="369"/>
      <c r="B20" s="570"/>
      <c r="C20" s="1891"/>
      <c r="D20" s="389"/>
      <c r="E20" s="1884"/>
      <c r="F20" s="389"/>
      <c r="G20" s="1885"/>
      <c r="H20" s="389"/>
      <c r="I20" s="1885"/>
      <c r="J20" s="389"/>
      <c r="K20" s="554"/>
      <c r="L20" s="2707"/>
      <c r="M20" s="2701"/>
      <c r="N20" s="2701"/>
      <c r="O20" s="2701"/>
      <c r="P20" s="3706"/>
      <c r="Q20" s="1339"/>
      <c r="R20" s="692"/>
      <c r="S20" s="693"/>
      <c r="T20" s="692"/>
      <c r="U20" s="693"/>
      <c r="V20" s="692"/>
      <c r="W20" s="693"/>
      <c r="X20" s="1342"/>
      <c r="Y20" s="3708"/>
      <c r="Z20" s="1343"/>
      <c r="AA20" s="1340">
        <v>1</v>
      </c>
      <c r="AB20" s="1340">
        <v>1</v>
      </c>
      <c r="AC20" s="1949">
        <v>1</v>
      </c>
    </row>
    <row r="21" spans="1:29" ht="15">
      <c r="A21" s="369"/>
      <c r="B21" s="571" t="s">
        <v>1812</v>
      </c>
      <c r="C21" s="1950"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3"/>
      <c r="L21" s="2707"/>
      <c r="M21" s="2701"/>
      <c r="N21" s="2701"/>
      <c r="O21" s="2701"/>
      <c r="P21" s="3706"/>
      <c r="Q21" s="1339" t="str">
        <f>B21</f>
        <v>基础设施水平</v>
      </c>
      <c r="R21" s="692" t="s">
        <v>14</v>
      </c>
      <c r="S21" s="693">
        <f>F21</f>
        <v>100</v>
      </c>
      <c r="T21" s="692" t="s">
        <v>14</v>
      </c>
      <c r="U21" s="693">
        <f>H21</f>
        <v>100</v>
      </c>
      <c r="V21" s="692" t="s">
        <v>14</v>
      </c>
      <c r="W21" s="693">
        <f>J21</f>
        <v>100</v>
      </c>
      <c r="X21" s="1342"/>
      <c r="Y21" s="3708"/>
      <c r="Z21" s="1343" t="str">
        <f>Q21</f>
        <v>基础设施水平</v>
      </c>
      <c r="AA21" s="1340">
        <f t="shared" ref="AA21" si="8">D21/F21</f>
        <v>1</v>
      </c>
      <c r="AB21" s="1340">
        <f t="shared" ref="AB21" si="9">D21/H21</f>
        <v>1</v>
      </c>
      <c r="AC21" s="1949">
        <f t="shared" ref="AC21" si="10">D21/J21</f>
        <v>1</v>
      </c>
    </row>
    <row r="22" spans="1:29" ht="15">
      <c r="A22" s="369"/>
      <c r="B22" s="571"/>
      <c r="C22" s="1951"/>
      <c r="D22" s="389"/>
      <c r="E22" s="388"/>
      <c r="F22" s="389"/>
      <c r="G22" s="1891"/>
      <c r="H22" s="389"/>
      <c r="I22" s="1891"/>
      <c r="J22" s="389"/>
      <c r="K22" s="1117"/>
      <c r="L22" s="2707"/>
      <c r="M22" s="2701"/>
      <c r="N22" s="2701"/>
      <c r="O22" s="2701"/>
      <c r="P22" s="3706"/>
      <c r="Q22" s="1339"/>
      <c r="R22" s="692"/>
      <c r="S22" s="693"/>
      <c r="T22" s="692"/>
      <c r="U22" s="693"/>
      <c r="V22" s="692"/>
      <c r="W22" s="693"/>
      <c r="X22" s="1342"/>
      <c r="Y22" s="3708"/>
      <c r="Z22" s="1343"/>
      <c r="AA22" s="1340">
        <v>1</v>
      </c>
      <c r="AB22" s="1340">
        <v>1</v>
      </c>
      <c r="AC22" s="1949">
        <v>1</v>
      </c>
    </row>
    <row r="23" spans="1:29" ht="85.5">
      <c r="A23" s="369"/>
      <c r="B23" s="569" t="s">
        <v>1813</v>
      </c>
      <c r="C23" s="1950" t="str">
        <f>估价对象房地状况!C9</f>
        <v>区域自然环境：蓝靛厂公园、四季曙光公园、南长河公园；人文环境；综合评价环境状况较好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7"/>
      <c r="M23" s="2701"/>
      <c r="N23" s="2701"/>
      <c r="O23" s="2701"/>
      <c r="P23" s="3706"/>
      <c r="Q23" s="1339" t="str">
        <f>B23</f>
        <v>环境质量</v>
      </c>
      <c r="R23" s="692" t="s">
        <v>14</v>
      </c>
      <c r="S23" s="693">
        <f>F23</f>
        <v>100</v>
      </c>
      <c r="T23" s="692" t="s">
        <v>14</v>
      </c>
      <c r="U23" s="693">
        <f>H23</f>
        <v>100</v>
      </c>
      <c r="V23" s="692" t="s">
        <v>14</v>
      </c>
      <c r="W23" s="693">
        <f>J23</f>
        <v>100</v>
      </c>
      <c r="X23" s="1342"/>
      <c r="Y23" s="3708"/>
      <c r="Z23" s="1343" t="str">
        <f>Q23</f>
        <v>环境质量</v>
      </c>
      <c r="AA23" s="1340">
        <f t="shared" si="3"/>
        <v>1</v>
      </c>
      <c r="AB23" s="1340">
        <f t="shared" si="4"/>
        <v>1</v>
      </c>
      <c r="AC23" s="1949">
        <f t="shared" si="5"/>
        <v>1</v>
      </c>
    </row>
    <row r="24" spans="1:29" ht="15">
      <c r="A24" s="369"/>
      <c r="B24" s="571"/>
      <c r="C24" s="1891"/>
      <c r="D24" s="389"/>
      <c r="E24" s="1884"/>
      <c r="F24" s="389"/>
      <c r="G24" s="1885"/>
      <c r="H24" s="389"/>
      <c r="I24" s="1885"/>
      <c r="J24" s="389"/>
      <c r="K24" s="554"/>
      <c r="L24" s="2707"/>
      <c r="M24" s="2701"/>
      <c r="N24" s="2701"/>
      <c r="O24" s="2701"/>
      <c r="P24" s="3706"/>
      <c r="Q24" s="1339"/>
      <c r="R24" s="692"/>
      <c r="S24" s="693"/>
      <c r="T24" s="692"/>
      <c r="U24" s="693"/>
      <c r="V24" s="692"/>
      <c r="W24" s="693"/>
      <c r="X24" s="1342"/>
      <c r="Y24" s="3708"/>
      <c r="Z24" s="1343"/>
      <c r="AA24" s="1340">
        <v>1</v>
      </c>
      <c r="AB24" s="1340">
        <v>1</v>
      </c>
      <c r="AC24" s="1949">
        <v>1</v>
      </c>
    </row>
    <row r="25" spans="1:29" ht="27">
      <c r="A25" s="348"/>
      <c r="B25" s="569" t="s">
        <v>1814</v>
      </c>
      <c r="C25" s="1895"/>
      <c r="D25" s="376">
        <v>100</v>
      </c>
      <c r="E25" s="375"/>
      <c r="F25" s="376">
        <f>SUMIF(87:87,E26,88:88)-SUMIF(87:87,C26,88:88)+100</f>
        <v>100</v>
      </c>
      <c r="G25" s="1895"/>
      <c r="H25" s="376">
        <f>SUMIF(87:87,G26,88:88)-SUMIF(87:87,C26,88:88)+100</f>
        <v>100</v>
      </c>
      <c r="I25" s="375"/>
      <c r="J25" s="376">
        <f>SUMIF(87:87,I26,88:88)-SUMIF(87:87,C26,88:88)+100</f>
        <v>100</v>
      </c>
      <c r="K25" s="553"/>
      <c r="L25" s="2707"/>
      <c r="M25" s="2701"/>
      <c r="N25" s="2701"/>
      <c r="O25" s="2701"/>
      <c r="P25" s="3706"/>
      <c r="Q25" s="1339" t="str">
        <f>B25</f>
        <v>毗邻道路的类型与等级</v>
      </c>
      <c r="R25" s="692" t="s">
        <v>14</v>
      </c>
      <c r="S25" s="693">
        <f>F25</f>
        <v>100</v>
      </c>
      <c r="T25" s="692" t="s">
        <v>14</v>
      </c>
      <c r="U25" s="693">
        <f>H25</f>
        <v>100</v>
      </c>
      <c r="V25" s="692" t="s">
        <v>14</v>
      </c>
      <c r="W25" s="693">
        <f>J25</f>
        <v>100</v>
      </c>
      <c r="X25" s="1342"/>
      <c r="Y25" s="3708"/>
      <c r="Z25" s="1343" t="str">
        <f>Q25</f>
        <v>毗邻道路的类型与等级</v>
      </c>
      <c r="AA25" s="1340">
        <f t="shared" si="3"/>
        <v>1</v>
      </c>
      <c r="AB25" s="1340">
        <f t="shared" si="4"/>
        <v>1</v>
      </c>
      <c r="AC25" s="1949">
        <f t="shared" si="5"/>
        <v>1</v>
      </c>
    </row>
    <row r="26" spans="1:29" ht="15">
      <c r="A26" s="348"/>
      <c r="B26" s="570"/>
      <c r="C26" s="572"/>
      <c r="D26" s="376"/>
      <c r="E26" s="555"/>
      <c r="F26" s="376"/>
      <c r="G26" s="572"/>
      <c r="H26" s="376"/>
      <c r="I26" s="555"/>
      <c r="J26" s="376"/>
      <c r="K26" s="554"/>
      <c r="L26" s="2707"/>
      <c r="M26" s="2701"/>
      <c r="N26" s="2701"/>
      <c r="O26" s="2701"/>
      <c r="P26" s="3706"/>
      <c r="Q26" s="1339"/>
      <c r="R26" s="692"/>
      <c r="S26" s="693"/>
      <c r="T26" s="692"/>
      <c r="U26" s="693"/>
      <c r="V26" s="692"/>
      <c r="W26" s="693"/>
      <c r="X26" s="1342"/>
      <c r="Y26" s="3708"/>
      <c r="Z26" s="1343"/>
      <c r="AA26" s="1340">
        <v>1</v>
      </c>
      <c r="AB26" s="1340">
        <v>1</v>
      </c>
      <c r="AC26" s="1949">
        <v>1</v>
      </c>
    </row>
    <row r="27" spans="1:29" ht="15">
      <c r="A27" s="369"/>
      <c r="B27" s="570" t="s">
        <v>1782</v>
      </c>
      <c r="C27" s="572"/>
      <c r="D27" s="376">
        <v>100</v>
      </c>
      <c r="E27" s="555"/>
      <c r="F27" s="376">
        <f>SUMIF(89:89,E27,90:90)-SUMIF(89:89,C27,90:90)+100</f>
        <v>100</v>
      </c>
      <c r="G27" s="572"/>
      <c r="H27" s="376">
        <f>SUMIF(89:89,G27,90:90)-SUMIF(89:89,C27,90:90)+100</f>
        <v>100</v>
      </c>
      <c r="I27" s="555"/>
      <c r="J27" s="376">
        <f>SUMIF(89:89,I27,90:90)-SUMIF(89:89,C27,90:90)+100</f>
        <v>100</v>
      </c>
      <c r="K27" s="551"/>
      <c r="L27" s="2707"/>
      <c r="M27" s="2701"/>
      <c r="N27" s="2701"/>
      <c r="O27" s="2701"/>
      <c r="P27" s="3706"/>
      <c r="Q27" s="1339" t="str">
        <f t="shared" ref="Q27:Q47" si="11">B27</f>
        <v>楼层</v>
      </c>
      <c r="R27" s="692" t="s">
        <v>14</v>
      </c>
      <c r="S27" s="693">
        <f>F27</f>
        <v>100</v>
      </c>
      <c r="T27" s="692" t="s">
        <v>14</v>
      </c>
      <c r="U27" s="693">
        <f>H27</f>
        <v>100</v>
      </c>
      <c r="V27" s="692" t="s">
        <v>14</v>
      </c>
      <c r="W27" s="693">
        <f>J27</f>
        <v>100</v>
      </c>
      <c r="X27" s="1342"/>
      <c r="Y27" s="3708"/>
      <c r="Z27" s="1343" t="str">
        <f>Q27</f>
        <v>楼层</v>
      </c>
      <c r="AA27" s="1340">
        <f t="shared" si="3"/>
        <v>1</v>
      </c>
      <c r="AB27" s="1340">
        <f t="shared" si="4"/>
        <v>1</v>
      </c>
      <c r="AC27" s="1949">
        <f t="shared" si="5"/>
        <v>1</v>
      </c>
    </row>
    <row r="28" spans="1:29" s="105" customFormat="1" ht="15">
      <c r="A28" s="372"/>
      <c r="B28" s="569" t="s">
        <v>1815</v>
      </c>
      <c r="C28" s="1952"/>
      <c r="D28" s="403">
        <v>100</v>
      </c>
      <c r="E28" s="1943"/>
      <c r="F28" s="403">
        <f>SUMIF(91:91,E28,92:92)-SUMIF(91:91,C28,92:92)+100</f>
        <v>100</v>
      </c>
      <c r="G28" s="1952"/>
      <c r="H28" s="403">
        <f>SUMIF(91:91,G28,92:92)-SUMIF(91:91,C28,92:92)+100</f>
        <v>100</v>
      </c>
      <c r="I28" s="1943"/>
      <c r="J28" s="403">
        <f>SUMIF(91:91,I28,92:92)-SUMIF(91:91,C28,92:92)+100</f>
        <v>100</v>
      </c>
      <c r="K28" s="551"/>
      <c r="L28" s="2702"/>
      <c r="M28" s="2703"/>
      <c r="N28" s="2703"/>
      <c r="O28" s="2703"/>
      <c r="P28" s="3706"/>
      <c r="Q28" s="1330" t="str">
        <f t="shared" si="11"/>
        <v>朝向</v>
      </c>
      <c r="R28" s="688" t="s">
        <v>14</v>
      </c>
      <c r="S28" s="689">
        <f>F28</f>
        <v>100</v>
      </c>
      <c r="T28" s="688" t="s">
        <v>14</v>
      </c>
      <c r="U28" s="689">
        <f>H28</f>
        <v>100</v>
      </c>
      <c r="V28" s="688" t="s">
        <v>14</v>
      </c>
      <c r="W28" s="689">
        <f>J28</f>
        <v>100</v>
      </c>
      <c r="X28" s="690"/>
      <c r="Y28" s="3708"/>
      <c r="Z28" s="52" t="str">
        <f>Q28</f>
        <v>朝向</v>
      </c>
      <c r="AA28" s="1340">
        <f>D28/F28</f>
        <v>1</v>
      </c>
      <c r="AB28" s="1340">
        <f>D28/H28</f>
        <v>1</v>
      </c>
      <c r="AC28" s="1949">
        <f>D28/J28</f>
        <v>1</v>
      </c>
    </row>
    <row r="29" spans="1:29" ht="15">
      <c r="A29" s="369"/>
      <c r="B29" s="1953">
        <v>111</v>
      </c>
      <c r="C29" s="1895"/>
      <c r="D29" s="376">
        <v>100</v>
      </c>
      <c r="E29" s="373"/>
      <c r="F29" s="376">
        <f>SUMIF(93:93,E29,94:94)-SUMIF(93:93,C29,94:94)+100</f>
        <v>100</v>
      </c>
      <c r="G29" s="1947"/>
      <c r="H29" s="376">
        <f>SUMIF(93:93,G29,94:94)-SUMIF(93:93,C29,94:94)+100</f>
        <v>100</v>
      </c>
      <c r="I29" s="373"/>
      <c r="J29" s="376">
        <f>SUMIF(93:93,I29,94:94)-SUMIF(93:93,C29,94:94)+100</f>
        <v>100</v>
      </c>
      <c r="K29" s="552"/>
      <c r="L29" s="2707"/>
      <c r="M29" s="2701"/>
      <c r="N29" s="2701"/>
      <c r="O29" s="2701"/>
      <c r="P29" s="3706"/>
      <c r="Q29" s="1339">
        <f t="shared" si="11"/>
        <v>111</v>
      </c>
      <c r="R29" s="692" t="s">
        <v>14</v>
      </c>
      <c r="S29" s="693">
        <f t="shared" ref="S29:S47" si="12">F29</f>
        <v>100</v>
      </c>
      <c r="T29" s="692" t="s">
        <v>14</v>
      </c>
      <c r="U29" s="693">
        <f t="shared" ref="U29:U47" si="13">H29</f>
        <v>100</v>
      </c>
      <c r="V29" s="692" t="s">
        <v>14</v>
      </c>
      <c r="W29" s="693">
        <f t="shared" ref="W29:W47" si="14">J29</f>
        <v>100</v>
      </c>
      <c r="X29" s="1342"/>
      <c r="Y29" s="3708"/>
      <c r="Z29" s="1343">
        <f t="shared" ref="Z29:Z47" si="15">Q29</f>
        <v>111</v>
      </c>
      <c r="AA29" s="1340">
        <f t="shared" si="3"/>
        <v>1</v>
      </c>
      <c r="AB29" s="1340">
        <f t="shared" si="4"/>
        <v>1</v>
      </c>
      <c r="AC29" s="1949">
        <f t="shared" si="5"/>
        <v>1</v>
      </c>
    </row>
    <row r="30" spans="1:29" ht="15">
      <c r="A30" s="369"/>
      <c r="B30" s="1953">
        <v>111</v>
      </c>
      <c r="C30" s="1895"/>
      <c r="D30" s="376">
        <v>100</v>
      </c>
      <c r="E30" s="373"/>
      <c r="F30" s="376">
        <f>SUMIF(95:95,E30,96:96)-SUMIF(95:95,C30,96:96)+100</f>
        <v>100</v>
      </c>
      <c r="G30" s="1947"/>
      <c r="H30" s="376">
        <f>SUMIF(95:95,G30,96:96)-SUMIF(95:95,C30,96:96)+100</f>
        <v>100</v>
      </c>
      <c r="I30" s="373"/>
      <c r="J30" s="376">
        <f>SUMIF(95:95,I30,96:96)-SUMIF(95:95,C30,96:96)+100</f>
        <v>100</v>
      </c>
      <c r="K30" s="552"/>
      <c r="L30" s="2707"/>
      <c r="M30" s="2701"/>
      <c r="N30" s="2701"/>
      <c r="O30" s="2701"/>
      <c r="P30" s="3706"/>
      <c r="Q30" s="1339">
        <f t="shared" si="11"/>
        <v>111</v>
      </c>
      <c r="R30" s="692" t="s">
        <v>14</v>
      </c>
      <c r="S30" s="693">
        <f t="shared" si="12"/>
        <v>100</v>
      </c>
      <c r="T30" s="692" t="s">
        <v>14</v>
      </c>
      <c r="U30" s="693">
        <f t="shared" si="13"/>
        <v>100</v>
      </c>
      <c r="V30" s="692" t="s">
        <v>14</v>
      </c>
      <c r="W30" s="693">
        <f t="shared" si="14"/>
        <v>100</v>
      </c>
      <c r="X30" s="1342"/>
      <c r="Y30" s="3708"/>
      <c r="Z30" s="1343">
        <f t="shared" si="15"/>
        <v>111</v>
      </c>
      <c r="AA30" s="1340">
        <f t="shared" si="3"/>
        <v>1</v>
      </c>
      <c r="AB30" s="1340">
        <f t="shared" si="4"/>
        <v>1</v>
      </c>
      <c r="AC30" s="1949">
        <f t="shared" si="5"/>
        <v>1</v>
      </c>
    </row>
    <row r="31" spans="1:29" ht="15">
      <c r="A31" s="369"/>
      <c r="B31" s="1953">
        <v>111</v>
      </c>
      <c r="C31" s="1895"/>
      <c r="D31" s="376">
        <v>100</v>
      </c>
      <c r="E31" s="373"/>
      <c r="F31" s="376">
        <f>SUMIF(97:97,E31,98:98)-SUMIF(97:97,C31,98:98)+100</f>
        <v>100</v>
      </c>
      <c r="G31" s="1947"/>
      <c r="H31" s="376">
        <f>SUMIF(97:97,G31,98:98)-SUMIF(97:97,C31,98:98)+100</f>
        <v>100</v>
      </c>
      <c r="I31" s="373"/>
      <c r="J31" s="376">
        <f>SUMIF(97:97,I31,98:98)-SUMIF(97:97,C31,98:98)+100</f>
        <v>100</v>
      </c>
      <c r="K31" s="552"/>
      <c r="L31" s="2707"/>
      <c r="M31" s="2701"/>
      <c r="N31" s="2701"/>
      <c r="O31" s="2701"/>
      <c r="P31" s="3706"/>
      <c r="Q31" s="1339">
        <f t="shared" si="11"/>
        <v>111</v>
      </c>
      <c r="R31" s="692" t="s">
        <v>14</v>
      </c>
      <c r="S31" s="693">
        <f t="shared" si="12"/>
        <v>100</v>
      </c>
      <c r="T31" s="692" t="s">
        <v>14</v>
      </c>
      <c r="U31" s="693">
        <f t="shared" si="13"/>
        <v>100</v>
      </c>
      <c r="V31" s="692" t="s">
        <v>14</v>
      </c>
      <c r="W31" s="693">
        <f t="shared" si="14"/>
        <v>100</v>
      </c>
      <c r="X31" s="1342"/>
      <c r="Y31" s="3708"/>
      <c r="Z31" s="1343">
        <f t="shared" si="15"/>
        <v>111</v>
      </c>
      <c r="AA31" s="1340">
        <f t="shared" si="3"/>
        <v>1</v>
      </c>
      <c r="AB31" s="1340">
        <f t="shared" si="4"/>
        <v>1</v>
      </c>
      <c r="AC31" s="1949">
        <f t="shared" si="5"/>
        <v>1</v>
      </c>
    </row>
    <row r="32" spans="1:29" ht="15.75" thickBot="1">
      <c r="A32" s="377"/>
      <c r="B32" s="573">
        <v>111</v>
      </c>
      <c r="C32" s="1896"/>
      <c r="D32" s="379">
        <v>100</v>
      </c>
      <c r="E32" s="566"/>
      <c r="F32" s="379">
        <f>SUMIF(99:99,E32,100:100)-SUMIF(99:99,C32,100:100)+100</f>
        <v>100</v>
      </c>
      <c r="G32" s="1947"/>
      <c r="H32" s="379">
        <f>SUMIF(99:99,G32,100:100)-SUMIF(99:99,C32,100:100)+100</f>
        <v>100</v>
      </c>
      <c r="I32" s="373"/>
      <c r="J32" s="379">
        <f>SUMIF(99:99,I32,100:100)-SUMIF(99:99,C32,100:100)+100</f>
        <v>100</v>
      </c>
      <c r="K32" s="552"/>
      <c r="L32" s="2707"/>
      <c r="M32" s="2701"/>
      <c r="N32" s="2701"/>
      <c r="O32" s="2701"/>
      <c r="P32" s="3706"/>
      <c r="Q32" s="1339">
        <f t="shared" si="11"/>
        <v>111</v>
      </c>
      <c r="R32" s="692" t="s">
        <v>14</v>
      </c>
      <c r="S32" s="693">
        <f t="shared" si="12"/>
        <v>100</v>
      </c>
      <c r="T32" s="692" t="s">
        <v>14</v>
      </c>
      <c r="U32" s="693">
        <f t="shared" si="13"/>
        <v>100</v>
      </c>
      <c r="V32" s="692" t="s">
        <v>14</v>
      </c>
      <c r="W32" s="693">
        <f t="shared" si="14"/>
        <v>100</v>
      </c>
      <c r="X32" s="1342"/>
      <c r="Y32" s="3708"/>
      <c r="Z32" s="1343">
        <f t="shared" si="15"/>
        <v>111</v>
      </c>
      <c r="AA32" s="1340">
        <f t="shared" si="3"/>
        <v>1</v>
      </c>
      <c r="AB32" s="1340">
        <f t="shared" si="4"/>
        <v>1</v>
      </c>
      <c r="AC32" s="1949">
        <f t="shared" si="5"/>
        <v>1</v>
      </c>
    </row>
    <row r="33" spans="1:29" ht="15">
      <c r="A33" s="381" t="s">
        <v>1693</v>
      </c>
      <c r="B33" s="63" t="s">
        <v>1816</v>
      </c>
      <c r="C33" s="1954"/>
      <c r="D33" s="408">
        <v>100</v>
      </c>
      <c r="E33" s="1954"/>
      <c r="F33" s="402">
        <f>SUMIF(101:101,E33,102:102)-SUMIF(101:101,C33,102:102)+100</f>
        <v>100</v>
      </c>
      <c r="G33" s="1954"/>
      <c r="H33" s="376">
        <f>SUMIF(101:101,G33,102:102)-SUMIF(101:101,C33,102:102)+100</f>
        <v>100</v>
      </c>
      <c r="I33" s="1954"/>
      <c r="J33" s="408">
        <f>SUMIF(101:101,I33,102:102)-SUMIF(101:101,C33,102:102)+100</f>
        <v>100</v>
      </c>
      <c r="K33" s="551"/>
      <c r="L33" s="2707"/>
      <c r="M33" s="2701"/>
      <c r="N33" s="2701"/>
      <c r="O33" s="2701"/>
      <c r="P33" s="3709" t="s">
        <v>1695</v>
      </c>
      <c r="Q33" s="1339" t="str">
        <f t="shared" si="11"/>
        <v>建筑类型</v>
      </c>
      <c r="R33" s="692" t="s">
        <v>14</v>
      </c>
      <c r="S33" s="693">
        <f t="shared" si="12"/>
        <v>100</v>
      </c>
      <c r="T33" s="692" t="s">
        <v>14</v>
      </c>
      <c r="U33" s="693">
        <f t="shared" si="13"/>
        <v>100</v>
      </c>
      <c r="V33" s="692" t="s">
        <v>14</v>
      </c>
      <c r="W33" s="693">
        <f t="shared" si="14"/>
        <v>100</v>
      </c>
      <c r="X33" s="1342"/>
      <c r="Y33" s="3712" t="s">
        <v>1695</v>
      </c>
      <c r="Z33" s="1343" t="str">
        <f t="shared" si="15"/>
        <v>建筑类型</v>
      </c>
      <c r="AA33" s="1340">
        <f t="shared" si="3"/>
        <v>1</v>
      </c>
      <c r="AB33" s="1340">
        <f t="shared" si="4"/>
        <v>1</v>
      </c>
      <c r="AC33" s="1949">
        <f t="shared" si="5"/>
        <v>1</v>
      </c>
    </row>
    <row r="34" spans="1:29" s="412" customFormat="1" ht="15">
      <c r="A34" s="409"/>
      <c r="B34" s="365" t="s">
        <v>1696</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6"/>
      <c r="M34" s="2708"/>
      <c r="N34" s="2708"/>
      <c r="O34" s="2708"/>
      <c r="P34" s="3710"/>
      <c r="Q34" s="694" t="str">
        <f t="shared" si="11"/>
        <v>项目建筑规模</v>
      </c>
      <c r="R34" s="695" t="s">
        <v>14</v>
      </c>
      <c r="S34" s="696" t="e">
        <f t="shared" si="12"/>
        <v>#N/A</v>
      </c>
      <c r="T34" s="695" t="s">
        <v>14</v>
      </c>
      <c r="U34" s="696" t="e">
        <f t="shared" si="13"/>
        <v>#N/A</v>
      </c>
      <c r="V34" s="695" t="s">
        <v>14</v>
      </c>
      <c r="W34" s="696" t="e">
        <f t="shared" si="14"/>
        <v>#N/A</v>
      </c>
      <c r="X34" s="697"/>
      <c r="Y34" s="3712"/>
      <c r="Z34" s="698" t="str">
        <f t="shared" si="15"/>
        <v>项目建筑规模</v>
      </c>
      <c r="AA34" s="1340" t="e">
        <f t="shared" si="3"/>
        <v>#N/A</v>
      </c>
      <c r="AB34" s="1340" t="e">
        <f t="shared" si="4"/>
        <v>#N/A</v>
      </c>
      <c r="AC34" s="1949" t="e">
        <f t="shared" si="5"/>
        <v>#N/A</v>
      </c>
    </row>
    <row r="35" spans="1:29" ht="15">
      <c r="A35" s="413"/>
      <c r="B35" s="365" t="s">
        <v>1697</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7"/>
      <c r="M35" s="2701"/>
      <c r="N35" s="2701"/>
      <c r="O35" s="2701"/>
      <c r="P35" s="3710"/>
      <c r="Q35" s="1339" t="str">
        <f t="shared" si="11"/>
        <v>建筑结构</v>
      </c>
      <c r="R35" s="692" t="s">
        <v>14</v>
      </c>
      <c r="S35" s="693">
        <f t="shared" si="12"/>
        <v>100</v>
      </c>
      <c r="T35" s="692" t="s">
        <v>14</v>
      </c>
      <c r="U35" s="693">
        <f t="shared" si="13"/>
        <v>100</v>
      </c>
      <c r="V35" s="692" t="s">
        <v>14</v>
      </c>
      <c r="W35" s="693">
        <f t="shared" si="14"/>
        <v>100</v>
      </c>
      <c r="X35" s="1342"/>
      <c r="Y35" s="3712"/>
      <c r="Z35" s="1343" t="str">
        <f t="shared" si="15"/>
        <v>建筑结构</v>
      </c>
      <c r="AA35" s="1340">
        <f t="shared" si="3"/>
        <v>1</v>
      </c>
      <c r="AB35" s="1340">
        <f t="shared" si="4"/>
        <v>1</v>
      </c>
      <c r="AC35" s="1949">
        <f t="shared" si="5"/>
        <v>1</v>
      </c>
    </row>
    <row r="36" spans="1:29" ht="15">
      <c r="A36" s="413"/>
      <c r="B36" s="365" t="s">
        <v>1784</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7"/>
      <c r="M36" s="2701"/>
      <c r="N36" s="2701"/>
      <c r="O36" s="2701"/>
      <c r="P36" s="3710"/>
      <c r="Q36" s="1339" t="str">
        <f t="shared" si="11"/>
        <v>公共部分装修</v>
      </c>
      <c r="R36" s="692" t="s">
        <v>14</v>
      </c>
      <c r="S36" s="693">
        <f t="shared" si="12"/>
        <v>100</v>
      </c>
      <c r="T36" s="692" t="s">
        <v>14</v>
      </c>
      <c r="U36" s="693">
        <f t="shared" si="13"/>
        <v>100</v>
      </c>
      <c r="V36" s="692" t="s">
        <v>14</v>
      </c>
      <c r="W36" s="693">
        <f t="shared" si="14"/>
        <v>100</v>
      </c>
      <c r="X36" s="1342"/>
      <c r="Y36" s="3712"/>
      <c r="Z36" s="1343" t="str">
        <f t="shared" si="15"/>
        <v>公共部分装修</v>
      </c>
      <c r="AA36" s="1340">
        <f t="shared" si="3"/>
        <v>1</v>
      </c>
      <c r="AB36" s="1340">
        <f t="shared" si="4"/>
        <v>1</v>
      </c>
      <c r="AC36" s="1949">
        <f t="shared" si="5"/>
        <v>1</v>
      </c>
    </row>
    <row r="37" spans="1:29" ht="15">
      <c r="A37" s="413"/>
      <c r="B37" s="365" t="s">
        <v>1785</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7"/>
      <c r="M37" s="2701"/>
      <c r="N37" s="2701"/>
      <c r="O37" s="2701"/>
      <c r="P37" s="3710"/>
      <c r="Q37" s="1339" t="str">
        <f t="shared" si="11"/>
        <v>成新度</v>
      </c>
      <c r="R37" s="692" t="s">
        <v>14</v>
      </c>
      <c r="S37" s="693" t="e">
        <f t="shared" si="12"/>
        <v>#N/A</v>
      </c>
      <c r="T37" s="692" t="s">
        <v>14</v>
      </c>
      <c r="U37" s="693" t="e">
        <f t="shared" si="13"/>
        <v>#N/A</v>
      </c>
      <c r="V37" s="692" t="s">
        <v>14</v>
      </c>
      <c r="W37" s="693" t="e">
        <f t="shared" si="14"/>
        <v>#N/A</v>
      </c>
      <c r="X37" s="1342"/>
      <c r="Y37" s="3712"/>
      <c r="Z37" s="1343" t="str">
        <f t="shared" si="15"/>
        <v>成新度</v>
      </c>
      <c r="AA37" s="1340" t="e">
        <f t="shared" si="3"/>
        <v>#N/A</v>
      </c>
      <c r="AB37" s="1340" t="e">
        <f t="shared" si="4"/>
        <v>#N/A</v>
      </c>
      <c r="AC37" s="1949" t="e">
        <f t="shared" si="5"/>
        <v>#N/A</v>
      </c>
    </row>
    <row r="38" spans="1:29" s="105" customFormat="1" ht="15">
      <c r="A38" s="414"/>
      <c r="B38" s="365" t="s">
        <v>1817</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702"/>
      <c r="M38" s="2703"/>
      <c r="N38" s="2703"/>
      <c r="O38" s="2703"/>
      <c r="P38" s="3710"/>
      <c r="Q38" s="1330" t="str">
        <f t="shared" si="11"/>
        <v>写字楼等级</v>
      </c>
      <c r="R38" s="688" t="s">
        <v>14</v>
      </c>
      <c r="S38" s="689">
        <f t="shared" si="12"/>
        <v>100</v>
      </c>
      <c r="T38" s="688" t="s">
        <v>14</v>
      </c>
      <c r="U38" s="689">
        <f t="shared" si="13"/>
        <v>100</v>
      </c>
      <c r="V38" s="688" t="s">
        <v>14</v>
      </c>
      <c r="W38" s="689">
        <f t="shared" si="14"/>
        <v>100</v>
      </c>
      <c r="X38" s="690"/>
      <c r="Y38" s="3712"/>
      <c r="Z38" s="52" t="str">
        <f t="shared" si="15"/>
        <v>写字楼等级</v>
      </c>
      <c r="AA38" s="691">
        <f t="shared" si="3"/>
        <v>1</v>
      </c>
      <c r="AB38" s="691">
        <f t="shared" si="4"/>
        <v>1</v>
      </c>
      <c r="AC38" s="1946">
        <f t="shared" si="5"/>
        <v>1</v>
      </c>
    </row>
    <row r="39" spans="1:29" ht="15">
      <c r="A39" s="413"/>
      <c r="B39" s="365" t="s">
        <v>1818</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7"/>
      <c r="M39" s="2701"/>
      <c r="N39" s="2701"/>
      <c r="O39" s="2701"/>
      <c r="P39" s="3710" t="s">
        <v>1695</v>
      </c>
      <c r="Q39" s="1339" t="str">
        <f t="shared" si="11"/>
        <v>物业管理</v>
      </c>
      <c r="R39" s="692" t="s">
        <v>14</v>
      </c>
      <c r="S39" s="693">
        <f t="shared" si="12"/>
        <v>100</v>
      </c>
      <c r="T39" s="692" t="s">
        <v>14</v>
      </c>
      <c r="U39" s="693">
        <f t="shared" si="13"/>
        <v>100</v>
      </c>
      <c r="V39" s="692" t="s">
        <v>14</v>
      </c>
      <c r="W39" s="693">
        <f t="shared" si="14"/>
        <v>100</v>
      </c>
      <c r="X39" s="1342"/>
      <c r="Y39" s="3712" t="s">
        <v>1695</v>
      </c>
      <c r="Z39" s="1343" t="str">
        <f t="shared" si="15"/>
        <v>物业管理</v>
      </c>
      <c r="AA39" s="1340">
        <f t="shared" si="3"/>
        <v>1</v>
      </c>
      <c r="AB39" s="1340">
        <f t="shared" si="4"/>
        <v>1</v>
      </c>
      <c r="AC39" s="1949">
        <f t="shared" si="5"/>
        <v>1</v>
      </c>
    </row>
    <row r="40" spans="1:29" ht="15">
      <c r="A40" s="413"/>
      <c r="B40" s="365" t="s">
        <v>1786</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7"/>
      <c r="M40" s="2701"/>
      <c r="N40" s="2701"/>
      <c r="O40" s="2701"/>
      <c r="P40" s="3710"/>
      <c r="Q40" s="1339" t="str">
        <f t="shared" si="11"/>
        <v>市政基础设施</v>
      </c>
      <c r="R40" s="692" t="s">
        <v>14</v>
      </c>
      <c r="S40" s="693">
        <f t="shared" si="12"/>
        <v>100</v>
      </c>
      <c r="T40" s="692" t="s">
        <v>14</v>
      </c>
      <c r="U40" s="693">
        <f t="shared" si="13"/>
        <v>100</v>
      </c>
      <c r="V40" s="692" t="s">
        <v>14</v>
      </c>
      <c r="W40" s="693">
        <f t="shared" si="14"/>
        <v>100</v>
      </c>
      <c r="X40" s="1342"/>
      <c r="Y40" s="3712"/>
      <c r="Z40" s="1343" t="str">
        <f t="shared" si="15"/>
        <v>市政基础设施</v>
      </c>
      <c r="AA40" s="1340">
        <f t="shared" si="3"/>
        <v>1</v>
      </c>
      <c r="AB40" s="1340">
        <f t="shared" si="4"/>
        <v>1</v>
      </c>
      <c r="AC40" s="1949">
        <f t="shared" si="5"/>
        <v>1</v>
      </c>
    </row>
    <row r="41" spans="1:29" ht="15">
      <c r="A41" s="413"/>
      <c r="B41" s="365" t="s">
        <v>1788</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7"/>
      <c r="M41" s="2701"/>
      <c r="N41" s="2701"/>
      <c r="O41" s="2701"/>
      <c r="P41" s="3710"/>
      <c r="Q41" s="1339" t="str">
        <f t="shared" si="11"/>
        <v>层高</v>
      </c>
      <c r="R41" s="692" t="s">
        <v>14</v>
      </c>
      <c r="S41" s="693">
        <f t="shared" si="12"/>
        <v>100</v>
      </c>
      <c r="T41" s="692" t="s">
        <v>14</v>
      </c>
      <c r="U41" s="693">
        <f t="shared" si="13"/>
        <v>100</v>
      </c>
      <c r="V41" s="692" t="s">
        <v>14</v>
      </c>
      <c r="W41" s="693">
        <f t="shared" si="14"/>
        <v>100</v>
      </c>
      <c r="X41" s="1342"/>
      <c r="Y41" s="3712"/>
      <c r="Z41" s="1343" t="str">
        <f t="shared" si="15"/>
        <v>层高</v>
      </c>
      <c r="AA41" s="1340">
        <f t="shared" si="3"/>
        <v>1</v>
      </c>
      <c r="AB41" s="1340">
        <f t="shared" si="4"/>
        <v>1</v>
      </c>
      <c r="AC41" s="1949">
        <f t="shared" si="5"/>
        <v>1</v>
      </c>
    </row>
    <row r="42" spans="1:29" s="412" customFormat="1" ht="15">
      <c r="A42" s="409"/>
      <c r="B42" s="1341" t="s">
        <v>1819</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6"/>
      <c r="M42" s="2708"/>
      <c r="N42" s="2708"/>
      <c r="O42" s="2708"/>
      <c r="P42" s="3710"/>
      <c r="Q42" s="694" t="str">
        <f t="shared" si="11"/>
        <v>单套建筑面积</v>
      </c>
      <c r="R42" s="695" t="s">
        <v>14</v>
      </c>
      <c r="S42" s="696">
        <f t="shared" si="12"/>
        <v>100</v>
      </c>
      <c r="T42" s="695" t="s">
        <v>14</v>
      </c>
      <c r="U42" s="696">
        <f t="shared" si="13"/>
        <v>100</v>
      </c>
      <c r="V42" s="695" t="s">
        <v>14</v>
      </c>
      <c r="W42" s="696">
        <f t="shared" si="14"/>
        <v>100</v>
      </c>
      <c r="X42" s="697"/>
      <c r="Y42" s="3712"/>
      <c r="Z42" s="698" t="str">
        <f t="shared" si="15"/>
        <v>单套建筑面积</v>
      </c>
      <c r="AA42" s="1340">
        <f t="shared" si="3"/>
        <v>1</v>
      </c>
      <c r="AB42" s="1340">
        <f t="shared" si="4"/>
        <v>1</v>
      </c>
      <c r="AC42" s="1949">
        <f t="shared" si="5"/>
        <v>1</v>
      </c>
    </row>
    <row r="43" spans="1:29" ht="15">
      <c r="A43" s="413"/>
      <c r="B43" s="365" t="s">
        <v>1791</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7"/>
      <c r="M43" s="2701"/>
      <c r="N43" s="2701"/>
      <c r="O43" s="2701"/>
      <c r="P43" s="3710"/>
      <c r="Q43" s="1339" t="str">
        <f t="shared" si="11"/>
        <v>内部装修</v>
      </c>
      <c r="R43" s="692" t="s">
        <v>14</v>
      </c>
      <c r="S43" s="693">
        <f t="shared" si="12"/>
        <v>100</v>
      </c>
      <c r="T43" s="692" t="s">
        <v>14</v>
      </c>
      <c r="U43" s="693">
        <f t="shared" si="13"/>
        <v>100</v>
      </c>
      <c r="V43" s="692" t="s">
        <v>14</v>
      </c>
      <c r="W43" s="693">
        <f t="shared" si="14"/>
        <v>100</v>
      </c>
      <c r="X43" s="1342"/>
      <c r="Y43" s="3712"/>
      <c r="Z43" s="1343" t="str">
        <f t="shared" si="15"/>
        <v>内部装修</v>
      </c>
      <c r="AA43" s="1340">
        <f t="shared" si="3"/>
        <v>1</v>
      </c>
      <c r="AB43" s="1340">
        <f t="shared" si="4"/>
        <v>1</v>
      </c>
      <c r="AC43" s="1949">
        <f t="shared" si="5"/>
        <v>1</v>
      </c>
    </row>
    <row r="44" spans="1:29" ht="15">
      <c r="A44" s="413"/>
      <c r="B44" s="365" t="s">
        <v>1706</v>
      </c>
      <c r="C44" s="401"/>
      <c r="D44" s="376">
        <v>100</v>
      </c>
      <c r="E44" s="1893"/>
      <c r="F44" s="402">
        <f>SUMIF(125:125,E44,126:126)-SUMIF(125:125,C44,126:126)+100</f>
        <v>100</v>
      </c>
      <c r="G44" s="1893"/>
      <c r="H44" s="376">
        <f>SUMIF(125:125,G44,126:126)-SUMIF(125:125,C44,126:126)+100</f>
        <v>100</v>
      </c>
      <c r="I44" s="1893"/>
      <c r="J44" s="376">
        <f>SUMIF(125:125,I44,126:126)-SUMIF(125:125,C44,126:126)+100</f>
        <v>100</v>
      </c>
      <c r="K44" s="551"/>
      <c r="L44" s="2707"/>
      <c r="M44" s="2701"/>
      <c r="N44" s="2701"/>
      <c r="O44" s="2701"/>
      <c r="P44" s="3710"/>
      <c r="Q44" s="1339" t="str">
        <f t="shared" si="11"/>
        <v>内部装修维护情况</v>
      </c>
      <c r="R44" s="692" t="s">
        <v>14</v>
      </c>
      <c r="S44" s="693">
        <f t="shared" si="12"/>
        <v>100</v>
      </c>
      <c r="T44" s="692" t="s">
        <v>14</v>
      </c>
      <c r="U44" s="693">
        <f t="shared" si="13"/>
        <v>100</v>
      </c>
      <c r="V44" s="692" t="s">
        <v>14</v>
      </c>
      <c r="W44" s="693">
        <f t="shared" si="14"/>
        <v>100</v>
      </c>
      <c r="X44" s="1342"/>
      <c r="Y44" s="3712"/>
      <c r="Z44" s="1343" t="str">
        <f t="shared" si="15"/>
        <v>内部装修维护情况</v>
      </c>
      <c r="AA44" s="1340">
        <f t="shared" si="3"/>
        <v>1</v>
      </c>
      <c r="AB44" s="1340">
        <f t="shared" si="4"/>
        <v>1</v>
      </c>
      <c r="AC44" s="1949">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702"/>
      <c r="M45" s="2703"/>
      <c r="N45" s="2703"/>
      <c r="O45" s="2703"/>
      <c r="P45" s="3710"/>
      <c r="Q45" s="1330">
        <f t="shared" si="11"/>
        <v>111</v>
      </c>
      <c r="R45" s="688" t="s">
        <v>14</v>
      </c>
      <c r="S45" s="689">
        <f t="shared" si="12"/>
        <v>100</v>
      </c>
      <c r="T45" s="688" t="s">
        <v>14</v>
      </c>
      <c r="U45" s="689">
        <f t="shared" si="13"/>
        <v>100</v>
      </c>
      <c r="V45" s="688" t="s">
        <v>14</v>
      </c>
      <c r="W45" s="689">
        <f t="shared" si="14"/>
        <v>100</v>
      </c>
      <c r="X45" s="690"/>
      <c r="Y45" s="3712"/>
      <c r="Z45" s="52">
        <f t="shared" si="15"/>
        <v>111</v>
      </c>
      <c r="AA45" s="691">
        <f t="shared" si="3"/>
        <v>1</v>
      </c>
      <c r="AB45" s="691">
        <f t="shared" si="4"/>
        <v>1</v>
      </c>
      <c r="AC45" s="1946">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7"/>
      <c r="M46" s="2701"/>
      <c r="N46" s="2701"/>
      <c r="O46" s="2701"/>
      <c r="P46" s="3710"/>
      <c r="Q46" s="1339">
        <f t="shared" si="11"/>
        <v>111</v>
      </c>
      <c r="R46" s="692" t="s">
        <v>14</v>
      </c>
      <c r="S46" s="693">
        <f t="shared" si="12"/>
        <v>100</v>
      </c>
      <c r="T46" s="692" t="s">
        <v>14</v>
      </c>
      <c r="U46" s="693">
        <f t="shared" si="13"/>
        <v>100</v>
      </c>
      <c r="V46" s="692" t="s">
        <v>14</v>
      </c>
      <c r="W46" s="693">
        <f t="shared" si="14"/>
        <v>100</v>
      </c>
      <c r="X46" s="1342"/>
      <c r="Y46" s="3712"/>
      <c r="Z46" s="1343">
        <f t="shared" si="15"/>
        <v>111</v>
      </c>
      <c r="AA46" s="1340">
        <f t="shared" si="3"/>
        <v>1</v>
      </c>
      <c r="AB46" s="1340">
        <f t="shared" si="4"/>
        <v>1</v>
      </c>
      <c r="AC46" s="1949">
        <f t="shared" si="5"/>
        <v>1</v>
      </c>
    </row>
    <row r="47" spans="1:29" ht="15.75" thickBot="1">
      <c r="A47" s="419"/>
      <c r="B47" s="1882">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7"/>
      <c r="M47" s="2701"/>
      <c r="N47" s="2701"/>
      <c r="O47" s="2701"/>
      <c r="P47" s="3711"/>
      <c r="Q47" s="1339">
        <f t="shared" si="11"/>
        <v>111</v>
      </c>
      <c r="R47" s="692" t="s">
        <v>14</v>
      </c>
      <c r="S47" s="693">
        <f t="shared" si="12"/>
        <v>100</v>
      </c>
      <c r="T47" s="692" t="s">
        <v>14</v>
      </c>
      <c r="U47" s="693">
        <f t="shared" si="13"/>
        <v>100</v>
      </c>
      <c r="V47" s="692" t="s">
        <v>14</v>
      </c>
      <c r="W47" s="693">
        <f t="shared" si="14"/>
        <v>100</v>
      </c>
      <c r="X47" s="1342"/>
      <c r="Y47" s="3713"/>
      <c r="Z47" s="1343">
        <f t="shared" si="15"/>
        <v>111</v>
      </c>
      <c r="AA47" s="1340">
        <f t="shared" si="3"/>
        <v>1</v>
      </c>
      <c r="AB47" s="1340">
        <f t="shared" si="4"/>
        <v>1</v>
      </c>
      <c r="AC47" s="1949">
        <f t="shared" si="5"/>
        <v>1</v>
      </c>
    </row>
    <row r="48" spans="1:29" ht="15">
      <c r="A48" s="420" t="s">
        <v>1707</v>
      </c>
      <c r="B48" s="421"/>
      <c r="C48" s="1141" t="s">
        <v>0</v>
      </c>
      <c r="D48" s="1142"/>
      <c r="E48" s="1143"/>
      <c r="F48" s="1144"/>
      <c r="G48" s="1145"/>
      <c r="H48" s="1146"/>
      <c r="I48" s="1143"/>
      <c r="J48" s="426"/>
      <c r="K48" s="701"/>
      <c r="L48" s="2709"/>
      <c r="M48" s="2701"/>
      <c r="N48" s="2701"/>
      <c r="O48" s="2701"/>
      <c r="P48" s="3715" t="str">
        <f>A48</f>
        <v>成交单价（元/平方米）</v>
      </c>
      <c r="Q48" s="3700"/>
      <c r="R48" s="3701">
        <f>E48</f>
        <v>0</v>
      </c>
      <c r="S48" s="3701"/>
      <c r="T48" s="3701">
        <f>G48</f>
        <v>0</v>
      </c>
      <c r="U48" s="3701"/>
      <c r="V48" s="3701">
        <f>I48</f>
        <v>0</v>
      </c>
      <c r="W48" s="3701"/>
      <c r="X48" s="387"/>
      <c r="Y48" s="699"/>
      <c r="Z48" s="387"/>
      <c r="AA48" s="387"/>
      <c r="AB48" s="387"/>
      <c r="AC48" s="568"/>
    </row>
    <row r="49" spans="1:29" ht="15.75" thickBot="1">
      <c r="A49" s="427" t="s">
        <v>1792</v>
      </c>
      <c r="B49" s="428"/>
      <c r="C49" s="1147" t="e">
        <f>R50</f>
        <v>#DIV/0!</v>
      </c>
      <c r="D49" s="2304" t="s">
        <v>2137</v>
      </c>
      <c r="E49" s="1148" t="e">
        <f>R49</f>
        <v>#DIV/0!</v>
      </c>
      <c r="F49" s="2305"/>
      <c r="G49" s="1147" t="e">
        <f>T49</f>
        <v>#DIV/0!</v>
      </c>
      <c r="H49" s="2305"/>
      <c r="I49" s="1148" t="e">
        <f>V49</f>
        <v>#DIV/0!</v>
      </c>
      <c r="J49" s="2305"/>
      <c r="K49" s="2307">
        <f>F49+H49+J49</f>
        <v>0</v>
      </c>
      <c r="L49" s="2709"/>
      <c r="M49" s="2701"/>
      <c r="N49" s="2701"/>
      <c r="O49" s="2701"/>
      <c r="P49" s="3715"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87"/>
      <c r="Y49" s="387"/>
      <c r="Z49" s="387"/>
      <c r="AA49" s="387"/>
      <c r="AB49" s="387"/>
      <c r="AC49" s="568"/>
    </row>
    <row r="50" spans="1:29" ht="15.75" thickBot="1">
      <c r="A50" s="431" t="s">
        <v>1793</v>
      </c>
      <c r="B50" s="432"/>
      <c r="C50" s="1150" t="e">
        <f>R50</f>
        <v>#DIV/0!</v>
      </c>
      <c r="D50" s="1150"/>
      <c r="E50" s="1150"/>
      <c r="F50" s="1150"/>
      <c r="G50" s="1150"/>
      <c r="H50" s="1150"/>
      <c r="I50" s="1150"/>
      <c r="J50" s="433"/>
      <c r="K50" s="702"/>
      <c r="L50" s="2709"/>
      <c r="M50" s="2701"/>
      <c r="N50" s="2701"/>
      <c r="O50" s="2701"/>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33"/>
      <c r="Y50" s="1933"/>
      <c r="Z50" s="1933"/>
      <c r="AA50" s="1933"/>
      <c r="AB50" s="1933"/>
      <c r="AC50" s="1934"/>
    </row>
    <row r="51" spans="1:29">
      <c r="A51" s="2710"/>
      <c r="B51" s="2710"/>
      <c r="C51" s="2710"/>
      <c r="D51" s="2710"/>
      <c r="E51" s="2710"/>
      <c r="F51" s="2710"/>
      <c r="G51" s="2714"/>
      <c r="H51" s="2710"/>
      <c r="I51" s="2710"/>
      <c r="J51" s="2710"/>
      <c r="K51" s="2715"/>
      <c r="L51" s="2711"/>
      <c r="M51" s="2710"/>
      <c r="N51" s="2710"/>
      <c r="O51" s="2710"/>
      <c r="P51" s="2740"/>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0"/>
      <c r="Q52" s="2710"/>
      <c r="R52" s="2710"/>
      <c r="S52" s="2710"/>
      <c r="T52" s="2710"/>
      <c r="U52" s="2710"/>
      <c r="V52" s="2710"/>
      <c r="W52" s="2710"/>
      <c r="X52" s="2710"/>
      <c r="Y52" s="2710"/>
      <c r="Z52" s="2710"/>
      <c r="AA52" s="2710"/>
      <c r="AB52" s="2710"/>
      <c r="AC52" s="2710"/>
    </row>
    <row r="53" spans="1:29" ht="13.5" customHeight="1">
      <c r="A53" s="2710"/>
      <c r="B53" s="2710"/>
      <c r="C53" s="436" t="s">
        <v>1794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5"/>
      <c r="L53" s="2711"/>
      <c r="M53" s="2710"/>
      <c r="N53" s="2710"/>
      <c r="O53" s="2710"/>
      <c r="P53" s="2740"/>
      <c r="Q53" s="2710"/>
      <c r="R53" s="2710"/>
      <c r="S53" s="2710"/>
      <c r="T53" s="2710"/>
      <c r="U53" s="2710"/>
      <c r="V53" s="2710"/>
      <c r="W53" s="2710"/>
      <c r="X53" s="2710"/>
      <c r="Y53" s="2710"/>
      <c r="Z53" s="2710"/>
      <c r="AA53" s="2710"/>
      <c r="AB53" s="2710"/>
      <c r="AC53" s="2710"/>
    </row>
    <row r="54" spans="1:29" ht="13.5" customHeight="1">
      <c r="A54" s="2710"/>
      <c r="B54" s="2710"/>
      <c r="C54" s="436" t="s">
        <v>1795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5"/>
      <c r="L54" s="2711"/>
      <c r="M54" s="2710"/>
      <c r="N54" s="2710"/>
      <c r="O54" s="2710"/>
      <c r="P54" s="2740"/>
      <c r="Q54" s="2710"/>
      <c r="R54" s="2710"/>
      <c r="S54" s="2710"/>
      <c r="T54" s="2710"/>
      <c r="U54" s="2710"/>
      <c r="V54" s="2710"/>
      <c r="W54" s="2710"/>
      <c r="X54" s="2710"/>
      <c r="Y54" s="2710"/>
      <c r="Z54" s="2710"/>
      <c r="AA54" s="2710"/>
      <c r="AB54" s="2710"/>
      <c r="AC54" s="2710"/>
    </row>
    <row r="55" spans="1:29" s="441" customFormat="1" ht="13.5" customHeight="1">
      <c r="A55" s="2713"/>
      <c r="B55" s="2713"/>
      <c r="C55" s="436" t="s">
        <v>1796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8"/>
      <c r="L55" s="2712"/>
      <c r="M55" s="2713"/>
      <c r="N55" s="2713"/>
      <c r="O55" s="2713"/>
      <c r="P55" s="2741"/>
      <c r="Q55" s="2713"/>
      <c r="R55" s="2713"/>
      <c r="S55" s="2713"/>
      <c r="T55" s="2713"/>
      <c r="U55" s="2713"/>
      <c r="V55" s="2713"/>
      <c r="W55" s="2713"/>
      <c r="X55" s="2713"/>
      <c r="Y55" s="2713"/>
      <c r="Z55" s="2713"/>
      <c r="AA55" s="2713"/>
      <c r="AB55" s="2713"/>
      <c r="AC55" s="2713"/>
    </row>
    <row r="56" spans="1:29" s="441" customFormat="1">
      <c r="A56" s="2713"/>
      <c r="B56" s="2716"/>
      <c r="C56" s="2717"/>
      <c r="D56" s="2713"/>
      <c r="E56" s="2713"/>
      <c r="F56" s="2713"/>
      <c r="G56" s="2713"/>
      <c r="H56" s="2713"/>
      <c r="I56" s="2713"/>
      <c r="J56" s="2713"/>
      <c r="K56" s="2718"/>
      <c r="L56" s="2712"/>
      <c r="M56" s="2713"/>
      <c r="N56" s="2713"/>
      <c r="O56" s="2713"/>
      <c r="P56" s="2741"/>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0"/>
      <c r="Q57" s="2710"/>
      <c r="R57" s="2710"/>
      <c r="S57" s="2710"/>
      <c r="T57" s="2710"/>
      <c r="U57" s="2710"/>
      <c r="V57" s="2710"/>
      <c r="W57" s="2710"/>
      <c r="X57" s="2710"/>
      <c r="Y57" s="2710"/>
      <c r="Z57" s="2710"/>
      <c r="AA57" s="2710"/>
      <c r="AB57" s="2710"/>
      <c r="AC57" s="2710"/>
    </row>
    <row r="58" spans="1:29" ht="21.75" thickBot="1">
      <c r="A58" s="681" t="s">
        <v>1797</v>
      </c>
      <c r="B58" s="677"/>
      <c r="C58" s="682"/>
      <c r="D58" s="682"/>
      <c r="E58" s="682"/>
      <c r="F58" s="683"/>
      <c r="G58" s="683"/>
      <c r="H58" s="682"/>
      <c r="I58" s="682"/>
      <c r="J58" s="682"/>
      <c r="K58" s="684"/>
      <c r="L58" s="929"/>
      <c r="M58" s="927"/>
      <c r="N58" s="2753"/>
      <c r="O58" s="2753"/>
      <c r="P58" s="2742"/>
      <c r="Q58" s="2724"/>
      <c r="R58" s="2710"/>
      <c r="S58" s="2710"/>
      <c r="T58" s="2710"/>
      <c r="U58" s="2710"/>
      <c r="V58" s="2710"/>
      <c r="W58" s="2710"/>
      <c r="X58" s="2710"/>
      <c r="Y58" s="2710"/>
      <c r="Z58" s="2710"/>
      <c r="AA58" s="2710"/>
      <c r="AB58" s="2710"/>
      <c r="AC58" s="2710"/>
    </row>
    <row r="59" spans="1:29" s="447" customFormat="1" ht="15">
      <c r="A59" s="444" t="s">
        <v>1678</v>
      </c>
      <c r="B59" s="445"/>
      <c r="C59" s="1171" t="str">
        <f>YEAR(C7)&amp;"-"&amp;MONTH(C7)</f>
        <v>2024-3</v>
      </c>
      <c r="D59" s="1172">
        <f>EDATE(C59,-1)</f>
        <v>45323</v>
      </c>
      <c r="E59" s="1172">
        <f>EDATE(D59,-1)</f>
        <v>45292</v>
      </c>
      <c r="F59" s="1172">
        <f t="shared" ref="F59:O59" si="16">EDATE(E59,-1)</f>
        <v>45261</v>
      </c>
      <c r="G59" s="1172">
        <f t="shared" si="16"/>
        <v>45231</v>
      </c>
      <c r="H59" s="1172">
        <f t="shared" si="16"/>
        <v>45200</v>
      </c>
      <c r="I59" s="1172">
        <f t="shared" si="16"/>
        <v>45170</v>
      </c>
      <c r="J59" s="1172">
        <f t="shared" si="16"/>
        <v>45139</v>
      </c>
      <c r="K59" s="1172">
        <f t="shared" si="16"/>
        <v>45108</v>
      </c>
      <c r="L59" s="1172">
        <f t="shared" si="16"/>
        <v>45078</v>
      </c>
      <c r="M59" s="1172">
        <f t="shared" si="16"/>
        <v>45047</v>
      </c>
      <c r="N59" s="1172">
        <f t="shared" si="16"/>
        <v>45017</v>
      </c>
      <c r="O59" s="1172">
        <f t="shared" si="16"/>
        <v>44986</v>
      </c>
      <c r="P59" s="2743"/>
      <c r="Q59" s="2725"/>
      <c r="R59" s="2725"/>
      <c r="S59" s="2725"/>
      <c r="T59" s="2725"/>
      <c r="U59" s="2725"/>
      <c r="V59" s="2725"/>
      <c r="W59" s="2725"/>
      <c r="X59" s="2725"/>
      <c r="Y59" s="2725"/>
      <c r="Z59" s="2725"/>
      <c r="AA59" s="2725"/>
      <c r="AB59" s="2725"/>
      <c r="AC59" s="2725"/>
    </row>
    <row r="60" spans="1:29" s="105" customFormat="1" ht="15">
      <c r="A60" s="448"/>
      <c r="B60" s="449"/>
      <c r="C60" s="1170">
        <v>100</v>
      </c>
      <c r="D60" s="451"/>
      <c r="E60" s="451"/>
      <c r="F60" s="451"/>
      <c r="G60" s="451"/>
      <c r="H60" s="451"/>
      <c r="I60" s="451"/>
      <c r="J60" s="451"/>
      <c r="K60" s="451"/>
      <c r="L60" s="451"/>
      <c r="M60" s="452"/>
      <c r="N60" s="451"/>
      <c r="O60" s="452"/>
      <c r="P60" s="2744"/>
      <c r="Q60" s="2647"/>
      <c r="R60" s="2647"/>
      <c r="S60" s="2647"/>
      <c r="T60" s="2647"/>
      <c r="U60" s="2647"/>
      <c r="V60" s="2647"/>
      <c r="W60" s="2647"/>
      <c r="X60" s="2647"/>
      <c r="Y60" s="2647"/>
      <c r="Z60" s="2647"/>
      <c r="AA60" s="2647"/>
      <c r="AB60" s="2647"/>
      <c r="AC60" s="2647"/>
    </row>
    <row r="61" spans="1:29" s="105" customFormat="1" ht="15.75" thickBot="1">
      <c r="A61" s="454" t="s">
        <v>1715</v>
      </c>
      <c r="B61" s="455"/>
      <c r="C61" s="456"/>
      <c r="D61" s="457"/>
      <c r="E61" s="457"/>
      <c r="F61" s="457"/>
      <c r="G61" s="457"/>
      <c r="H61" s="457"/>
      <c r="I61" s="457"/>
      <c r="J61" s="457"/>
      <c r="K61" s="457"/>
      <c r="L61" s="457"/>
      <c r="M61" s="458"/>
      <c r="N61" s="457"/>
      <c r="O61" s="458"/>
      <c r="P61" s="2744"/>
      <c r="Q61" s="2724"/>
      <c r="R61" s="2647"/>
      <c r="S61" s="2647"/>
      <c r="T61" s="2647"/>
      <c r="U61" s="2647"/>
      <c r="V61" s="2647"/>
      <c r="W61" s="2647"/>
      <c r="X61" s="2647"/>
      <c r="Y61" s="2647"/>
      <c r="Z61" s="2647"/>
      <c r="AA61" s="2647"/>
      <c r="AB61" s="2647"/>
      <c r="AC61" s="2647"/>
    </row>
    <row r="62" spans="1:29" s="105" customFormat="1" ht="15">
      <c r="A62" s="460" t="s">
        <v>1680</v>
      </c>
      <c r="B62" s="449"/>
      <c r="C62" s="461" t="s">
        <v>1775</v>
      </c>
      <c r="D62" s="462"/>
      <c r="E62" s="462"/>
      <c r="F62" s="462"/>
      <c r="G62" s="462"/>
      <c r="H62" s="462"/>
      <c r="I62" s="462"/>
      <c r="J62" s="462"/>
      <c r="K62" s="462"/>
      <c r="L62" s="463"/>
      <c r="M62" s="464"/>
      <c r="N62" s="2736"/>
      <c r="O62" s="2736"/>
      <c r="P62" s="2745"/>
      <c r="Q62" s="2724"/>
      <c r="R62" s="2647"/>
      <c r="S62" s="2647"/>
      <c r="T62" s="2647"/>
      <c r="U62" s="2647"/>
      <c r="V62" s="2647"/>
      <c r="W62" s="2647"/>
      <c r="X62" s="2647"/>
      <c r="Y62" s="2647"/>
      <c r="Z62" s="2647"/>
      <c r="AA62" s="2647"/>
      <c r="AB62" s="2647"/>
      <c r="AC62" s="2647"/>
    </row>
    <row r="63" spans="1:29" s="105" customFormat="1" ht="15.75" thickBot="1">
      <c r="A63" s="460"/>
      <c r="B63" s="449"/>
      <c r="C63" s="450">
        <v>100</v>
      </c>
      <c r="D63" s="451"/>
      <c r="E63" s="451"/>
      <c r="F63" s="451"/>
      <c r="G63" s="451"/>
      <c r="H63" s="451"/>
      <c r="I63" s="451"/>
      <c r="J63" s="451"/>
      <c r="K63" s="451"/>
      <c r="L63" s="451"/>
      <c r="M63" s="453"/>
      <c r="N63" s="2736"/>
      <c r="O63" s="2736"/>
      <c r="P63" s="2744"/>
      <c r="Q63" s="2724"/>
      <c r="R63" s="2647"/>
      <c r="S63" s="2647"/>
      <c r="T63" s="2647"/>
      <c r="U63" s="2647"/>
      <c r="V63" s="2647"/>
      <c r="W63" s="2647"/>
      <c r="X63" s="2647"/>
      <c r="Y63" s="2647"/>
      <c r="Z63" s="2647"/>
      <c r="AA63" s="2647"/>
      <c r="AB63" s="2647"/>
      <c r="AC63" s="2647"/>
    </row>
    <row r="64" spans="1:29">
      <c r="A64" s="466" t="s">
        <v>1718</v>
      </c>
      <c r="B64" s="467" t="s">
        <v>1684</v>
      </c>
      <c r="C64" s="468">
        <f>C9</f>
        <v>0</v>
      </c>
      <c r="D64" s="469"/>
      <c r="E64" s="469"/>
      <c r="F64" s="469"/>
      <c r="G64" s="469"/>
      <c r="H64" s="469"/>
      <c r="I64" s="469"/>
      <c r="J64" s="469"/>
      <c r="K64" s="470"/>
      <c r="L64" s="471"/>
      <c r="M64" s="472"/>
      <c r="N64" s="2737"/>
      <c r="O64" s="2737"/>
      <c r="P64" s="2746"/>
      <c r="Q64" s="2724"/>
      <c r="R64" s="2710"/>
      <c r="S64" s="2710"/>
      <c r="T64" s="2710"/>
      <c r="U64" s="2710"/>
      <c r="V64" s="2710"/>
      <c r="W64" s="2710"/>
      <c r="X64" s="2710"/>
      <c r="Y64" s="2710"/>
      <c r="Z64" s="2710"/>
      <c r="AA64" s="2710"/>
      <c r="AB64" s="2710"/>
      <c r="AC64" s="2710"/>
    </row>
    <row r="65" spans="1:29" ht="15.75" thickBot="1">
      <c r="A65" s="473"/>
      <c r="B65" s="474"/>
      <c r="C65" s="475">
        <v>100</v>
      </c>
      <c r="D65" s="475"/>
      <c r="E65" s="475"/>
      <c r="F65" s="475"/>
      <c r="G65" s="475"/>
      <c r="H65" s="475"/>
      <c r="I65" s="475"/>
      <c r="J65" s="475"/>
      <c r="K65" s="475"/>
      <c r="L65" s="475"/>
      <c r="M65" s="476"/>
      <c r="N65" s="2738"/>
      <c r="O65" s="2738"/>
      <c r="P65" s="2746"/>
      <c r="Q65" s="2724"/>
      <c r="R65" s="2710"/>
      <c r="S65" s="2710"/>
      <c r="T65" s="2710"/>
      <c r="U65" s="2710"/>
      <c r="V65" s="2710"/>
      <c r="W65" s="2710"/>
      <c r="X65" s="2710"/>
      <c r="Y65" s="2710"/>
      <c r="Z65" s="2710"/>
      <c r="AA65" s="2710"/>
      <c r="AB65" s="2710"/>
      <c r="AC65" s="2710"/>
    </row>
    <row r="66" spans="1:29" ht="27.75" thickTop="1">
      <c r="A66" s="473"/>
      <c r="B66" s="477" t="s">
        <v>1687</v>
      </c>
      <c r="C66" s="522"/>
      <c r="D66" s="522"/>
      <c r="E66" s="522"/>
      <c r="F66" s="522"/>
      <c r="G66" s="522"/>
      <c r="H66" s="522"/>
      <c r="I66" s="522"/>
      <c r="J66" s="522"/>
      <c r="K66" s="523"/>
      <c r="L66" s="524"/>
      <c r="M66" s="525"/>
      <c r="N66" s="2737"/>
      <c r="O66" s="2737"/>
      <c r="P66" s="2746"/>
      <c r="Q66" s="2724"/>
      <c r="R66" s="2710"/>
      <c r="S66" s="2710"/>
      <c r="T66" s="2710"/>
      <c r="U66" s="2710"/>
      <c r="V66" s="2710"/>
      <c r="W66" s="2710"/>
      <c r="X66" s="2710"/>
      <c r="Y66" s="2710"/>
      <c r="Z66" s="2710"/>
      <c r="AA66" s="2710"/>
      <c r="AB66" s="2710"/>
      <c r="AC66" s="2710"/>
    </row>
    <row r="67" spans="1:29" ht="15.75" thickBot="1">
      <c r="A67" s="473"/>
      <c r="B67" s="482"/>
      <c r="C67" s="475"/>
      <c r="D67" s="475"/>
      <c r="E67" s="475"/>
      <c r="F67" s="475"/>
      <c r="G67" s="475"/>
      <c r="H67" s="475"/>
      <c r="I67" s="475"/>
      <c r="J67" s="475"/>
      <c r="K67" s="475"/>
      <c r="L67" s="475"/>
      <c r="M67" s="476"/>
      <c r="N67" s="2738"/>
      <c r="O67" s="2738"/>
      <c r="P67" s="2746"/>
      <c r="Q67" s="2724"/>
      <c r="R67" s="2710"/>
      <c r="S67" s="2710"/>
      <c r="T67" s="2710"/>
      <c r="U67" s="2710"/>
      <c r="V67" s="2710"/>
      <c r="W67" s="2710"/>
      <c r="X67" s="2710"/>
      <c r="Y67" s="2710"/>
      <c r="Z67" s="2710"/>
      <c r="AA67" s="2710"/>
      <c r="AB67" s="2710"/>
      <c r="AC67" s="2710"/>
    </row>
    <row r="68" spans="1:29" ht="15.75" thickTop="1">
      <c r="A68" s="473"/>
      <c r="B68" s="485" t="s">
        <v>1688</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8"/>
      <c r="O68" s="2738"/>
      <c r="P68" s="2746"/>
      <c r="Q68" s="2724"/>
      <c r="R68" s="2710"/>
      <c r="S68" s="2710"/>
      <c r="T68" s="2710"/>
      <c r="U68" s="2710"/>
      <c r="V68" s="2710"/>
      <c r="W68" s="2710"/>
      <c r="X68" s="2710"/>
      <c r="Y68" s="2710"/>
      <c r="Z68" s="2710"/>
      <c r="AA68" s="2710"/>
      <c r="AB68" s="2710"/>
      <c r="AC68" s="2710"/>
    </row>
    <row r="69" spans="1:29" ht="15">
      <c r="A69" s="473"/>
      <c r="B69" s="487"/>
      <c r="C69" s="488">
        <v>0</v>
      </c>
      <c r="D69" s="488">
        <v>3</v>
      </c>
      <c r="E69" s="488"/>
      <c r="F69" s="488"/>
      <c r="G69" s="488"/>
      <c r="H69" s="488"/>
      <c r="I69" s="488"/>
      <c r="J69" s="488"/>
      <c r="K69" s="489"/>
      <c r="L69" s="490"/>
      <c r="M69" s="491"/>
      <c r="N69" s="2737"/>
      <c r="O69" s="2737"/>
      <c r="P69" s="2746"/>
      <c r="Q69" s="2724"/>
      <c r="R69" s="2710"/>
      <c r="S69" s="2710"/>
      <c r="T69" s="2710"/>
      <c r="U69" s="2710"/>
      <c r="V69" s="2710"/>
      <c r="W69" s="2710"/>
      <c r="X69" s="2710"/>
      <c r="Y69" s="2710"/>
      <c r="Z69" s="2710"/>
      <c r="AA69" s="2710"/>
      <c r="AB69" s="2710"/>
      <c r="AC69" s="2710"/>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8"/>
      <c r="O70" s="2738"/>
      <c r="P70" s="2746"/>
      <c r="Q70" s="2724"/>
      <c r="R70" s="2710"/>
      <c r="S70" s="2710"/>
      <c r="T70" s="2710"/>
      <c r="U70" s="2710"/>
      <c r="V70" s="2710"/>
      <c r="W70" s="2710"/>
      <c r="X70" s="2710"/>
      <c r="Y70" s="2710"/>
      <c r="Z70" s="2710"/>
      <c r="AA70" s="2710"/>
      <c r="AB70" s="2710"/>
      <c r="AC70" s="2710"/>
    </row>
    <row r="71" spans="1:29" s="412" customFormat="1" ht="15.75" thickTop="1">
      <c r="A71" s="492"/>
      <c r="B71" s="477">
        <f>B12</f>
        <v>111</v>
      </c>
      <c r="C71" s="493"/>
      <c r="D71" s="493"/>
      <c r="E71" s="493"/>
      <c r="F71" s="493"/>
      <c r="G71" s="493"/>
      <c r="H71" s="494"/>
      <c r="I71" s="494"/>
      <c r="J71" s="494"/>
      <c r="K71" s="494"/>
      <c r="L71" s="495"/>
      <c r="M71" s="496"/>
      <c r="N71" s="2739"/>
      <c r="O71" s="2739"/>
      <c r="P71" s="2747"/>
      <c r="Q71" s="2730"/>
      <c r="R71" s="2731"/>
      <c r="S71" s="2731"/>
      <c r="T71" s="2731"/>
      <c r="U71" s="2731"/>
      <c r="V71" s="2731"/>
      <c r="W71" s="2731"/>
      <c r="X71" s="2731"/>
      <c r="Y71" s="2731"/>
      <c r="Z71" s="2731"/>
      <c r="AA71" s="2731"/>
      <c r="AB71" s="2731"/>
      <c r="AC71" s="2731"/>
    </row>
    <row r="72" spans="1:29" s="412" customFormat="1" ht="15.75" thickBot="1">
      <c r="A72" s="492"/>
      <c r="B72" s="482"/>
      <c r="C72" s="499"/>
      <c r="D72" s="475"/>
      <c r="E72" s="475"/>
      <c r="F72" s="475"/>
      <c r="G72" s="475"/>
      <c r="H72" s="475"/>
      <c r="I72" s="475"/>
      <c r="J72" s="475"/>
      <c r="K72" s="475"/>
      <c r="L72" s="475"/>
      <c r="M72" s="476"/>
      <c r="N72" s="2738"/>
      <c r="O72" s="2738"/>
      <c r="P72" s="2747"/>
      <c r="Q72" s="2730"/>
      <c r="R72" s="2731"/>
      <c r="S72" s="2731"/>
      <c r="T72" s="2731"/>
      <c r="U72" s="2731"/>
      <c r="V72" s="2731"/>
      <c r="W72" s="2731"/>
      <c r="X72" s="2731"/>
      <c r="Y72" s="2731"/>
      <c r="Z72" s="2731"/>
      <c r="AA72" s="2731"/>
      <c r="AB72" s="2731"/>
      <c r="AC72" s="2731"/>
    </row>
    <row r="73" spans="1:29" s="412" customFormat="1" ht="15.75" thickTop="1">
      <c r="A73" s="492"/>
      <c r="B73" s="477">
        <f>B13</f>
        <v>111</v>
      </c>
      <c r="C73" s="493"/>
      <c r="D73" s="493"/>
      <c r="E73" s="493"/>
      <c r="F73" s="493"/>
      <c r="G73" s="493"/>
      <c r="H73" s="494"/>
      <c r="I73" s="494"/>
      <c r="J73" s="494"/>
      <c r="K73" s="494"/>
      <c r="L73" s="495"/>
      <c r="M73" s="496"/>
      <c r="N73" s="2739"/>
      <c r="O73" s="2739"/>
      <c r="P73" s="2748"/>
      <c r="Q73" s="2733"/>
      <c r="R73" s="2731"/>
      <c r="S73" s="2731"/>
      <c r="T73" s="2731"/>
      <c r="U73" s="2731"/>
      <c r="V73" s="2731"/>
      <c r="W73" s="2731"/>
      <c r="X73" s="2731"/>
      <c r="Y73" s="2731"/>
      <c r="Z73" s="2731"/>
      <c r="AA73" s="2731"/>
      <c r="AB73" s="2731"/>
      <c r="AC73" s="2731"/>
    </row>
    <row r="74" spans="1:29" s="412" customFormat="1" ht="15.75" thickBot="1">
      <c r="A74" s="492"/>
      <c r="B74" s="482"/>
      <c r="C74" s="499"/>
      <c r="D74" s="499"/>
      <c r="E74" s="499"/>
      <c r="F74" s="499"/>
      <c r="G74" s="499"/>
      <c r="H74" s="501"/>
      <c r="I74" s="501"/>
      <c r="J74" s="501"/>
      <c r="K74" s="501"/>
      <c r="L74" s="501"/>
      <c r="M74" s="502"/>
      <c r="N74" s="2739"/>
      <c r="O74" s="2739"/>
      <c r="P74" s="2747"/>
      <c r="Q74" s="2730"/>
      <c r="R74" s="2731"/>
      <c r="S74" s="2731"/>
      <c r="T74" s="2731"/>
      <c r="U74" s="2731"/>
      <c r="V74" s="2731"/>
      <c r="W74" s="2731"/>
      <c r="X74" s="2731"/>
      <c r="Y74" s="2731"/>
      <c r="Z74" s="2731"/>
      <c r="AA74" s="2731"/>
      <c r="AB74" s="2731"/>
      <c r="AC74" s="2731"/>
    </row>
    <row r="75" spans="1:29" s="412" customFormat="1" ht="15.75" thickTop="1">
      <c r="A75" s="492"/>
      <c r="B75" s="485">
        <f>B14</f>
        <v>111</v>
      </c>
      <c r="C75" s="462"/>
      <c r="D75" s="462"/>
      <c r="E75" s="462"/>
      <c r="F75" s="462"/>
      <c r="G75" s="462"/>
      <c r="H75" s="503"/>
      <c r="I75" s="503"/>
      <c r="J75" s="503"/>
      <c r="K75" s="503"/>
      <c r="L75" s="504"/>
      <c r="M75" s="505"/>
      <c r="N75" s="2739"/>
      <c r="O75" s="2739"/>
      <c r="P75" s="2749"/>
      <c r="Q75" s="2730"/>
      <c r="R75" s="2731"/>
      <c r="S75" s="2731"/>
      <c r="T75" s="2731"/>
      <c r="U75" s="2731"/>
      <c r="V75" s="2731"/>
      <c r="W75" s="2731"/>
      <c r="X75" s="2731"/>
      <c r="Y75" s="2731"/>
      <c r="Z75" s="2731"/>
      <c r="AA75" s="2731"/>
      <c r="AB75" s="2731"/>
      <c r="AC75" s="2731"/>
    </row>
    <row r="76" spans="1:29" s="412" customFormat="1" ht="15.75" thickBot="1">
      <c r="A76" s="507"/>
      <c r="B76" s="508"/>
      <c r="C76" s="509"/>
      <c r="D76" s="509"/>
      <c r="E76" s="509"/>
      <c r="F76" s="509"/>
      <c r="G76" s="509"/>
      <c r="H76" s="510"/>
      <c r="I76" s="510"/>
      <c r="J76" s="510"/>
      <c r="K76" s="510"/>
      <c r="L76" s="510"/>
      <c r="M76" s="511"/>
      <c r="N76" s="2739"/>
      <c r="O76" s="2739"/>
      <c r="P76" s="2747"/>
      <c r="Q76" s="2730"/>
      <c r="R76" s="2731"/>
      <c r="S76" s="2731"/>
      <c r="T76" s="2731"/>
      <c r="U76" s="2731"/>
      <c r="V76" s="2731"/>
      <c r="W76" s="2731"/>
      <c r="X76" s="2731"/>
      <c r="Y76" s="2731"/>
      <c r="Z76" s="2731"/>
      <c r="AA76" s="2731"/>
      <c r="AB76" s="2731"/>
      <c r="AC76" s="2731"/>
    </row>
    <row r="77" spans="1:29">
      <c r="A77" s="466" t="s">
        <v>1689</v>
      </c>
      <c r="B77" s="467" t="s">
        <v>1820</v>
      </c>
      <c r="C77" s="512" t="s">
        <v>1720</v>
      </c>
      <c r="D77" s="512" t="s">
        <v>1721</v>
      </c>
      <c r="E77" s="512" t="s">
        <v>1722</v>
      </c>
      <c r="F77" s="512" t="s">
        <v>1723</v>
      </c>
      <c r="G77" s="512" t="s">
        <v>1724</v>
      </c>
      <c r="H77" s="468"/>
      <c r="I77" s="468"/>
      <c r="J77" s="468"/>
      <c r="K77" s="513"/>
      <c r="L77" s="514"/>
      <c r="M77" s="515"/>
      <c r="N77" s="2737"/>
      <c r="O77" s="2737"/>
      <c r="P77" s="2750"/>
      <c r="Q77" s="2724"/>
      <c r="R77" s="2710"/>
      <c r="S77" s="2710"/>
      <c r="T77" s="2710"/>
      <c r="U77" s="2710"/>
      <c r="V77" s="2710"/>
      <c r="W77" s="2710"/>
      <c r="X77" s="2710"/>
      <c r="Y77" s="2710"/>
      <c r="Z77" s="2710"/>
      <c r="AA77" s="2710"/>
      <c r="AB77" s="2710"/>
      <c r="AC77" s="2710"/>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8"/>
      <c r="O78" s="2738"/>
      <c r="P78" s="2746"/>
      <c r="Q78" s="2724"/>
      <c r="R78" s="2710"/>
      <c r="S78" s="2710"/>
      <c r="T78" s="2710"/>
      <c r="U78" s="2710"/>
      <c r="V78" s="2710"/>
      <c r="W78" s="2710"/>
      <c r="X78" s="2710"/>
      <c r="Y78" s="2710"/>
      <c r="Z78" s="2710"/>
      <c r="AA78" s="2710"/>
      <c r="AB78" s="2710"/>
      <c r="AC78" s="2710"/>
    </row>
    <row r="79" spans="1:29" ht="15.75" thickTop="1">
      <c r="A79" s="473"/>
      <c r="B79" s="477" t="s">
        <v>1725</v>
      </c>
      <c r="C79" s="517" t="s">
        <v>1720</v>
      </c>
      <c r="D79" s="517" t="s">
        <v>1721</v>
      </c>
      <c r="E79" s="517" t="s">
        <v>1722</v>
      </c>
      <c r="F79" s="517" t="s">
        <v>1723</v>
      </c>
      <c r="G79" s="517" t="s">
        <v>1724</v>
      </c>
      <c r="H79" s="478"/>
      <c r="I79" s="478"/>
      <c r="J79" s="478"/>
      <c r="K79" s="479"/>
      <c r="L79" s="480"/>
      <c r="M79" s="481"/>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8"/>
      <c r="O80" s="2738"/>
      <c r="P80" s="2746"/>
      <c r="Q80" s="2724"/>
      <c r="R80" s="2710"/>
      <c r="S80" s="2710"/>
      <c r="T80" s="2710"/>
      <c r="U80" s="2710"/>
      <c r="V80" s="2710"/>
      <c r="W80" s="2710"/>
      <c r="X80" s="2710"/>
      <c r="Y80" s="2710"/>
      <c r="Z80" s="2710"/>
      <c r="AA80" s="2710"/>
      <c r="AB80" s="2710"/>
      <c r="AC80" s="2710"/>
    </row>
    <row r="81" spans="1:29" ht="15.75" thickTop="1">
      <c r="A81" s="473"/>
      <c r="B81" s="477" t="s">
        <v>1726</v>
      </c>
      <c r="C81" s="517" t="s">
        <v>1720</v>
      </c>
      <c r="D81" s="517" t="s">
        <v>1721</v>
      </c>
      <c r="E81" s="517" t="s">
        <v>1722</v>
      </c>
      <c r="F81" s="517" t="s">
        <v>1723</v>
      </c>
      <c r="G81" s="517" t="s">
        <v>1724</v>
      </c>
      <c r="H81" s="478"/>
      <c r="I81" s="478"/>
      <c r="J81" s="478"/>
      <c r="K81" s="479"/>
      <c r="L81" s="480"/>
      <c r="M81" s="481"/>
      <c r="N81" s="2737"/>
      <c r="O81" s="2737"/>
      <c r="P81" s="2746"/>
      <c r="Q81" s="2724"/>
      <c r="R81" s="2710"/>
      <c r="S81" s="2710"/>
      <c r="T81" s="2710"/>
      <c r="U81" s="2710"/>
      <c r="V81" s="2710"/>
      <c r="W81" s="2710"/>
      <c r="X81" s="2710"/>
      <c r="Y81" s="2710"/>
      <c r="Z81" s="2710"/>
      <c r="AA81" s="2710"/>
      <c r="AB81" s="2710"/>
      <c r="AC81" s="2710"/>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8"/>
      <c r="O82" s="2738"/>
      <c r="P82" s="2746"/>
      <c r="Q82" s="2724"/>
      <c r="R82" s="2710"/>
      <c r="S82" s="2710"/>
      <c r="T82" s="2710"/>
      <c r="U82" s="2710"/>
      <c r="V82" s="2710"/>
      <c r="W82" s="2710"/>
      <c r="X82" s="2710"/>
      <c r="Y82" s="2710"/>
      <c r="Z82" s="2710"/>
      <c r="AA82" s="2710"/>
      <c r="AB82" s="2710"/>
      <c r="AC82" s="2710"/>
    </row>
    <row r="83" spans="1:29" ht="15.75" thickTop="1">
      <c r="A83" s="473"/>
      <c r="B83" s="485" t="s">
        <v>1812</v>
      </c>
      <c r="C83" s="598" t="s">
        <v>1798</v>
      </c>
      <c r="D83" s="598" t="s">
        <v>1799</v>
      </c>
      <c r="E83" s="598" t="s">
        <v>1800</v>
      </c>
      <c r="F83" s="598" t="s">
        <v>1801</v>
      </c>
      <c r="G83" s="598" t="s">
        <v>1802</v>
      </c>
      <c r="H83" s="478"/>
      <c r="I83" s="478"/>
      <c r="J83" s="478"/>
      <c r="K83" s="478"/>
      <c r="L83" s="478"/>
      <c r="M83" s="1116"/>
      <c r="N83" s="2738"/>
      <c r="O83" s="2738"/>
      <c r="P83" s="2746"/>
      <c r="Q83" s="2724"/>
      <c r="R83" s="2710"/>
      <c r="S83" s="2710"/>
      <c r="T83" s="2710"/>
      <c r="U83" s="2710"/>
      <c r="V83" s="2710"/>
      <c r="W83" s="2710"/>
      <c r="X83" s="2710"/>
      <c r="Y83" s="2710"/>
      <c r="Z83" s="2710"/>
      <c r="AA83" s="2710"/>
      <c r="AB83" s="2710"/>
      <c r="AC83" s="2710"/>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8"/>
      <c r="O84" s="2738"/>
      <c r="P84" s="2746"/>
      <c r="Q84" s="2724"/>
      <c r="R84" s="2710"/>
      <c r="S84" s="2710"/>
      <c r="T84" s="2710"/>
      <c r="U84" s="2710"/>
      <c r="V84" s="2710"/>
      <c r="W84" s="2710"/>
      <c r="X84" s="2710"/>
      <c r="Y84" s="2710"/>
      <c r="Z84" s="2710"/>
      <c r="AA84" s="2710"/>
      <c r="AB84" s="2710"/>
      <c r="AC84" s="2710"/>
    </row>
    <row r="85" spans="1:29" ht="15.75" thickTop="1">
      <c r="A85" s="473"/>
      <c r="B85" s="477" t="s">
        <v>1821</v>
      </c>
      <c r="C85" s="517" t="s">
        <v>1720</v>
      </c>
      <c r="D85" s="517" t="s">
        <v>1721</v>
      </c>
      <c r="E85" s="517" t="s">
        <v>1722</v>
      </c>
      <c r="F85" s="517" t="s">
        <v>1723</v>
      </c>
      <c r="G85" s="517" t="s">
        <v>1724</v>
      </c>
      <c r="H85" s="478"/>
      <c r="I85" s="478"/>
      <c r="J85" s="478"/>
      <c r="K85" s="479"/>
      <c r="L85" s="480"/>
      <c r="M85" s="481"/>
      <c r="N85" s="2737"/>
      <c r="O85" s="2737"/>
      <c r="P85" s="2746"/>
      <c r="Q85" s="2724"/>
      <c r="R85" s="2710"/>
      <c r="S85" s="2710"/>
      <c r="T85" s="2710"/>
      <c r="U85" s="2710"/>
      <c r="V85" s="2710"/>
      <c r="W85" s="2710"/>
      <c r="X85" s="2710"/>
      <c r="Y85" s="2710"/>
      <c r="Z85" s="2710"/>
      <c r="AA85" s="2710"/>
      <c r="AB85" s="2710"/>
      <c r="AC85" s="2710"/>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8"/>
      <c r="O86" s="2738"/>
      <c r="P86" s="2746"/>
      <c r="Q86" s="2724"/>
      <c r="R86" s="2710"/>
      <c r="S86" s="2710"/>
      <c r="T86" s="2710"/>
      <c r="U86" s="2710"/>
      <c r="V86" s="2710"/>
      <c r="W86" s="2710"/>
      <c r="X86" s="2710"/>
      <c r="Y86" s="2710"/>
      <c r="Z86" s="2710"/>
      <c r="AA86" s="2710"/>
      <c r="AB86" s="2710"/>
      <c r="AC86" s="2710"/>
    </row>
    <row r="87" spans="1:29" s="105" customFormat="1" ht="27.75" thickTop="1">
      <c r="A87" s="518"/>
      <c r="B87" s="477" t="s">
        <v>1822</v>
      </c>
      <c r="C87" s="493"/>
      <c r="D87" s="493"/>
      <c r="E87" s="493"/>
      <c r="F87" s="493"/>
      <c r="G87" s="493"/>
      <c r="H87" s="493"/>
      <c r="I87" s="493"/>
      <c r="J87" s="493"/>
      <c r="K87" s="493"/>
      <c r="L87" s="519"/>
      <c r="M87" s="520"/>
      <c r="N87" s="2736"/>
      <c r="O87" s="2736"/>
      <c r="P87" s="2746"/>
      <c r="Q87" s="2724"/>
      <c r="R87" s="2647"/>
      <c r="S87" s="2647"/>
      <c r="T87" s="2647"/>
      <c r="U87" s="2647"/>
      <c r="V87" s="2647"/>
      <c r="W87" s="2647"/>
      <c r="X87" s="2647"/>
      <c r="Y87" s="2647"/>
      <c r="Z87" s="2647"/>
      <c r="AA87" s="2647"/>
      <c r="AB87" s="2647"/>
      <c r="AC87" s="2647"/>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8"/>
      <c r="O88" s="2738"/>
      <c r="P88" s="2746"/>
      <c r="Q88" s="2724"/>
      <c r="R88" s="2647"/>
      <c r="S88" s="2647"/>
      <c r="T88" s="2647"/>
      <c r="U88" s="2647"/>
      <c r="V88" s="2647"/>
      <c r="W88" s="2647"/>
      <c r="X88" s="2647"/>
      <c r="Y88" s="2647"/>
      <c r="Z88" s="2647"/>
      <c r="AA88" s="2647"/>
      <c r="AB88" s="2647"/>
      <c r="AC88" s="2647"/>
    </row>
    <row r="89" spans="1:29" s="105" customFormat="1" ht="15.75" thickTop="1">
      <c r="A89" s="518"/>
      <c r="B89" s="477" t="str">
        <f>B27</f>
        <v>楼层</v>
      </c>
      <c r="C89" s="493"/>
      <c r="D89" s="493"/>
      <c r="E89" s="493"/>
      <c r="F89" s="1914"/>
      <c r="G89" s="493"/>
      <c r="H89" s="493"/>
      <c r="I89" s="493"/>
      <c r="J89" s="493"/>
      <c r="K89" s="493"/>
      <c r="L89" s="493"/>
      <c r="M89" s="520"/>
      <c r="N89" s="2736"/>
      <c r="O89" s="2736"/>
      <c r="P89" s="2746"/>
      <c r="Q89" s="2724"/>
      <c r="R89" s="2647"/>
      <c r="S89" s="2647"/>
      <c r="T89" s="2647"/>
      <c r="U89" s="2647"/>
      <c r="V89" s="2647"/>
      <c r="W89" s="2647"/>
      <c r="X89" s="2647"/>
      <c r="Y89" s="2647"/>
      <c r="Z89" s="2647"/>
      <c r="AA89" s="2647"/>
      <c r="AB89" s="2647"/>
      <c r="AC89" s="2647"/>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8"/>
      <c r="O90" s="2738"/>
      <c r="P90" s="2746"/>
      <c r="Q90" s="2724"/>
      <c r="R90" s="2647"/>
      <c r="S90" s="2647"/>
      <c r="T90" s="2647"/>
      <c r="U90" s="2647"/>
      <c r="V90" s="2647"/>
      <c r="W90" s="2647"/>
      <c r="X90" s="2647"/>
      <c r="Y90" s="2647"/>
      <c r="Z90" s="2647"/>
      <c r="AA90" s="2647"/>
      <c r="AB90" s="2647"/>
      <c r="AC90" s="2647"/>
    </row>
    <row r="91" spans="1:29" s="412" customFormat="1" ht="15.75" thickTop="1">
      <c r="A91" s="492"/>
      <c r="B91" s="477" t="str">
        <f>B28</f>
        <v>朝向</v>
      </c>
      <c r="C91" s="493"/>
      <c r="D91" s="493"/>
      <c r="E91" s="493"/>
      <c r="F91" s="493"/>
      <c r="G91" s="493"/>
      <c r="H91" s="494"/>
      <c r="I91" s="494"/>
      <c r="J91" s="494"/>
      <c r="K91" s="494"/>
      <c r="L91" s="495"/>
      <c r="M91" s="496"/>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73"/>
      <c r="B93" s="477">
        <f>B29</f>
        <v>111</v>
      </c>
      <c r="C93" s="493"/>
      <c r="D93" s="493"/>
      <c r="E93" s="493"/>
      <c r="F93" s="493"/>
      <c r="G93" s="493"/>
      <c r="H93" s="493"/>
      <c r="I93" s="493"/>
      <c r="J93" s="493"/>
      <c r="K93" s="493"/>
      <c r="L93" s="519"/>
      <c r="M93" s="520"/>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99"/>
      <c r="D94" s="475"/>
      <c r="E94" s="475"/>
      <c r="F94" s="475"/>
      <c r="G94" s="475"/>
      <c r="H94" s="475"/>
      <c r="I94" s="475"/>
      <c r="J94" s="475"/>
      <c r="K94" s="475"/>
      <c r="L94" s="475"/>
      <c r="M94" s="476"/>
      <c r="N94" s="2738"/>
      <c r="O94" s="2738"/>
      <c r="P94" s="2746"/>
      <c r="Q94" s="2724"/>
      <c r="R94" s="2710"/>
      <c r="S94" s="2710"/>
      <c r="T94" s="2710"/>
      <c r="U94" s="2710"/>
      <c r="V94" s="2710"/>
      <c r="W94" s="2710"/>
      <c r="X94" s="2710"/>
      <c r="Y94" s="2710"/>
      <c r="Z94" s="2710"/>
      <c r="AA94" s="2710"/>
      <c r="AB94" s="2710"/>
      <c r="AC94" s="2710"/>
    </row>
    <row r="95" spans="1:29" ht="15.75" thickTop="1">
      <c r="A95" s="473"/>
      <c r="B95" s="477">
        <f>B30</f>
        <v>111</v>
      </c>
      <c r="C95" s="493"/>
      <c r="D95" s="493"/>
      <c r="E95" s="493"/>
      <c r="F95" s="493"/>
      <c r="G95" s="522"/>
      <c r="H95" s="522"/>
      <c r="I95" s="522"/>
      <c r="J95" s="522"/>
      <c r="K95" s="523"/>
      <c r="L95" s="524"/>
      <c r="M95" s="525"/>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99"/>
      <c r="D96" s="499"/>
      <c r="E96" s="499"/>
      <c r="F96" s="499"/>
      <c r="G96" s="475"/>
      <c r="H96" s="475"/>
      <c r="I96" s="475"/>
      <c r="J96" s="475"/>
      <c r="K96" s="475"/>
      <c r="L96" s="475"/>
      <c r="M96" s="476"/>
      <c r="N96" s="2738"/>
      <c r="O96" s="2738"/>
      <c r="P96" s="2746"/>
      <c r="Q96" s="2724"/>
      <c r="R96" s="2710"/>
      <c r="S96" s="2710"/>
      <c r="T96" s="2710"/>
      <c r="U96" s="2710"/>
      <c r="V96" s="2710"/>
      <c r="W96" s="2710"/>
      <c r="X96" s="2710"/>
      <c r="Y96" s="2710"/>
      <c r="Z96" s="2710"/>
      <c r="AA96" s="2710"/>
      <c r="AB96" s="2710"/>
      <c r="AC96" s="2710"/>
    </row>
    <row r="97" spans="1:29" ht="15.75" thickTop="1">
      <c r="A97" s="473"/>
      <c r="B97" s="477">
        <f>B31</f>
        <v>111</v>
      </c>
      <c r="C97" s="493"/>
      <c r="D97" s="493"/>
      <c r="E97" s="493"/>
      <c r="F97" s="493"/>
      <c r="G97" s="522"/>
      <c r="H97" s="522"/>
      <c r="I97" s="522"/>
      <c r="J97" s="522"/>
      <c r="K97" s="523"/>
      <c r="L97" s="524"/>
      <c r="M97" s="525"/>
      <c r="N97" s="2737"/>
      <c r="O97" s="2737"/>
      <c r="P97" s="2746"/>
      <c r="Q97" s="2724"/>
      <c r="R97" s="2710"/>
      <c r="S97" s="2710"/>
      <c r="T97" s="2710"/>
      <c r="U97" s="2710"/>
      <c r="V97" s="2710"/>
      <c r="W97" s="2710"/>
      <c r="X97" s="2710"/>
      <c r="Y97" s="2710"/>
      <c r="Z97" s="2710"/>
      <c r="AA97" s="2710"/>
      <c r="AB97" s="2710"/>
      <c r="AC97" s="2710"/>
    </row>
    <row r="98" spans="1:29" ht="15.75" thickBot="1">
      <c r="A98" s="473"/>
      <c r="B98" s="482"/>
      <c r="C98" s="499"/>
      <c r="D98" s="475"/>
      <c r="E98" s="475"/>
      <c r="F98" s="475"/>
      <c r="G98" s="475"/>
      <c r="H98" s="475"/>
      <c r="I98" s="475"/>
      <c r="J98" s="475"/>
      <c r="K98" s="475"/>
      <c r="L98" s="475"/>
      <c r="M98" s="476"/>
      <c r="N98" s="2738"/>
      <c r="O98" s="2738"/>
      <c r="P98" s="2746"/>
      <c r="Q98" s="2724"/>
      <c r="R98" s="2710"/>
      <c r="S98" s="2710"/>
      <c r="T98" s="2710"/>
      <c r="U98" s="2710"/>
      <c r="V98" s="2710"/>
      <c r="W98" s="2710"/>
      <c r="X98" s="2710"/>
      <c r="Y98" s="2710"/>
      <c r="Z98" s="2710"/>
      <c r="AA98" s="2710"/>
      <c r="AB98" s="2710"/>
      <c r="AC98" s="2710"/>
    </row>
    <row r="99" spans="1:29" ht="15.75" thickTop="1">
      <c r="A99" s="473"/>
      <c r="B99" s="485">
        <f>B32</f>
        <v>111</v>
      </c>
      <c r="C99" s="462"/>
      <c r="D99" s="462"/>
      <c r="E99" s="462"/>
      <c r="F99" s="462"/>
      <c r="G99" s="526"/>
      <c r="H99" s="526"/>
      <c r="I99" s="526"/>
      <c r="J99" s="526"/>
      <c r="K99" s="527"/>
      <c r="L99" s="528"/>
      <c r="M99" s="529"/>
      <c r="N99" s="2737"/>
      <c r="O99" s="2737"/>
      <c r="P99" s="2746"/>
      <c r="Q99" s="2724"/>
      <c r="R99" s="2710"/>
      <c r="S99" s="2710"/>
      <c r="T99" s="2710"/>
      <c r="U99" s="2710"/>
      <c r="V99" s="2710"/>
      <c r="W99" s="2710"/>
      <c r="X99" s="2710"/>
      <c r="Y99" s="2710"/>
      <c r="Z99" s="2710"/>
      <c r="AA99" s="2710"/>
      <c r="AB99" s="2710"/>
      <c r="AC99" s="2710"/>
    </row>
    <row r="100" spans="1:29" ht="15.75" thickBot="1">
      <c r="A100" s="1915"/>
      <c r="B100" s="508"/>
      <c r="C100" s="509"/>
      <c r="D100" s="509"/>
      <c r="E100" s="509"/>
      <c r="F100" s="509"/>
      <c r="G100" s="530"/>
      <c r="H100" s="530"/>
      <c r="I100" s="530"/>
      <c r="J100" s="530"/>
      <c r="K100" s="530"/>
      <c r="L100" s="530"/>
      <c r="M100" s="531"/>
      <c r="N100" s="2738"/>
      <c r="O100" s="2738"/>
      <c r="P100" s="2746"/>
      <c r="Q100" s="2724"/>
      <c r="R100" s="2710"/>
      <c r="S100" s="2710"/>
      <c r="T100" s="2710"/>
      <c r="U100" s="2710"/>
      <c r="V100" s="2710"/>
      <c r="W100" s="2710"/>
      <c r="X100" s="2710"/>
      <c r="Y100" s="2710"/>
      <c r="Z100" s="2710"/>
      <c r="AA100" s="2710"/>
      <c r="AB100" s="2710"/>
      <c r="AC100" s="2710"/>
    </row>
    <row r="101" spans="1:29">
      <c r="A101" s="466" t="s">
        <v>1693</v>
      </c>
      <c r="B101" s="467" t="s">
        <v>1735</v>
      </c>
      <c r="C101" s="469"/>
      <c r="D101" s="469"/>
      <c r="E101" s="469"/>
      <c r="F101" s="469"/>
      <c r="G101" s="469"/>
      <c r="H101" s="469"/>
      <c r="I101" s="469"/>
      <c r="J101" s="469"/>
      <c r="K101" s="470"/>
      <c r="L101" s="471"/>
      <c r="M101" s="472"/>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8"/>
      <c r="O102" s="2738"/>
      <c r="P102" s="2746"/>
      <c r="Q102" s="2724"/>
      <c r="R102" s="2710"/>
      <c r="S102" s="2710"/>
      <c r="T102" s="2710"/>
      <c r="U102" s="2710"/>
      <c r="V102" s="2710"/>
      <c r="W102" s="2710"/>
      <c r="X102" s="2710"/>
      <c r="Y102" s="2710"/>
      <c r="Z102" s="2710"/>
      <c r="AA102" s="2710"/>
      <c r="AB102" s="2710"/>
      <c r="AC102" s="2710"/>
    </row>
    <row r="103" spans="1:29" ht="15.75" thickTop="1">
      <c r="A103" s="473"/>
      <c r="B103" s="477" t="s">
        <v>1736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6"/>
      <c r="O103" s="2736"/>
      <c r="P103" s="2746"/>
      <c r="Q103" s="2724"/>
      <c r="R103" s="2710"/>
      <c r="S103" s="2710"/>
      <c r="T103" s="2710"/>
      <c r="U103" s="2710"/>
      <c r="V103" s="2710"/>
      <c r="W103" s="2710"/>
      <c r="X103" s="2710"/>
      <c r="Y103" s="2710"/>
      <c r="Z103" s="2710"/>
      <c r="AA103" s="2710"/>
      <c r="AB103" s="2710"/>
      <c r="AC103" s="2710"/>
    </row>
    <row r="104" spans="1:29" s="412" customFormat="1">
      <c r="A104" s="532"/>
      <c r="B104" s="533"/>
      <c r="C104" s="534"/>
      <c r="D104" s="534"/>
      <c r="E104" s="534"/>
      <c r="F104" s="534"/>
      <c r="G104" s="534"/>
      <c r="H104" s="534"/>
      <c r="I104" s="534"/>
      <c r="J104" s="535"/>
      <c r="K104" s="535"/>
      <c r="L104" s="536"/>
      <c r="M104" s="537"/>
      <c r="N104" s="2739"/>
      <c r="O104" s="2739"/>
      <c r="P104" s="2747"/>
      <c r="Q104" s="2730"/>
      <c r="R104" s="2731"/>
      <c r="S104" s="2731"/>
      <c r="T104" s="2731"/>
      <c r="U104" s="2731"/>
      <c r="V104" s="2731"/>
      <c r="W104" s="2731"/>
      <c r="X104" s="2731"/>
      <c r="Y104" s="2731"/>
      <c r="Z104" s="2731"/>
      <c r="AA104" s="2731"/>
      <c r="AB104" s="2731"/>
      <c r="AC104" s="2731"/>
    </row>
    <row r="105" spans="1:29" s="412" customFormat="1" ht="15.75" thickBot="1">
      <c r="A105" s="492"/>
      <c r="B105" s="482"/>
      <c r="C105" s="499"/>
      <c r="D105" s="475"/>
      <c r="E105" s="475"/>
      <c r="F105" s="475"/>
      <c r="G105" s="475"/>
      <c r="H105" s="475"/>
      <c r="I105" s="475"/>
      <c r="J105" s="475"/>
      <c r="K105" s="475"/>
      <c r="L105" s="475"/>
      <c r="M105" s="476"/>
      <c r="N105" s="2738"/>
      <c r="O105" s="2738"/>
      <c r="P105" s="2747"/>
      <c r="Q105" s="2730"/>
      <c r="R105" s="2731"/>
      <c r="S105" s="2731"/>
      <c r="T105" s="2731"/>
      <c r="U105" s="2731"/>
      <c r="V105" s="2731"/>
      <c r="W105" s="2731"/>
      <c r="X105" s="2731"/>
      <c r="Y105" s="2731"/>
      <c r="Z105" s="2731"/>
      <c r="AA105" s="2731"/>
      <c r="AB105" s="2731"/>
      <c r="AC105" s="2731"/>
    </row>
    <row r="106" spans="1:29" ht="15" thickTop="1">
      <c r="A106" s="538"/>
      <c r="B106" s="477" t="s">
        <v>1737</v>
      </c>
      <c r="C106" s="493"/>
      <c r="D106" s="493"/>
      <c r="E106" s="522"/>
      <c r="F106" s="522"/>
      <c r="G106" s="522"/>
      <c r="H106" s="522"/>
      <c r="I106" s="522"/>
      <c r="J106" s="522"/>
      <c r="K106" s="523"/>
      <c r="L106" s="524"/>
      <c r="M106" s="525"/>
      <c r="N106" s="2737"/>
      <c r="O106" s="2737"/>
      <c r="P106" s="2746"/>
      <c r="Q106" s="2724"/>
      <c r="R106" s="2710"/>
      <c r="S106" s="2710"/>
      <c r="T106" s="2710"/>
      <c r="U106" s="2710"/>
      <c r="V106" s="2710"/>
      <c r="W106" s="2710"/>
      <c r="X106" s="2710"/>
      <c r="Y106" s="2710"/>
      <c r="Z106" s="2710"/>
      <c r="AA106" s="2710"/>
      <c r="AB106" s="2710"/>
      <c r="AC106" s="2710"/>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8"/>
      <c r="O107" s="2738"/>
      <c r="P107" s="2746"/>
      <c r="Q107" s="2724"/>
      <c r="R107" s="2710"/>
      <c r="S107" s="2710"/>
      <c r="T107" s="2710"/>
      <c r="U107" s="2710"/>
      <c r="V107" s="2710"/>
      <c r="W107" s="2710"/>
      <c r="X107" s="2710"/>
      <c r="Y107" s="2710"/>
      <c r="Z107" s="2710"/>
      <c r="AA107" s="2710"/>
      <c r="AB107" s="2710"/>
      <c r="AC107" s="2710"/>
    </row>
    <row r="108" spans="1:29" ht="15" thickTop="1">
      <c r="A108" s="538"/>
      <c r="B108" s="477" t="s">
        <v>1739</v>
      </c>
      <c r="C108" s="493"/>
      <c r="D108" s="493"/>
      <c r="E108" s="493"/>
      <c r="F108" s="522"/>
      <c r="G108" s="522"/>
      <c r="H108" s="522"/>
      <c r="I108" s="522"/>
      <c r="J108" s="522"/>
      <c r="K108" s="523"/>
      <c r="L108" s="524"/>
      <c r="M108" s="525"/>
      <c r="N108" s="2737"/>
      <c r="O108" s="2737"/>
      <c r="P108" s="2746"/>
      <c r="Q108" s="2724"/>
      <c r="R108" s="2710"/>
      <c r="S108" s="2710"/>
      <c r="T108" s="2710"/>
      <c r="U108" s="2710"/>
      <c r="V108" s="2710"/>
      <c r="W108" s="2710"/>
      <c r="X108" s="2710"/>
      <c r="Y108" s="2710"/>
      <c r="Z108" s="2710"/>
      <c r="AA108" s="2710"/>
      <c r="AB108" s="2710"/>
      <c r="AC108" s="2710"/>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8"/>
      <c r="O109" s="2738"/>
      <c r="P109" s="2746"/>
      <c r="Q109" s="2724"/>
      <c r="R109" s="2710"/>
      <c r="S109" s="2710"/>
      <c r="T109" s="2710"/>
      <c r="U109" s="2710"/>
      <c r="V109" s="2710"/>
      <c r="W109" s="2710"/>
      <c r="X109" s="2710"/>
      <c r="Y109" s="2710"/>
      <c r="Z109" s="2710"/>
      <c r="AA109" s="2710"/>
      <c r="AB109" s="2710"/>
      <c r="AC109" s="2710"/>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7"/>
      <c r="O110" s="2737"/>
      <c r="P110" s="2746"/>
      <c r="Q110" s="2724"/>
      <c r="R110" s="2710"/>
      <c r="S110" s="2710"/>
      <c r="T110" s="2710"/>
      <c r="U110" s="2710"/>
      <c r="V110" s="2710"/>
      <c r="W110" s="2710"/>
      <c r="X110" s="2710"/>
      <c r="Y110" s="2710"/>
      <c r="Z110" s="2710"/>
      <c r="AA110" s="2710"/>
      <c r="AB110" s="2710"/>
      <c r="AC110" s="2710"/>
    </row>
    <row r="111" spans="1:29">
      <c r="A111" s="538"/>
      <c r="B111" s="485"/>
      <c r="C111" s="542">
        <v>0.5</v>
      </c>
      <c r="D111" s="542">
        <v>0.6</v>
      </c>
      <c r="E111" s="542">
        <v>0.7</v>
      </c>
      <c r="F111" s="542">
        <v>0.8</v>
      </c>
      <c r="G111" s="542">
        <v>0.9</v>
      </c>
      <c r="H111" s="542">
        <v>1.0001</v>
      </c>
      <c r="I111" s="561"/>
      <c r="J111" s="561"/>
      <c r="K111" s="562"/>
      <c r="L111" s="563"/>
      <c r="M111" s="564"/>
      <c r="N111" s="2737"/>
      <c r="O111" s="2737"/>
      <c r="P111" s="2746"/>
      <c r="Q111" s="2724"/>
      <c r="R111" s="2710"/>
      <c r="S111" s="2710"/>
      <c r="T111" s="2710"/>
      <c r="U111" s="2710"/>
      <c r="V111" s="2710"/>
      <c r="W111" s="2710"/>
      <c r="X111" s="2710"/>
      <c r="Y111" s="2710"/>
      <c r="Z111" s="2710"/>
      <c r="AA111" s="2710"/>
      <c r="AB111" s="2710"/>
      <c r="AC111" s="2710"/>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8"/>
      <c r="O112" s="2738"/>
      <c r="P112" s="2746"/>
      <c r="Q112" s="2724"/>
      <c r="R112" s="2710"/>
      <c r="S112" s="2710"/>
      <c r="T112" s="2710"/>
      <c r="U112" s="2710"/>
      <c r="V112" s="2710"/>
      <c r="W112" s="2710"/>
      <c r="X112" s="2710"/>
      <c r="Y112" s="2710"/>
      <c r="Z112" s="2710"/>
      <c r="AA112" s="2710"/>
      <c r="AB112" s="2710"/>
      <c r="AC112" s="2710"/>
    </row>
    <row r="113" spans="1:29" s="412" customFormat="1" ht="15" thickTop="1">
      <c r="A113" s="532"/>
      <c r="B113" s="477" t="s">
        <v>1823</v>
      </c>
      <c r="C113" s="493"/>
      <c r="D113" s="493"/>
      <c r="E113" s="493"/>
      <c r="F113" s="493"/>
      <c r="G113" s="493"/>
      <c r="H113" s="522"/>
      <c r="I113" s="522"/>
      <c r="J113" s="522"/>
      <c r="K113" s="523"/>
      <c r="L113" s="524"/>
      <c r="M113" s="525"/>
      <c r="N113" s="2739"/>
      <c r="O113" s="2739"/>
      <c r="P113" s="2747"/>
      <c r="Q113" s="2730"/>
      <c r="R113" s="2731"/>
      <c r="S113" s="2731"/>
      <c r="T113" s="2731"/>
      <c r="U113" s="2731"/>
      <c r="V113" s="2731"/>
      <c r="W113" s="2731"/>
      <c r="X113" s="2731"/>
      <c r="Y113" s="2731"/>
      <c r="Z113" s="2731"/>
      <c r="AA113" s="2731"/>
      <c r="AB113" s="2731"/>
      <c r="AC113" s="2731"/>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38"/>
      <c r="B115" s="477" t="s">
        <v>1740</v>
      </c>
      <c r="C115" s="493"/>
      <c r="D115" s="493"/>
      <c r="E115" s="522"/>
      <c r="F115" s="522"/>
      <c r="G115" s="522"/>
      <c r="H115" s="522"/>
      <c r="I115" s="522"/>
      <c r="J115" s="522"/>
      <c r="K115" s="523"/>
      <c r="L115" s="524"/>
      <c r="M115" s="525"/>
      <c r="N115" s="2737"/>
      <c r="O115" s="2737"/>
      <c r="P115" s="2746"/>
      <c r="Q115" s="2724"/>
      <c r="R115" s="2710"/>
      <c r="S115" s="2710"/>
      <c r="T115" s="2710"/>
      <c r="U115" s="2710"/>
      <c r="V115" s="2710"/>
      <c r="W115" s="2710"/>
      <c r="X115" s="2710"/>
      <c r="Y115" s="2710"/>
      <c r="Z115" s="2710"/>
      <c r="AA115" s="2710"/>
      <c r="AB115" s="2710"/>
      <c r="AC115" s="2710"/>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8"/>
      <c r="O116" s="2738"/>
      <c r="P116" s="2746"/>
      <c r="Q116" s="2724"/>
      <c r="R116" s="2710"/>
      <c r="S116" s="2710"/>
      <c r="T116" s="2710"/>
      <c r="U116" s="2710"/>
      <c r="V116" s="2710"/>
      <c r="W116" s="2710"/>
      <c r="X116" s="2710"/>
      <c r="Y116" s="2710"/>
      <c r="Z116" s="2710"/>
      <c r="AA116" s="2710"/>
      <c r="AB116" s="2710"/>
      <c r="AC116" s="2710"/>
    </row>
    <row r="117" spans="1:29" ht="15" thickTop="1">
      <c r="A117" s="538"/>
      <c r="B117" s="477" t="s">
        <v>1741</v>
      </c>
      <c r="C117" s="493"/>
      <c r="D117" s="493"/>
      <c r="E117" s="493"/>
      <c r="F117" s="493"/>
      <c r="G117" s="493"/>
      <c r="H117" s="522"/>
      <c r="I117" s="522"/>
      <c r="J117" s="522"/>
      <c r="K117" s="523"/>
      <c r="L117" s="524"/>
      <c r="M117" s="525"/>
      <c r="N117" s="2737"/>
      <c r="O117" s="2737"/>
      <c r="P117" s="2746"/>
      <c r="Q117" s="2724"/>
      <c r="R117" s="2710"/>
      <c r="S117" s="2710"/>
      <c r="T117" s="2710"/>
      <c r="U117" s="2710"/>
      <c r="V117" s="2710"/>
      <c r="W117" s="2710"/>
      <c r="X117" s="2710"/>
      <c r="Y117" s="2710"/>
      <c r="Z117" s="2710"/>
      <c r="AA117" s="2710"/>
      <c r="AB117" s="2710"/>
      <c r="AC117" s="2710"/>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8"/>
      <c r="O118" s="2738"/>
      <c r="P118" s="2746"/>
      <c r="Q118" s="2724"/>
      <c r="R118" s="2710"/>
      <c r="S118" s="2710"/>
      <c r="T118" s="2710"/>
      <c r="U118" s="2710"/>
      <c r="V118" s="2710"/>
      <c r="W118" s="2710"/>
      <c r="X118" s="2710"/>
      <c r="Y118" s="2710"/>
      <c r="Z118" s="2710"/>
      <c r="AA118" s="2710"/>
      <c r="AB118" s="2710"/>
      <c r="AC118" s="2710"/>
    </row>
    <row r="119" spans="1:29" ht="15" thickTop="1">
      <c r="A119" s="538"/>
      <c r="B119" s="574" t="s">
        <v>1824</v>
      </c>
      <c r="C119" s="522"/>
      <c r="D119" s="522"/>
      <c r="E119" s="522"/>
      <c r="F119" s="522"/>
      <c r="G119" s="522"/>
      <c r="H119" s="522"/>
      <c r="I119" s="522"/>
      <c r="J119" s="522"/>
      <c r="K119" s="522"/>
      <c r="L119" s="1955"/>
      <c r="M119" s="1956"/>
      <c r="N119" s="2738"/>
      <c r="O119" s="2738"/>
      <c r="P119" s="2751"/>
      <c r="Q119" s="2752"/>
      <c r="R119" s="2710"/>
      <c r="S119" s="2710"/>
      <c r="T119" s="2710"/>
      <c r="U119" s="2710"/>
      <c r="V119" s="2710"/>
      <c r="W119" s="2710"/>
      <c r="X119" s="2710"/>
      <c r="Y119" s="2710"/>
      <c r="Z119" s="2710"/>
      <c r="AA119" s="2710"/>
      <c r="AB119" s="2710"/>
      <c r="AC119" s="2710"/>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8"/>
      <c r="O120" s="2738"/>
      <c r="P120" s="2746"/>
      <c r="Q120" s="2724"/>
      <c r="R120" s="2710"/>
      <c r="S120" s="2710"/>
      <c r="T120" s="2710"/>
      <c r="U120" s="2710"/>
      <c r="V120" s="2710"/>
      <c r="W120" s="2710"/>
      <c r="X120" s="2710"/>
      <c r="Y120" s="2710"/>
      <c r="Z120" s="2710"/>
      <c r="AA120" s="2710"/>
      <c r="AB120" s="2710"/>
      <c r="AC120" s="2710"/>
    </row>
    <row r="121" spans="1:29" s="412" customFormat="1" ht="15" thickTop="1">
      <c r="A121" s="532"/>
      <c r="B121" s="477" t="s">
        <v>1807</v>
      </c>
      <c r="C121" s="493"/>
      <c r="D121" s="493"/>
      <c r="E121" s="493"/>
      <c r="F121" s="522"/>
      <c r="G121" s="494"/>
      <c r="H121" s="494"/>
      <c r="I121" s="494"/>
      <c r="J121" s="494"/>
      <c r="K121" s="494"/>
      <c r="L121" s="495"/>
      <c r="M121" s="496"/>
      <c r="N121" s="2739"/>
      <c r="O121" s="2739"/>
      <c r="P121" s="2747"/>
      <c r="Q121" s="2730"/>
      <c r="R121" s="2731"/>
      <c r="S121" s="2731"/>
      <c r="T121" s="2731"/>
      <c r="U121" s="2731"/>
      <c r="V121" s="2731"/>
      <c r="W121" s="2731"/>
      <c r="X121" s="2731"/>
      <c r="Y121" s="2731"/>
      <c r="Z121" s="2731"/>
      <c r="AA121" s="2731"/>
      <c r="AB121" s="2731"/>
      <c r="AC121" s="2731"/>
    </row>
    <row r="122" spans="1:29" s="412" customFormat="1" ht="15.75" thickBot="1">
      <c r="A122" s="492"/>
      <c r="B122" s="474"/>
      <c r="C122" s="499"/>
      <c r="D122" s="499"/>
      <c r="E122" s="499"/>
      <c r="F122" s="499"/>
      <c r="G122" s="499"/>
      <c r="H122" s="499"/>
      <c r="I122" s="499"/>
      <c r="J122" s="499"/>
      <c r="K122" s="499"/>
      <c r="L122" s="499"/>
      <c r="M122" s="499"/>
      <c r="N122" s="2739"/>
      <c r="O122" s="2739"/>
      <c r="P122" s="2747"/>
      <c r="Q122" s="2730"/>
      <c r="R122" s="2731"/>
      <c r="S122" s="2731"/>
      <c r="T122" s="2731"/>
      <c r="U122" s="2731"/>
      <c r="V122" s="2731"/>
      <c r="W122" s="2731"/>
      <c r="X122" s="2731"/>
      <c r="Y122" s="2731"/>
      <c r="Z122" s="2731"/>
      <c r="AA122" s="2731"/>
      <c r="AB122" s="2731"/>
      <c r="AC122" s="2731"/>
    </row>
    <row r="123" spans="1:29" ht="15" thickTop="1">
      <c r="A123" s="538"/>
      <c r="B123" s="477" t="s">
        <v>1743</v>
      </c>
      <c r="C123" s="493"/>
      <c r="D123" s="493"/>
      <c r="E123" s="493"/>
      <c r="F123" s="522"/>
      <c r="G123" s="522"/>
      <c r="H123" s="522"/>
      <c r="I123" s="522"/>
      <c r="J123" s="522"/>
      <c r="K123" s="523"/>
      <c r="L123" s="524"/>
      <c r="M123" s="525"/>
      <c r="N123" s="2737"/>
      <c r="O123" s="2737"/>
      <c r="P123" s="2746"/>
      <c r="Q123" s="2724"/>
      <c r="R123" s="2710"/>
      <c r="S123" s="2710"/>
      <c r="T123" s="2710"/>
      <c r="U123" s="2710"/>
      <c r="V123" s="2710"/>
      <c r="W123" s="2710"/>
      <c r="X123" s="2710"/>
      <c r="Y123" s="2710"/>
      <c r="Z123" s="2710"/>
      <c r="AA123" s="2710"/>
      <c r="AB123" s="2710"/>
      <c r="AC123" s="2710"/>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8"/>
      <c r="O124" s="2738"/>
      <c r="P124" s="2746"/>
      <c r="Q124" s="2724"/>
      <c r="R124" s="2710"/>
      <c r="S124" s="2710"/>
      <c r="T124" s="2710"/>
      <c r="U124" s="2710"/>
      <c r="V124" s="2710"/>
      <c r="W124" s="2710"/>
      <c r="X124" s="2710"/>
      <c r="Y124" s="2710"/>
      <c r="Z124" s="2710"/>
      <c r="AA124" s="2710"/>
      <c r="AB124" s="2710"/>
      <c r="AC124" s="2710"/>
    </row>
    <row r="125" spans="1:29" ht="15" thickTop="1">
      <c r="A125" s="538"/>
      <c r="B125" s="477" t="s">
        <v>1744</v>
      </c>
      <c r="C125" s="517" t="s">
        <v>1720</v>
      </c>
      <c r="D125" s="517" t="s">
        <v>1721</v>
      </c>
      <c r="E125" s="517" t="s">
        <v>1722</v>
      </c>
      <c r="F125" s="517" t="s">
        <v>1723</v>
      </c>
      <c r="G125" s="517" t="s">
        <v>1724</v>
      </c>
      <c r="H125" s="478"/>
      <c r="I125" s="478"/>
      <c r="J125" s="478"/>
      <c r="K125" s="479"/>
      <c r="L125" s="480"/>
      <c r="M125" s="481"/>
      <c r="N125" s="2737"/>
      <c r="O125" s="2737"/>
      <c r="P125" s="2747"/>
      <c r="Q125" s="2724"/>
      <c r="R125" s="2710"/>
      <c r="S125" s="2710"/>
      <c r="T125" s="2710"/>
      <c r="U125" s="2710"/>
      <c r="V125" s="2710"/>
      <c r="W125" s="2710"/>
      <c r="X125" s="2710"/>
      <c r="Y125" s="2710"/>
      <c r="Z125" s="2710"/>
      <c r="AA125" s="2710"/>
      <c r="AB125" s="2710"/>
      <c r="AC125" s="2710"/>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8"/>
      <c r="O126" s="2738"/>
      <c r="P126" s="2746"/>
      <c r="Q126" s="2724"/>
      <c r="R126" s="2710"/>
      <c r="S126" s="2710"/>
      <c r="T126" s="2710"/>
      <c r="U126" s="2710"/>
      <c r="V126" s="2710"/>
      <c r="W126" s="2710"/>
      <c r="X126" s="2710"/>
      <c r="Y126" s="2710"/>
      <c r="Z126" s="2710"/>
      <c r="AA126" s="2710"/>
      <c r="AB126" s="2710"/>
      <c r="AC126" s="2710"/>
    </row>
    <row r="127" spans="1:29" s="412" customFormat="1" ht="15" thickTop="1">
      <c r="A127" s="532"/>
      <c r="B127" s="477">
        <f>B45</f>
        <v>111</v>
      </c>
      <c r="C127" s="493"/>
      <c r="D127" s="493"/>
      <c r="E127" s="493"/>
      <c r="F127" s="493"/>
      <c r="G127" s="493"/>
      <c r="H127" s="494"/>
      <c r="I127" s="494"/>
      <c r="J127" s="494"/>
      <c r="K127" s="494"/>
      <c r="L127" s="495"/>
      <c r="M127" s="496"/>
      <c r="N127" s="2739"/>
      <c r="O127" s="2739"/>
      <c r="P127" s="2747"/>
      <c r="Q127" s="2730"/>
      <c r="R127" s="2731"/>
      <c r="S127" s="2731"/>
      <c r="T127" s="2731"/>
      <c r="U127" s="2731"/>
      <c r="V127" s="2731"/>
      <c r="W127" s="2731"/>
      <c r="X127" s="2731"/>
      <c r="Y127" s="2731"/>
      <c r="Z127" s="2731"/>
      <c r="AA127" s="2731"/>
      <c r="AB127" s="2731"/>
      <c r="AC127" s="2731"/>
    </row>
    <row r="128" spans="1:29" s="412" customFormat="1" ht="15.75" thickBot="1">
      <c r="A128" s="492"/>
      <c r="B128" s="482"/>
      <c r="C128" s="499"/>
      <c r="D128" s="475"/>
      <c r="E128" s="475"/>
      <c r="F128" s="475"/>
      <c r="G128" s="499"/>
      <c r="H128" s="501"/>
      <c r="I128" s="501"/>
      <c r="J128" s="501"/>
      <c r="K128" s="501"/>
      <c r="L128" s="501"/>
      <c r="M128" s="502"/>
      <c r="N128" s="2739"/>
      <c r="O128" s="2739"/>
      <c r="P128" s="2747"/>
      <c r="Q128" s="2730"/>
      <c r="R128" s="2731"/>
      <c r="S128" s="2731"/>
      <c r="T128" s="2731"/>
      <c r="U128" s="2731"/>
      <c r="V128" s="2731"/>
      <c r="W128" s="2731"/>
      <c r="X128" s="2731"/>
      <c r="Y128" s="2731"/>
      <c r="Z128" s="2731"/>
      <c r="AA128" s="2731"/>
      <c r="AB128" s="2731"/>
      <c r="AC128" s="2731"/>
    </row>
    <row r="129" spans="1:29" ht="15" thickTop="1">
      <c r="A129" s="538"/>
      <c r="B129" s="477">
        <f>B46</f>
        <v>111</v>
      </c>
      <c r="C129" s="493"/>
      <c r="D129" s="493"/>
      <c r="E129" s="493"/>
      <c r="F129" s="493"/>
      <c r="G129" s="522"/>
      <c r="H129" s="522"/>
      <c r="I129" s="522"/>
      <c r="J129" s="522"/>
      <c r="K129" s="523"/>
      <c r="L129" s="524"/>
      <c r="M129" s="525"/>
      <c r="N129" s="2737"/>
      <c r="O129" s="2737"/>
      <c r="P129" s="2746"/>
      <c r="Q129" s="2724"/>
      <c r="R129" s="2710"/>
      <c r="S129" s="2710"/>
      <c r="T129" s="2710"/>
      <c r="U129" s="2710"/>
      <c r="V129" s="2710"/>
      <c r="W129" s="2710"/>
      <c r="X129" s="2710"/>
      <c r="Y129" s="2710"/>
      <c r="Z129" s="2710"/>
      <c r="AA129" s="2710"/>
      <c r="AB129" s="2710"/>
      <c r="AC129" s="2710"/>
    </row>
    <row r="130" spans="1:29" ht="15.75" thickBot="1">
      <c r="A130" s="473"/>
      <c r="B130" s="482"/>
      <c r="C130" s="499"/>
      <c r="D130" s="499"/>
      <c r="E130" s="499"/>
      <c r="F130" s="499"/>
      <c r="G130" s="475"/>
      <c r="H130" s="475"/>
      <c r="I130" s="475"/>
      <c r="J130" s="475"/>
      <c r="K130" s="475"/>
      <c r="L130" s="475"/>
      <c r="M130" s="476"/>
      <c r="N130" s="2738"/>
      <c r="O130" s="2738"/>
      <c r="P130" s="2746"/>
      <c r="Q130" s="2724"/>
      <c r="R130" s="2710"/>
      <c r="S130" s="2710"/>
      <c r="T130" s="2710"/>
      <c r="U130" s="2710"/>
      <c r="V130" s="2710"/>
      <c r="W130" s="2710"/>
      <c r="X130" s="2710"/>
      <c r="Y130" s="2710"/>
      <c r="Z130" s="2710"/>
      <c r="AA130" s="2710"/>
      <c r="AB130" s="2710"/>
      <c r="AC130" s="2710"/>
    </row>
    <row r="131" spans="1:29" ht="15" thickTop="1">
      <c r="A131" s="538"/>
      <c r="B131" s="485">
        <f>B47</f>
        <v>111</v>
      </c>
      <c r="C131" s="462"/>
      <c r="D131" s="462"/>
      <c r="E131" s="462"/>
      <c r="F131" s="462"/>
      <c r="G131" s="526"/>
      <c r="H131" s="526"/>
      <c r="I131" s="526"/>
      <c r="J131" s="526"/>
      <c r="K131" s="462"/>
      <c r="L131" s="463"/>
      <c r="M131" s="529"/>
      <c r="N131" s="2737"/>
      <c r="O131" s="2737"/>
      <c r="P131" s="2746"/>
      <c r="Q131" s="2724"/>
      <c r="R131" s="2710"/>
      <c r="S131" s="2710"/>
      <c r="T131" s="2710"/>
      <c r="U131" s="2710"/>
      <c r="V131" s="2710"/>
      <c r="W131" s="2710"/>
      <c r="X131" s="2710"/>
      <c r="Y131" s="2710"/>
      <c r="Z131" s="2710"/>
      <c r="AA131" s="2710"/>
      <c r="AB131" s="2710"/>
      <c r="AC131" s="2710"/>
    </row>
    <row r="132" spans="1:29" ht="15.75" thickBot="1">
      <c r="A132" s="1915"/>
      <c r="B132" s="508"/>
      <c r="C132" s="509"/>
      <c r="D132" s="509"/>
      <c r="E132" s="509"/>
      <c r="F132" s="509"/>
      <c r="G132" s="530"/>
      <c r="H132" s="530"/>
      <c r="I132" s="530"/>
      <c r="J132" s="530"/>
      <c r="K132" s="530"/>
      <c r="L132" s="530"/>
      <c r="M132" s="531"/>
      <c r="N132" s="2738"/>
      <c r="O132" s="2738"/>
      <c r="P132" s="2746"/>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1825</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IF(E1="项目模式",IF(C2="——",ROUND(C43*D3/10000,0),ROUND(C43*D3/10000,0)-D2),IF(E1="单套模式",IF(C2="——",ROUND(C43*D3/10000,4),ROUND(C43*D3/10000,4)-D2)))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1463</v>
      </c>
      <c r="B3" s="548">
        <f>IF(C2="——",C43,ROUND(B2*10000/D3,0))</f>
        <v>0</v>
      </c>
      <c r="C3" s="344" t="s">
        <v>1767</v>
      </c>
      <c r="D3" s="343">
        <f>IF(D1="",'数据-汇总表'!E3,SUMIF('数据-汇总表'!$C19:$C33,D1,'数据-汇总表'!$E19:$E33))</f>
        <v>98312.17</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1768</v>
      </c>
      <c r="B4" s="346"/>
      <c r="C4" s="3719" t="s">
        <v>1769</v>
      </c>
      <c r="D4" s="3720"/>
      <c r="E4" s="3721" t="s">
        <v>1770</v>
      </c>
      <c r="F4" s="3722"/>
      <c r="G4" s="3719" t="s">
        <v>1771</v>
      </c>
      <c r="H4" s="3720"/>
      <c r="I4" s="3719" t="s">
        <v>1772</v>
      </c>
      <c r="J4" s="3720"/>
      <c r="K4" s="549" t="s">
        <v>1773</v>
      </c>
      <c r="L4" s="900"/>
      <c r="M4" s="901"/>
      <c r="N4" s="901"/>
      <c r="O4" s="901"/>
      <c r="P4" s="3723" t="s">
        <v>1774</v>
      </c>
      <c r="Q4" s="3724"/>
      <c r="R4" s="3729" t="s">
        <v>1770</v>
      </c>
      <c r="S4" s="3730"/>
      <c r="T4" s="3729" t="s">
        <v>1771</v>
      </c>
      <c r="U4" s="3730"/>
      <c r="V4" s="3714" t="s">
        <v>1772</v>
      </c>
      <c r="W4" s="3714"/>
      <c r="X4" s="1342"/>
      <c r="Y4" s="3729" t="s">
        <v>1774</v>
      </c>
      <c r="Z4" s="3730"/>
      <c r="AA4" s="3716" t="s">
        <v>1770</v>
      </c>
      <c r="AB4" s="3717" t="s">
        <v>1771</v>
      </c>
      <c r="AC4" s="3716" t="s">
        <v>1772</v>
      </c>
    </row>
    <row r="5" spans="1:29" ht="15">
      <c r="A5" s="348"/>
      <c r="B5" s="349"/>
      <c r="C5" s="3737" t="s">
        <v>1672</v>
      </c>
      <c r="D5" s="3738"/>
      <c r="E5" s="3776" t="s">
        <v>1673</v>
      </c>
      <c r="F5" s="3746"/>
      <c r="G5" s="3737" t="s">
        <v>1674</v>
      </c>
      <c r="H5" s="3738"/>
      <c r="I5" s="3737" t="s">
        <v>1675</v>
      </c>
      <c r="J5" s="3738"/>
      <c r="K5" s="549"/>
      <c r="L5" s="900"/>
      <c r="M5" s="901"/>
      <c r="N5" s="901"/>
      <c r="O5" s="901"/>
      <c r="P5" s="3725"/>
      <c r="Q5" s="3726"/>
      <c r="R5" s="3731"/>
      <c r="S5" s="3732"/>
      <c r="T5" s="3731"/>
      <c r="U5" s="3732"/>
      <c r="V5" s="3714"/>
      <c r="W5" s="3714"/>
      <c r="X5" s="1342"/>
      <c r="Y5" s="3731"/>
      <c r="Z5" s="3732"/>
      <c r="AA5" s="3717"/>
      <c r="AB5" s="3717"/>
      <c r="AC5" s="3717"/>
    </row>
    <row r="6" spans="1:29" ht="15.75" thickBot="1">
      <c r="A6" s="350"/>
      <c r="B6" s="351"/>
      <c r="C6" s="3735" t="s">
        <v>1676</v>
      </c>
      <c r="D6" s="3736"/>
      <c r="E6" s="3743" t="s">
        <v>1676</v>
      </c>
      <c r="F6" s="3744"/>
      <c r="G6" s="3735" t="s">
        <v>1676</v>
      </c>
      <c r="H6" s="3736"/>
      <c r="I6" s="3735" t="s">
        <v>1676</v>
      </c>
      <c r="J6" s="3736"/>
      <c r="K6" s="549" t="s">
        <v>1677</v>
      </c>
      <c r="L6" s="900"/>
      <c r="M6" s="901"/>
      <c r="N6" s="901"/>
      <c r="O6" s="901"/>
      <c r="P6" s="3727"/>
      <c r="Q6" s="3728"/>
      <c r="R6" s="3731"/>
      <c r="S6" s="3732"/>
      <c r="T6" s="3733"/>
      <c r="U6" s="3734"/>
      <c r="V6" s="3714"/>
      <c r="W6" s="3714"/>
      <c r="X6" s="1342"/>
      <c r="Y6" s="3733"/>
      <c r="Z6" s="3734"/>
      <c r="AA6" s="3718"/>
      <c r="AB6" s="3718"/>
      <c r="AC6" s="3718"/>
    </row>
    <row r="7" spans="1:29" s="105" customFormat="1" ht="15.75" thickBot="1">
      <c r="A7" s="352" t="s">
        <v>1678</v>
      </c>
      <c r="B7" s="353"/>
      <c r="C7" s="354">
        <f>'数据-取费表'!B2</f>
        <v>45373</v>
      </c>
      <c r="D7" s="355">
        <v>100</v>
      </c>
      <c r="E7" s="356"/>
      <c r="F7" s="357">
        <f>SUMIF(52:52,YEAR(E7)&amp;"-"&amp;MONTH(E7),53:53)</f>
        <v>0</v>
      </c>
      <c r="G7" s="356"/>
      <c r="H7" s="355">
        <f>SUMIF(52:52,YEAR(G7)&amp;"-"&amp;MONTH(G7),53:53)</f>
        <v>0</v>
      </c>
      <c r="I7" s="356"/>
      <c r="J7" s="355">
        <f>SUMIF(52:52,YEAR(I7)&amp;"-"&amp;MONTH(I7),53:53)</f>
        <v>0</v>
      </c>
      <c r="K7" s="550"/>
      <c r="L7" s="902"/>
      <c r="M7" s="903"/>
      <c r="N7" s="903"/>
      <c r="O7" s="903"/>
      <c r="P7" s="3739" t="s">
        <v>1679</v>
      </c>
      <c r="Q7" s="3741"/>
      <c r="R7" s="688" t="s">
        <v>14</v>
      </c>
      <c r="S7" s="689">
        <f t="shared" ref="S7:S15" si="0">F7</f>
        <v>0</v>
      </c>
      <c r="T7" s="688" t="s">
        <v>14</v>
      </c>
      <c r="U7" s="689">
        <f t="shared" ref="U7:U15" si="1">H7</f>
        <v>0</v>
      </c>
      <c r="V7" s="688" t="s">
        <v>14</v>
      </c>
      <c r="W7" s="689">
        <f t="shared" ref="W7:W15" si="2">J7</f>
        <v>0</v>
      </c>
      <c r="X7" s="690"/>
      <c r="Y7" s="3739" t="s">
        <v>1679</v>
      </c>
      <c r="Z7" s="3740"/>
      <c r="AA7" s="691" t="e">
        <f>D7/F7</f>
        <v>#DIV/0!</v>
      </c>
      <c r="AB7" s="691" t="e">
        <f>D7/H7</f>
        <v>#DIV/0!</v>
      </c>
      <c r="AC7" s="691" t="e">
        <f>D7/J7</f>
        <v>#DIV/0!</v>
      </c>
    </row>
    <row r="8" spans="1:29" s="105"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9" t="s">
        <v>1682</v>
      </c>
      <c r="Q8" s="3740"/>
      <c r="R8" s="688" t="s">
        <v>14</v>
      </c>
      <c r="S8" s="689">
        <f t="shared" si="0"/>
        <v>100</v>
      </c>
      <c r="T8" s="688" t="s">
        <v>14</v>
      </c>
      <c r="U8" s="689">
        <f t="shared" si="1"/>
        <v>100</v>
      </c>
      <c r="V8" s="688" t="s">
        <v>14</v>
      </c>
      <c r="W8" s="689">
        <f t="shared" si="2"/>
        <v>100</v>
      </c>
      <c r="X8" s="690"/>
      <c r="Y8" s="3739" t="s">
        <v>1682</v>
      </c>
      <c r="Z8" s="3740"/>
      <c r="AA8" s="691">
        <f t="shared" ref="AA8:AA40" si="3">D8/F8</f>
        <v>1</v>
      </c>
      <c r="AB8" s="691">
        <f t="shared" ref="AB8:AB40" si="4">D8/H8</f>
        <v>1</v>
      </c>
      <c r="AC8" s="691">
        <f t="shared" ref="AC8:AC40" si="5">D8/J8</f>
        <v>1</v>
      </c>
    </row>
    <row r="9" spans="1:29" s="105" customFormat="1">
      <c r="A9" s="359" t="s">
        <v>1683</v>
      </c>
      <c r="B9" s="63" t="s">
        <v>1684</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00" t="s">
        <v>1685</v>
      </c>
      <c r="Q9" s="1330" t="str">
        <f t="shared" ref="Q9:Q15" si="6">B9</f>
        <v>用途</v>
      </c>
      <c r="R9" s="688" t="s">
        <v>14</v>
      </c>
      <c r="S9" s="689">
        <f t="shared" si="0"/>
        <v>100</v>
      </c>
      <c r="T9" s="688" t="s">
        <v>14</v>
      </c>
      <c r="U9" s="689">
        <f t="shared" si="1"/>
        <v>100</v>
      </c>
      <c r="V9" s="688" t="s">
        <v>14</v>
      </c>
      <c r="W9" s="689">
        <f t="shared" si="2"/>
        <v>100</v>
      </c>
      <c r="X9" s="690"/>
      <c r="Y9" s="3607"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1"/>
      <c r="F10" s="117">
        <f>SUMIF(59:59,E10,60:60)-SUMIF(59:59,C10,60:60)+100</f>
        <v>100</v>
      </c>
      <c r="G10" s="3412"/>
      <c r="H10" s="117">
        <f>SUMIF(59:59,G10,60:60)-SUMIF(59:59,C10,60:60)+100</f>
        <v>100</v>
      </c>
      <c r="I10" s="3411"/>
      <c r="J10" s="117">
        <f>SUMIF(59:59,I10,60:60)-SUMIF(59:59,C10,60:60)+100</f>
        <v>100</v>
      </c>
      <c r="K10" s="550"/>
      <c r="L10" s="905"/>
      <c r="M10" s="906"/>
      <c r="N10" s="906"/>
      <c r="O10" s="907"/>
      <c r="P10" s="3700"/>
      <c r="Q10" s="1330"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365" t="s">
        <v>1688</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00"/>
      <c r="Q11" s="1330" t="str">
        <f t="shared" si="6"/>
        <v>容积率</v>
      </c>
      <c r="R11" s="688" t="s">
        <v>14</v>
      </c>
      <c r="S11" s="689">
        <f t="shared" si="0"/>
        <v>100</v>
      </c>
      <c r="T11" s="688" t="s">
        <v>14</v>
      </c>
      <c r="U11" s="689">
        <f t="shared" si="1"/>
        <v>100</v>
      </c>
      <c r="V11" s="688" t="s">
        <v>14</v>
      </c>
      <c r="W11" s="689">
        <f t="shared" si="2"/>
        <v>100</v>
      </c>
      <c r="X11" s="690"/>
      <c r="Y11" s="3607"/>
      <c r="Z11" s="52" t="str">
        <f t="shared" si="7"/>
        <v>容积率</v>
      </c>
      <c r="AA11" s="691">
        <f t="shared" si="3"/>
        <v>1</v>
      </c>
      <c r="AB11" s="691">
        <f t="shared" si="4"/>
        <v>1</v>
      </c>
      <c r="AC11" s="691">
        <f t="shared" si="5"/>
        <v>1</v>
      </c>
    </row>
    <row r="12" spans="1:29" s="105" customFormat="1" ht="15">
      <c r="A12" s="372"/>
      <c r="B12" s="1880">
        <v>111</v>
      </c>
      <c r="C12" s="373"/>
      <c r="D12" s="374">
        <v>100</v>
      </c>
      <c r="E12" s="375"/>
      <c r="F12" s="117">
        <f>SUMIF(64:64,E12,65:65)-SUMIF(64:64,C12,65:65)+100</f>
        <v>100</v>
      </c>
      <c r="G12" s="1957"/>
      <c r="H12" s="117">
        <f>SUMIF(64:64,G12,65:65)-SUMIF(64:64,C12,65:65)+100</f>
        <v>100</v>
      </c>
      <c r="I12" s="410"/>
      <c r="J12" s="117">
        <f>SUMIF(64:64,I12,65:65)-SUMIF(64:64,C12,65:65)+100</f>
        <v>100</v>
      </c>
      <c r="K12" s="552"/>
      <c r="L12" s="902"/>
      <c r="M12" s="903"/>
      <c r="N12" s="903"/>
      <c r="O12" s="904"/>
      <c r="P12" s="3700"/>
      <c r="Q12" s="1330">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
      <c r="A13" s="369"/>
      <c r="B13" s="1880">
        <v>111</v>
      </c>
      <c r="C13" s="375"/>
      <c r="D13" s="376">
        <v>100</v>
      </c>
      <c r="E13" s="375"/>
      <c r="F13" s="117">
        <f>SUMIF(66:66,E13,67:67)-SUMIF(66:66,C13,67:67)+100</f>
        <v>100</v>
      </c>
      <c r="G13" s="1957"/>
      <c r="H13" s="376">
        <f>SUMIF(66:66,G13,67:67)-SUMIF(66:66,C13,67:67)+100</f>
        <v>100</v>
      </c>
      <c r="I13" s="410"/>
      <c r="J13" s="376">
        <f>SUMIF(66:66,I13,67:67)-SUMIF(66:66,C13,67:67)+100</f>
        <v>100</v>
      </c>
      <c r="K13" s="552"/>
      <c r="L13" s="910"/>
      <c r="M13" s="901"/>
      <c r="N13" s="901"/>
      <c r="O13" s="909"/>
      <c r="P13" s="3700"/>
      <c r="Q13" s="1330">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5.75" thickBot="1">
      <c r="A14" s="377"/>
      <c r="B14" s="1882">
        <v>111</v>
      </c>
      <c r="C14" s="378"/>
      <c r="D14" s="379">
        <v>100</v>
      </c>
      <c r="E14" s="378"/>
      <c r="F14" s="379">
        <f>SUMIF(68:68,E14,69:69)-SUMIF(68:68,C14,69:69)+100</f>
        <v>100</v>
      </c>
      <c r="G14" s="1957"/>
      <c r="H14" s="379">
        <f>SUMIF(68:68,G14,69:69)-SUMIF(68:68,C14,69:69)+100</f>
        <v>100</v>
      </c>
      <c r="I14" s="410"/>
      <c r="J14" s="379">
        <f>SUMIF(68:68,I14,69:69)-SUMIF(68:68,C14,69:69)+100</f>
        <v>100</v>
      </c>
      <c r="K14" s="552"/>
      <c r="L14" s="910"/>
      <c r="M14" s="901"/>
      <c r="N14" s="901"/>
      <c r="O14" s="909"/>
      <c r="P14" s="3700"/>
      <c r="Q14" s="1330">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691">
        <f t="shared" si="5"/>
        <v>1</v>
      </c>
    </row>
    <row r="15" spans="1:29" ht="57">
      <c r="A15" s="381" t="s">
        <v>1689</v>
      </c>
      <c r="B15" s="61" t="s">
        <v>1826</v>
      </c>
      <c r="C15" s="195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07" t="s">
        <v>1690</v>
      </c>
      <c r="Q15" s="1339" t="str">
        <f t="shared" si="6"/>
        <v>产业集聚程度</v>
      </c>
      <c r="R15" s="692" t="s">
        <v>14</v>
      </c>
      <c r="S15" s="693">
        <f t="shared" si="0"/>
        <v>100</v>
      </c>
      <c r="T15" s="692" t="s">
        <v>14</v>
      </c>
      <c r="U15" s="693">
        <f t="shared" si="1"/>
        <v>100</v>
      </c>
      <c r="V15" s="692" t="s">
        <v>14</v>
      </c>
      <c r="W15" s="693">
        <f t="shared" si="2"/>
        <v>100</v>
      </c>
      <c r="X15" s="1342"/>
      <c r="Y15" s="3707" t="s">
        <v>1690</v>
      </c>
      <c r="Z15" s="1343" t="str">
        <f t="shared" si="7"/>
        <v>产业集聚程度</v>
      </c>
      <c r="AA15" s="1340">
        <f t="shared" si="3"/>
        <v>1</v>
      </c>
      <c r="AB15" s="1340">
        <f t="shared" si="4"/>
        <v>1</v>
      </c>
      <c r="AC15" s="1340">
        <f t="shared" si="5"/>
        <v>1</v>
      </c>
    </row>
    <row r="16" spans="1:29" ht="15">
      <c r="A16" s="369"/>
      <c r="B16" s="387"/>
      <c r="C16" s="388"/>
      <c r="D16" s="389"/>
      <c r="E16" s="388"/>
      <c r="F16" s="390"/>
      <c r="G16" s="388"/>
      <c r="H16" s="391"/>
      <c r="I16" s="388"/>
      <c r="J16" s="389"/>
      <c r="K16" s="554"/>
      <c r="L16" s="910"/>
      <c r="M16" s="901"/>
      <c r="N16" s="901"/>
      <c r="O16" s="909"/>
      <c r="P16" s="3708"/>
      <c r="Q16" s="1339"/>
      <c r="R16" s="692"/>
      <c r="S16" s="693"/>
      <c r="T16" s="692"/>
      <c r="U16" s="693"/>
      <c r="V16" s="692"/>
      <c r="W16" s="693"/>
      <c r="X16" s="1342"/>
      <c r="Y16" s="3708"/>
      <c r="Z16" s="1343"/>
      <c r="AA16" s="1340">
        <v>1</v>
      </c>
      <c r="AB16" s="1340">
        <v>1</v>
      </c>
      <c r="AC16" s="1340">
        <v>1</v>
      </c>
    </row>
    <row r="17" spans="1:29" ht="85.5">
      <c r="A17" s="369"/>
      <c r="B17" s="392" t="s">
        <v>1259</v>
      </c>
      <c r="C17" s="1887"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08"/>
      <c r="Q17" s="1339" t="str">
        <f>B17</f>
        <v>交通便捷度</v>
      </c>
      <c r="R17" s="692" t="s">
        <v>14</v>
      </c>
      <c r="S17" s="693">
        <f>F17</f>
        <v>100</v>
      </c>
      <c r="T17" s="692" t="s">
        <v>14</v>
      </c>
      <c r="U17" s="693">
        <f>H17</f>
        <v>100</v>
      </c>
      <c r="V17" s="692" t="s">
        <v>14</v>
      </c>
      <c r="W17" s="693">
        <f>J17</f>
        <v>100</v>
      </c>
      <c r="X17" s="1342"/>
      <c r="Y17" s="3708"/>
      <c r="Z17" s="1343" t="str">
        <f>Q17</f>
        <v>交通便捷度</v>
      </c>
      <c r="AA17" s="1340">
        <f t="shared" si="3"/>
        <v>1</v>
      </c>
      <c r="AB17" s="1340">
        <f t="shared" si="4"/>
        <v>1</v>
      </c>
      <c r="AC17" s="1340">
        <f t="shared" si="5"/>
        <v>1</v>
      </c>
    </row>
    <row r="18" spans="1:29" ht="15">
      <c r="A18" s="369"/>
      <c r="B18" s="397"/>
      <c r="C18" s="1888"/>
      <c r="D18" s="391"/>
      <c r="E18" s="1890"/>
      <c r="F18" s="394"/>
      <c r="G18" s="1889"/>
      <c r="H18" s="389"/>
      <c r="I18" s="1890"/>
      <c r="J18" s="389"/>
      <c r="K18" s="554"/>
      <c r="L18" s="910"/>
      <c r="M18" s="901"/>
      <c r="N18" s="901"/>
      <c r="O18" s="909"/>
      <c r="P18" s="3708"/>
      <c r="Q18" s="1339"/>
      <c r="R18" s="692"/>
      <c r="S18" s="693"/>
      <c r="T18" s="692"/>
      <c r="U18" s="693"/>
      <c r="V18" s="692"/>
      <c r="W18" s="693"/>
      <c r="X18" s="1342"/>
      <c r="Y18" s="3708"/>
      <c r="Z18" s="1343"/>
      <c r="AA18" s="1340">
        <v>1</v>
      </c>
      <c r="AB18" s="1340">
        <v>1</v>
      </c>
      <c r="AC18" s="1340">
        <v>1</v>
      </c>
    </row>
    <row r="19" spans="1:29" ht="42.75">
      <c r="A19" s="369"/>
      <c r="B19" s="392" t="s">
        <v>1811</v>
      </c>
      <c r="C19" s="1887"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08"/>
      <c r="Q19" s="1339" t="str">
        <f>B19</f>
        <v>公共配套设施</v>
      </c>
      <c r="R19" s="692" t="s">
        <v>14</v>
      </c>
      <c r="S19" s="693">
        <f>F19</f>
        <v>100</v>
      </c>
      <c r="T19" s="692" t="s">
        <v>14</v>
      </c>
      <c r="U19" s="693">
        <f>H19</f>
        <v>100</v>
      </c>
      <c r="V19" s="692" t="s">
        <v>14</v>
      </c>
      <c r="W19" s="693">
        <f>J19</f>
        <v>100</v>
      </c>
      <c r="X19" s="1342"/>
      <c r="Y19" s="3708"/>
      <c r="Z19" s="1343" t="str">
        <f>Q19</f>
        <v>公共配套设施</v>
      </c>
      <c r="AA19" s="1340">
        <f t="shared" si="3"/>
        <v>1</v>
      </c>
      <c r="AB19" s="1340">
        <f t="shared" si="4"/>
        <v>1</v>
      </c>
      <c r="AC19" s="1340">
        <f t="shared" si="5"/>
        <v>1</v>
      </c>
    </row>
    <row r="20" spans="1:29" ht="15">
      <c r="A20" s="369"/>
      <c r="B20" s="397"/>
      <c r="C20" s="388"/>
      <c r="D20" s="389"/>
      <c r="E20" s="1885"/>
      <c r="F20" s="390"/>
      <c r="G20" s="1884"/>
      <c r="H20" s="389"/>
      <c r="I20" s="1885"/>
      <c r="J20" s="389"/>
      <c r="K20" s="554"/>
      <c r="L20" s="910"/>
      <c r="M20" s="901"/>
      <c r="N20" s="901"/>
      <c r="O20" s="909"/>
      <c r="P20" s="3708"/>
      <c r="Q20" s="1339"/>
      <c r="R20" s="692"/>
      <c r="S20" s="693"/>
      <c r="T20" s="692"/>
      <c r="U20" s="693"/>
      <c r="V20" s="692"/>
      <c r="W20" s="693"/>
      <c r="X20" s="1342"/>
      <c r="Y20" s="3708"/>
      <c r="Z20" s="1343"/>
      <c r="AA20" s="1340">
        <v>1</v>
      </c>
      <c r="AB20" s="1340">
        <v>1</v>
      </c>
      <c r="AC20" s="1340">
        <v>1</v>
      </c>
    </row>
    <row r="21" spans="1:29" ht="28.5">
      <c r="A21" s="369"/>
      <c r="B21" s="1118" t="s">
        <v>1812</v>
      </c>
      <c r="C21" s="1887"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08"/>
      <c r="Q21" s="1339" t="str">
        <f>B21</f>
        <v>基础设施水平</v>
      </c>
      <c r="R21" s="692" t="s">
        <v>14</v>
      </c>
      <c r="S21" s="693">
        <f>F21</f>
        <v>100</v>
      </c>
      <c r="T21" s="692" t="s">
        <v>14</v>
      </c>
      <c r="U21" s="693">
        <f>H21</f>
        <v>100</v>
      </c>
      <c r="V21" s="692" t="s">
        <v>14</v>
      </c>
      <c r="W21" s="693">
        <f>J21</f>
        <v>100</v>
      </c>
      <c r="X21" s="1342"/>
      <c r="Y21" s="3708"/>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90"/>
      <c r="G22" s="388"/>
      <c r="H22" s="389"/>
      <c r="I22" s="388"/>
      <c r="J22" s="389"/>
      <c r="K22" s="1117"/>
      <c r="L22" s="910"/>
      <c r="M22" s="901"/>
      <c r="N22" s="901"/>
      <c r="O22" s="909"/>
      <c r="P22" s="3708"/>
      <c r="Q22" s="1339"/>
      <c r="R22" s="692"/>
      <c r="S22" s="693"/>
      <c r="T22" s="692"/>
      <c r="U22" s="693"/>
      <c r="V22" s="692"/>
      <c r="W22" s="693"/>
      <c r="X22" s="1342"/>
      <c r="Y22" s="3708"/>
      <c r="Z22" s="1343"/>
      <c r="AA22" s="1340">
        <v>1</v>
      </c>
      <c r="AB22" s="1340">
        <v>1</v>
      </c>
      <c r="AC22" s="1340">
        <v>1</v>
      </c>
    </row>
    <row r="23" spans="1:29" ht="71.25">
      <c r="A23" s="369"/>
      <c r="B23" s="392" t="s">
        <v>1813</v>
      </c>
      <c r="C23" s="1887"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08"/>
      <c r="Q23" s="1339" t="str">
        <f>B23</f>
        <v>环境质量</v>
      </c>
      <c r="R23" s="692" t="s">
        <v>14</v>
      </c>
      <c r="S23" s="693">
        <f>F23</f>
        <v>100</v>
      </c>
      <c r="T23" s="692" t="s">
        <v>14</v>
      </c>
      <c r="U23" s="693">
        <f>H23</f>
        <v>100</v>
      </c>
      <c r="V23" s="692" t="s">
        <v>14</v>
      </c>
      <c r="W23" s="693">
        <f>J23</f>
        <v>100</v>
      </c>
      <c r="X23" s="1342"/>
      <c r="Y23" s="3708"/>
      <c r="Z23" s="1343" t="str">
        <f>Q23</f>
        <v>环境质量</v>
      </c>
      <c r="AA23" s="1340">
        <f t="shared" si="3"/>
        <v>1</v>
      </c>
      <c r="AB23" s="1340">
        <f t="shared" si="4"/>
        <v>1</v>
      </c>
      <c r="AC23" s="1340">
        <f t="shared" si="5"/>
        <v>1</v>
      </c>
    </row>
    <row r="24" spans="1:29" ht="15">
      <c r="A24" s="369"/>
      <c r="B24" s="1118"/>
      <c r="C24" s="388"/>
      <c r="D24" s="389"/>
      <c r="E24" s="1885"/>
      <c r="F24" s="390"/>
      <c r="G24" s="1884"/>
      <c r="H24" s="389"/>
      <c r="I24" s="1885"/>
      <c r="J24" s="389"/>
      <c r="K24" s="554"/>
      <c r="L24" s="910"/>
      <c r="M24" s="901"/>
      <c r="N24" s="901"/>
      <c r="O24" s="909"/>
      <c r="P24" s="3708"/>
      <c r="Q24" s="1339"/>
      <c r="R24" s="692"/>
      <c r="S24" s="693"/>
      <c r="T24" s="692"/>
      <c r="U24" s="693"/>
      <c r="V24" s="692"/>
      <c r="W24" s="693"/>
      <c r="X24" s="1342"/>
      <c r="Y24" s="3708"/>
      <c r="Z24" s="1343"/>
      <c r="AA24" s="1340">
        <v>1</v>
      </c>
      <c r="AB24" s="1340">
        <v>1</v>
      </c>
      <c r="AC24" s="1340">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08"/>
      <c r="Q25" s="1339">
        <f>B25</f>
        <v>111</v>
      </c>
      <c r="R25" s="692" t="s">
        <v>14</v>
      </c>
      <c r="S25" s="693">
        <f>F25</f>
        <v>100</v>
      </c>
      <c r="T25" s="692" t="s">
        <v>14</v>
      </c>
      <c r="U25" s="693">
        <f>H25</f>
        <v>100</v>
      </c>
      <c r="V25" s="692" t="s">
        <v>14</v>
      </c>
      <c r="W25" s="693">
        <f>J25</f>
        <v>100</v>
      </c>
      <c r="X25" s="1342"/>
      <c r="Y25" s="3708"/>
      <c r="Z25" s="1343">
        <f>Q25</f>
        <v>111</v>
      </c>
      <c r="AA25" s="1340">
        <f t="shared" si="3"/>
        <v>1</v>
      </c>
      <c r="AB25" s="1340">
        <f t="shared" si="4"/>
        <v>1</v>
      </c>
      <c r="AC25" s="1340">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08"/>
      <c r="Q26" s="1339">
        <f t="shared" ref="Q26:Q40" si="11">B26</f>
        <v>111</v>
      </c>
      <c r="R26" s="692" t="s">
        <v>14</v>
      </c>
      <c r="S26" s="693">
        <f>F26</f>
        <v>100</v>
      </c>
      <c r="T26" s="692" t="s">
        <v>14</v>
      </c>
      <c r="U26" s="693">
        <f>H26</f>
        <v>100</v>
      </c>
      <c r="V26" s="692" t="s">
        <v>14</v>
      </c>
      <c r="W26" s="693">
        <f>J26</f>
        <v>100</v>
      </c>
      <c r="X26" s="1342"/>
      <c r="Y26" s="3708"/>
      <c r="Z26" s="1343">
        <f>Q26</f>
        <v>111</v>
      </c>
      <c r="AA26" s="1340">
        <f t="shared" si="3"/>
        <v>1</v>
      </c>
      <c r="AB26" s="1340">
        <f t="shared" si="4"/>
        <v>1</v>
      </c>
      <c r="AC26" s="1340">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08"/>
      <c r="Q27" s="1330">
        <f t="shared" si="11"/>
        <v>111</v>
      </c>
      <c r="R27" s="688" t="s">
        <v>14</v>
      </c>
      <c r="S27" s="689">
        <f>F27</f>
        <v>100</v>
      </c>
      <c r="T27" s="688" t="s">
        <v>14</v>
      </c>
      <c r="U27" s="689">
        <f>H27</f>
        <v>100</v>
      </c>
      <c r="V27" s="688" t="s">
        <v>14</v>
      </c>
      <c r="W27" s="689">
        <f>J27</f>
        <v>100</v>
      </c>
      <c r="X27" s="690"/>
      <c r="Y27" s="3708"/>
      <c r="Z27" s="52">
        <f>Q27</f>
        <v>111</v>
      </c>
      <c r="AA27" s="1340">
        <f>D27/F27</f>
        <v>1</v>
      </c>
      <c r="AB27" s="1340">
        <f>D27/H27</f>
        <v>1</v>
      </c>
      <c r="AC27" s="1340">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08"/>
      <c r="Q28" s="1339">
        <f t="shared" si="11"/>
        <v>111</v>
      </c>
      <c r="R28" s="692" t="s">
        <v>14</v>
      </c>
      <c r="S28" s="693">
        <f t="shared" ref="S28:S40" si="12">F28</f>
        <v>100</v>
      </c>
      <c r="T28" s="692" t="s">
        <v>14</v>
      </c>
      <c r="U28" s="693">
        <f t="shared" ref="U28:U40" si="13">H28</f>
        <v>100</v>
      </c>
      <c r="V28" s="692" t="s">
        <v>14</v>
      </c>
      <c r="W28" s="693">
        <f t="shared" ref="W28:W40" si="14">J28</f>
        <v>100</v>
      </c>
      <c r="X28" s="1342"/>
      <c r="Y28" s="3708"/>
      <c r="Z28" s="1343">
        <f t="shared" ref="Z28:Z40" si="15">Q28</f>
        <v>111</v>
      </c>
      <c r="AA28" s="1340">
        <f t="shared" si="3"/>
        <v>1</v>
      </c>
      <c r="AB28" s="1340">
        <f t="shared" si="4"/>
        <v>1</v>
      </c>
      <c r="AC28" s="1340">
        <f t="shared" si="5"/>
        <v>1</v>
      </c>
    </row>
    <row r="29" spans="1:29" ht="28.5">
      <c r="A29" s="407" t="s">
        <v>1693</v>
      </c>
      <c r="B29" s="63" t="s">
        <v>1816</v>
      </c>
      <c r="C29" s="1954"/>
      <c r="D29" s="408">
        <v>100</v>
      </c>
      <c r="E29" s="1954"/>
      <c r="F29" s="402">
        <f>SUMIF(88:88,E29,89:89)-SUMIF(88:88,C29,89:89)+100</f>
        <v>100</v>
      </c>
      <c r="G29" s="1954"/>
      <c r="H29" s="376">
        <f>SUMIF(88:88,G29,89:89)-SUMIF(88:88,C29,89:89)+100</f>
        <v>100</v>
      </c>
      <c r="I29" s="1954"/>
      <c r="J29" s="408">
        <f>SUMIF(88:88,I29,89:89)-SUMIF(88:88,C29,89:89)+100</f>
        <v>100</v>
      </c>
      <c r="K29" s="551"/>
      <c r="L29" s="910"/>
      <c r="M29" s="901"/>
      <c r="N29" s="901"/>
      <c r="O29" s="909"/>
      <c r="P29" s="3792" t="s">
        <v>1695</v>
      </c>
      <c r="Q29" s="1339" t="str">
        <f t="shared" si="11"/>
        <v>建筑类型</v>
      </c>
      <c r="R29" s="692" t="s">
        <v>14</v>
      </c>
      <c r="S29" s="693">
        <f t="shared" si="12"/>
        <v>100</v>
      </c>
      <c r="T29" s="692" t="s">
        <v>14</v>
      </c>
      <c r="U29" s="693">
        <f t="shared" si="13"/>
        <v>100</v>
      </c>
      <c r="V29" s="692" t="s">
        <v>14</v>
      </c>
      <c r="W29" s="693">
        <f t="shared" si="14"/>
        <v>100</v>
      </c>
      <c r="X29" s="1342"/>
      <c r="Y29" s="3712" t="s">
        <v>1695</v>
      </c>
      <c r="Z29" s="1343" t="str">
        <f t="shared" si="15"/>
        <v>建筑类型</v>
      </c>
      <c r="AA29" s="1340">
        <f t="shared" si="3"/>
        <v>1</v>
      </c>
      <c r="AB29" s="1340">
        <f t="shared" si="4"/>
        <v>1</v>
      </c>
      <c r="AC29" s="1340">
        <f t="shared" si="5"/>
        <v>1</v>
      </c>
    </row>
    <row r="30" spans="1:29" s="412" customFormat="1" ht="15">
      <c r="A30" s="409"/>
      <c r="B30" s="365" t="s">
        <v>1696</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2"/>
      <c r="Q30" s="694" t="str">
        <f t="shared" si="11"/>
        <v>项目建筑规模</v>
      </c>
      <c r="R30" s="695" t="s">
        <v>14</v>
      </c>
      <c r="S30" s="696" t="e">
        <f t="shared" si="12"/>
        <v>#N/A</v>
      </c>
      <c r="T30" s="695" t="s">
        <v>14</v>
      </c>
      <c r="U30" s="696" t="e">
        <f t="shared" si="13"/>
        <v>#N/A</v>
      </c>
      <c r="V30" s="695" t="s">
        <v>14</v>
      </c>
      <c r="W30" s="696" t="e">
        <f t="shared" si="14"/>
        <v>#N/A</v>
      </c>
      <c r="X30" s="697"/>
      <c r="Y30" s="3712"/>
      <c r="Z30" s="698" t="str">
        <f t="shared" si="15"/>
        <v>项目建筑规模</v>
      </c>
      <c r="AA30" s="1340" t="e">
        <f t="shared" si="3"/>
        <v>#N/A</v>
      </c>
      <c r="AB30" s="1340" t="e">
        <f t="shared" si="4"/>
        <v>#N/A</v>
      </c>
      <c r="AC30" s="1340" t="e">
        <f t="shared" si="5"/>
        <v>#N/A</v>
      </c>
    </row>
    <row r="31" spans="1:29" ht="15">
      <c r="A31" s="413"/>
      <c r="B31" s="365" t="s">
        <v>1697</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2"/>
      <c r="Q31" s="1339" t="str">
        <f t="shared" si="11"/>
        <v>建筑结构</v>
      </c>
      <c r="R31" s="692" t="s">
        <v>14</v>
      </c>
      <c r="S31" s="693">
        <f t="shared" si="12"/>
        <v>100</v>
      </c>
      <c r="T31" s="692" t="s">
        <v>14</v>
      </c>
      <c r="U31" s="693">
        <f t="shared" si="13"/>
        <v>100</v>
      </c>
      <c r="V31" s="692" t="s">
        <v>14</v>
      </c>
      <c r="W31" s="693">
        <f t="shared" si="14"/>
        <v>100</v>
      </c>
      <c r="X31" s="1342"/>
      <c r="Y31" s="3712"/>
      <c r="Z31" s="1343" t="str">
        <f t="shared" si="15"/>
        <v>建筑结构</v>
      </c>
      <c r="AA31" s="1340">
        <f t="shared" si="3"/>
        <v>1</v>
      </c>
      <c r="AB31" s="1340">
        <f t="shared" si="4"/>
        <v>1</v>
      </c>
      <c r="AC31" s="1340">
        <f t="shared" si="5"/>
        <v>1</v>
      </c>
    </row>
    <row r="32" spans="1:29" ht="15">
      <c r="A32" s="413"/>
      <c r="B32" s="365" t="s">
        <v>1784</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2"/>
      <c r="Q32" s="1339" t="str">
        <f t="shared" si="11"/>
        <v>公共部分装修</v>
      </c>
      <c r="R32" s="692" t="s">
        <v>14</v>
      </c>
      <c r="S32" s="693">
        <f t="shared" si="12"/>
        <v>100</v>
      </c>
      <c r="T32" s="692" t="s">
        <v>14</v>
      </c>
      <c r="U32" s="693">
        <f t="shared" si="13"/>
        <v>100</v>
      </c>
      <c r="V32" s="692" t="s">
        <v>14</v>
      </c>
      <c r="W32" s="693">
        <f t="shared" si="14"/>
        <v>100</v>
      </c>
      <c r="X32" s="1342"/>
      <c r="Y32" s="3712"/>
      <c r="Z32" s="1343" t="str">
        <f t="shared" si="15"/>
        <v>公共部分装修</v>
      </c>
      <c r="AA32" s="1340">
        <f t="shared" si="3"/>
        <v>1</v>
      </c>
      <c r="AB32" s="1340">
        <f t="shared" si="4"/>
        <v>1</v>
      </c>
      <c r="AC32" s="1340">
        <f t="shared" si="5"/>
        <v>1</v>
      </c>
    </row>
    <row r="33" spans="1:29" ht="15">
      <c r="A33" s="413"/>
      <c r="B33" s="365" t="s">
        <v>1785</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2"/>
      <c r="Q33" s="1339" t="str">
        <f t="shared" si="11"/>
        <v>成新度</v>
      </c>
      <c r="R33" s="692" t="s">
        <v>14</v>
      </c>
      <c r="S33" s="693" t="e">
        <f t="shared" si="12"/>
        <v>#N/A</v>
      </c>
      <c r="T33" s="692" t="s">
        <v>14</v>
      </c>
      <c r="U33" s="693" t="e">
        <f t="shared" si="13"/>
        <v>#N/A</v>
      </c>
      <c r="V33" s="692" t="s">
        <v>14</v>
      </c>
      <c r="W33" s="693" t="e">
        <f t="shared" si="14"/>
        <v>#N/A</v>
      </c>
      <c r="X33" s="1342"/>
      <c r="Y33" s="3712"/>
      <c r="Z33" s="1343" t="str">
        <f t="shared" si="15"/>
        <v>成新度</v>
      </c>
      <c r="AA33" s="1340" t="e">
        <f t="shared" si="3"/>
        <v>#N/A</v>
      </c>
      <c r="AB33" s="1340" t="e">
        <f t="shared" si="4"/>
        <v>#N/A</v>
      </c>
      <c r="AC33" s="1340" t="e">
        <f t="shared" si="5"/>
        <v>#N/A</v>
      </c>
    </row>
    <row r="34" spans="1:29" s="105" customFormat="1" ht="15">
      <c r="A34" s="414"/>
      <c r="B34" s="365" t="s">
        <v>1818</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2"/>
      <c r="Q34" s="1330" t="str">
        <f t="shared" si="11"/>
        <v>物业管理</v>
      </c>
      <c r="R34" s="688" t="s">
        <v>14</v>
      </c>
      <c r="S34" s="689">
        <f t="shared" si="12"/>
        <v>100</v>
      </c>
      <c r="T34" s="688" t="s">
        <v>14</v>
      </c>
      <c r="U34" s="689">
        <f t="shared" si="13"/>
        <v>100</v>
      </c>
      <c r="V34" s="688" t="s">
        <v>14</v>
      </c>
      <c r="W34" s="689">
        <f t="shared" si="14"/>
        <v>100</v>
      </c>
      <c r="X34" s="690"/>
      <c r="Y34" s="3712"/>
      <c r="Z34" s="52" t="str">
        <f t="shared" si="15"/>
        <v>物业管理</v>
      </c>
      <c r="AA34" s="691">
        <f t="shared" si="3"/>
        <v>1</v>
      </c>
      <c r="AB34" s="691">
        <f t="shared" si="4"/>
        <v>1</v>
      </c>
      <c r="AC34" s="691">
        <f t="shared" si="5"/>
        <v>1</v>
      </c>
    </row>
    <row r="35" spans="1:29" ht="15">
      <c r="A35" s="413"/>
      <c r="B35" s="365" t="s">
        <v>1786</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2" t="s">
        <v>1695</v>
      </c>
      <c r="Q35" s="1339" t="str">
        <f t="shared" si="11"/>
        <v>市政基础设施</v>
      </c>
      <c r="R35" s="692" t="s">
        <v>14</v>
      </c>
      <c r="S35" s="693">
        <f t="shared" si="12"/>
        <v>100</v>
      </c>
      <c r="T35" s="692" t="s">
        <v>14</v>
      </c>
      <c r="U35" s="693">
        <f t="shared" si="13"/>
        <v>100</v>
      </c>
      <c r="V35" s="692" t="s">
        <v>14</v>
      </c>
      <c r="W35" s="693">
        <f t="shared" si="14"/>
        <v>100</v>
      </c>
      <c r="X35" s="1342"/>
      <c r="Y35" s="3712" t="s">
        <v>1695</v>
      </c>
      <c r="Z35" s="1343" t="str">
        <f t="shared" si="15"/>
        <v>市政基础设施</v>
      </c>
      <c r="AA35" s="1340">
        <f t="shared" si="3"/>
        <v>1</v>
      </c>
      <c r="AB35" s="1340">
        <f t="shared" si="4"/>
        <v>1</v>
      </c>
      <c r="AC35" s="1340">
        <f t="shared" si="5"/>
        <v>1</v>
      </c>
    </row>
    <row r="36" spans="1:29" ht="15">
      <c r="A36" s="413"/>
      <c r="B36" s="365" t="s">
        <v>1791</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2"/>
      <c r="Q36" s="1339" t="str">
        <f t="shared" si="11"/>
        <v>内部装修</v>
      </c>
      <c r="R36" s="692" t="s">
        <v>14</v>
      </c>
      <c r="S36" s="693">
        <f t="shared" si="12"/>
        <v>100</v>
      </c>
      <c r="T36" s="692" t="s">
        <v>14</v>
      </c>
      <c r="U36" s="693">
        <f t="shared" si="13"/>
        <v>100</v>
      </c>
      <c r="V36" s="692" t="s">
        <v>14</v>
      </c>
      <c r="W36" s="693">
        <f t="shared" si="14"/>
        <v>100</v>
      </c>
      <c r="X36" s="1342"/>
      <c r="Y36" s="3712"/>
      <c r="Z36" s="1343" t="str">
        <f t="shared" si="15"/>
        <v>内部装修</v>
      </c>
      <c r="AA36" s="1340">
        <f t="shared" si="3"/>
        <v>1</v>
      </c>
      <c r="AB36" s="1340">
        <f t="shared" si="4"/>
        <v>1</v>
      </c>
      <c r="AC36" s="1340">
        <f t="shared" si="5"/>
        <v>1</v>
      </c>
    </row>
    <row r="37" spans="1:29" ht="15">
      <c r="A37" s="413"/>
      <c r="B37" s="365" t="s">
        <v>1827</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2"/>
      <c r="Q37" s="1339" t="str">
        <f t="shared" si="11"/>
        <v>内部装修状况</v>
      </c>
      <c r="R37" s="692" t="s">
        <v>14</v>
      </c>
      <c r="S37" s="693">
        <f t="shared" si="12"/>
        <v>100</v>
      </c>
      <c r="T37" s="692" t="s">
        <v>14</v>
      </c>
      <c r="U37" s="693">
        <f t="shared" si="13"/>
        <v>100</v>
      </c>
      <c r="V37" s="692" t="s">
        <v>14</v>
      </c>
      <c r="W37" s="693">
        <f t="shared" si="14"/>
        <v>100</v>
      </c>
      <c r="X37" s="1342"/>
      <c r="Y37" s="3712"/>
      <c r="Z37" s="1343" t="str">
        <f t="shared" si="15"/>
        <v>内部装修状况</v>
      </c>
      <c r="AA37" s="1340">
        <f t="shared" si="3"/>
        <v>1</v>
      </c>
      <c r="AB37" s="1340">
        <f t="shared" si="4"/>
        <v>1</v>
      </c>
      <c r="AC37" s="1340">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2"/>
      <c r="Q38" s="694">
        <f t="shared" si="11"/>
        <v>111</v>
      </c>
      <c r="R38" s="695" t="s">
        <v>14</v>
      </c>
      <c r="S38" s="696">
        <f t="shared" si="12"/>
        <v>100</v>
      </c>
      <c r="T38" s="695" t="s">
        <v>14</v>
      </c>
      <c r="U38" s="696">
        <f t="shared" si="13"/>
        <v>100</v>
      </c>
      <c r="V38" s="695" t="s">
        <v>14</v>
      </c>
      <c r="W38" s="696">
        <f t="shared" si="14"/>
        <v>100</v>
      </c>
      <c r="X38" s="697"/>
      <c r="Y38" s="3712"/>
      <c r="Z38" s="698">
        <f t="shared" si="15"/>
        <v>111</v>
      </c>
      <c r="AA38" s="1340">
        <f t="shared" si="3"/>
        <v>1</v>
      </c>
      <c r="AB38" s="1340">
        <f t="shared" si="4"/>
        <v>1</v>
      </c>
      <c r="AC38" s="1340">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2"/>
      <c r="Q39" s="1339">
        <f t="shared" si="11"/>
        <v>111</v>
      </c>
      <c r="R39" s="692" t="s">
        <v>14</v>
      </c>
      <c r="S39" s="693">
        <f t="shared" si="12"/>
        <v>100</v>
      </c>
      <c r="T39" s="692" t="s">
        <v>14</v>
      </c>
      <c r="U39" s="693">
        <f t="shared" si="13"/>
        <v>100</v>
      </c>
      <c r="V39" s="692" t="s">
        <v>14</v>
      </c>
      <c r="W39" s="693">
        <f t="shared" si="14"/>
        <v>100</v>
      </c>
      <c r="X39" s="1342"/>
      <c r="Y39" s="3712"/>
      <c r="Z39" s="1343">
        <f t="shared" si="15"/>
        <v>111</v>
      </c>
      <c r="AA39" s="1340">
        <f t="shared" si="3"/>
        <v>1</v>
      </c>
      <c r="AB39" s="1340">
        <f t="shared" si="4"/>
        <v>1</v>
      </c>
      <c r="AC39" s="1340">
        <f t="shared" si="5"/>
        <v>1</v>
      </c>
    </row>
    <row r="40" spans="1:29" ht="15.75" thickBot="1">
      <c r="A40" s="419"/>
      <c r="B40" s="1882">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13"/>
      <c r="Q40" s="1339">
        <f t="shared" si="11"/>
        <v>111</v>
      </c>
      <c r="R40" s="692" t="s">
        <v>14</v>
      </c>
      <c r="S40" s="693">
        <f t="shared" si="12"/>
        <v>100</v>
      </c>
      <c r="T40" s="692" t="s">
        <v>14</v>
      </c>
      <c r="U40" s="693">
        <f t="shared" si="13"/>
        <v>100</v>
      </c>
      <c r="V40" s="692" t="s">
        <v>14</v>
      </c>
      <c r="W40" s="693">
        <f t="shared" si="14"/>
        <v>100</v>
      </c>
      <c r="X40" s="1342"/>
      <c r="Y40" s="3713"/>
      <c r="Z40" s="1343">
        <f t="shared" si="15"/>
        <v>111</v>
      </c>
      <c r="AA40" s="1340">
        <f t="shared" si="3"/>
        <v>1</v>
      </c>
      <c r="AB40" s="1340">
        <f t="shared" si="4"/>
        <v>1</v>
      </c>
      <c r="AC40" s="1340">
        <f t="shared" si="5"/>
        <v>1</v>
      </c>
    </row>
    <row r="41" spans="1:29" ht="15">
      <c r="A41" s="420" t="s">
        <v>1707</v>
      </c>
      <c r="B41" s="421"/>
      <c r="C41" s="1141" t="s">
        <v>0</v>
      </c>
      <c r="D41" s="1142"/>
      <c r="E41" s="1143"/>
      <c r="F41" s="1144"/>
      <c r="G41" s="1145"/>
      <c r="H41" s="1146"/>
      <c r="I41" s="1143"/>
      <c r="J41" s="1146"/>
      <c r="K41" s="701"/>
      <c r="L41" s="913"/>
      <c r="M41" s="914"/>
      <c r="N41" s="901"/>
      <c r="O41" s="914"/>
      <c r="P41" s="3700" t="str">
        <f>A41</f>
        <v>成交单价（元/平方米）</v>
      </c>
      <c r="Q41" s="3700"/>
      <c r="R41" s="3701">
        <f>E41</f>
        <v>0</v>
      </c>
      <c r="S41" s="3701"/>
      <c r="T41" s="3701">
        <f>G41</f>
        <v>0</v>
      </c>
      <c r="U41" s="3701"/>
      <c r="V41" s="3701">
        <f>I41</f>
        <v>0</v>
      </c>
      <c r="W41" s="3701"/>
      <c r="X41" s="677"/>
      <c r="Y41" s="699"/>
      <c r="Z41" s="677"/>
      <c r="AA41" s="677"/>
      <c r="AB41" s="677"/>
      <c r="AC41" s="677"/>
    </row>
    <row r="42" spans="1:29" ht="15.75" thickBot="1">
      <c r="A42" s="427" t="s">
        <v>1792</v>
      </c>
      <c r="B42" s="428"/>
      <c r="C42" s="1147" t="e">
        <f>R43</f>
        <v>#DIV/0!</v>
      </c>
      <c r="D42" s="2304" t="s">
        <v>2137</v>
      </c>
      <c r="E42" s="1148" t="e">
        <f>R42</f>
        <v>#DIV/0!</v>
      </c>
      <c r="F42" s="2305"/>
      <c r="G42" s="1147" t="e">
        <f>T42</f>
        <v>#DIV/0!</v>
      </c>
      <c r="H42" s="2305"/>
      <c r="I42" s="1148" t="e">
        <f>V42</f>
        <v>#DIV/0!</v>
      </c>
      <c r="J42" s="2305"/>
      <c r="K42" s="2307">
        <f>F42+H42+J42</f>
        <v>0</v>
      </c>
      <c r="L42" s="913"/>
      <c r="M42" s="914"/>
      <c r="N42" s="901"/>
      <c r="O42" s="914"/>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77"/>
      <c r="Y42" s="677"/>
      <c r="Z42" s="677"/>
      <c r="AA42" s="677"/>
      <c r="AB42" s="677"/>
      <c r="AC42" s="677"/>
    </row>
    <row r="43" spans="1:29" ht="15.75" thickBot="1">
      <c r="A43" s="431" t="s">
        <v>1793</v>
      </c>
      <c r="B43" s="432"/>
      <c r="C43" s="1150" t="e">
        <f>R43</f>
        <v>#DIV/0!</v>
      </c>
      <c r="D43" s="1150"/>
      <c r="E43" s="1150"/>
      <c r="F43" s="1150"/>
      <c r="G43" s="1150"/>
      <c r="H43" s="1150"/>
      <c r="I43" s="1150"/>
      <c r="J43" s="1150"/>
      <c r="K43" s="702"/>
      <c r="L43" s="913"/>
      <c r="M43" s="914"/>
      <c r="N43" s="914"/>
      <c r="O43" s="914"/>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77"/>
      <c r="Y43" s="677"/>
      <c r="Z43" s="677"/>
      <c r="AA43" s="677"/>
      <c r="AB43" s="677"/>
      <c r="AC43" s="677"/>
    </row>
    <row r="44" spans="1:29">
      <c r="A44" s="2710"/>
      <c r="B44" s="2710"/>
      <c r="C44" s="2710"/>
      <c r="D44" s="2710"/>
      <c r="E44" s="2710"/>
      <c r="F44" s="2710"/>
      <c r="G44" s="2714"/>
      <c r="H44" s="2710"/>
      <c r="I44" s="2710"/>
      <c r="J44" s="2710"/>
      <c r="K44" s="2715"/>
      <c r="L44" s="876"/>
      <c r="M44" s="914"/>
      <c r="N44" s="914"/>
      <c r="O44" s="914"/>
    </row>
    <row r="45" spans="1:29">
      <c r="A45" s="2710"/>
      <c r="B45" s="2710"/>
      <c r="C45" s="2710"/>
      <c r="D45" s="2710"/>
      <c r="E45" s="2710"/>
      <c r="F45" s="2710"/>
      <c r="G45" s="2710"/>
      <c r="H45" s="2710"/>
      <c r="I45" s="2710"/>
      <c r="J45" s="2710"/>
      <c r="K45" s="2715"/>
      <c r="L45" s="876"/>
      <c r="M45" s="914"/>
      <c r="N45" s="914"/>
      <c r="O45" s="914"/>
    </row>
    <row r="46" spans="1:29"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876"/>
      <c r="M46" s="914"/>
      <c r="N46" s="914"/>
      <c r="O46" s="914"/>
    </row>
    <row r="47" spans="1:29"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876"/>
      <c r="M47" s="914"/>
      <c r="N47" s="914"/>
      <c r="O47" s="914"/>
    </row>
    <row r="48" spans="1:29"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917"/>
      <c r="M48" s="915"/>
      <c r="N48" s="915"/>
      <c r="O48" s="915"/>
    </row>
    <row r="49" spans="1:17" s="441" customFormat="1">
      <c r="A49" s="2713"/>
      <c r="B49" s="2716"/>
      <c r="C49" s="2717"/>
      <c r="D49" s="2713"/>
      <c r="E49" s="2713"/>
      <c r="F49" s="2713"/>
      <c r="G49" s="2713"/>
      <c r="H49" s="2713"/>
      <c r="I49" s="2713"/>
      <c r="J49" s="2713"/>
      <c r="K49" s="2718"/>
      <c r="L49" s="917"/>
      <c r="M49" s="915"/>
      <c r="N49" s="915"/>
      <c r="O49" s="915"/>
    </row>
    <row r="50" spans="1:17">
      <c r="A50" s="2710"/>
      <c r="B50" s="2716"/>
      <c r="C50" s="2717"/>
      <c r="D50" s="2710"/>
      <c r="E50" s="2710"/>
      <c r="F50" s="2710"/>
      <c r="G50" s="2710"/>
      <c r="H50" s="2710"/>
      <c r="I50" s="2710"/>
      <c r="J50" s="2710"/>
      <c r="K50" s="2715"/>
      <c r="L50" s="876"/>
      <c r="M50" s="914"/>
      <c r="N50" s="914"/>
      <c r="O50" s="914"/>
    </row>
    <row r="51" spans="1:17" ht="21.75" thickBot="1">
      <c r="A51" s="681" t="s">
        <v>1797</v>
      </c>
      <c r="B51" s="677"/>
      <c r="C51" s="682"/>
      <c r="D51" s="682"/>
      <c r="E51" s="682"/>
      <c r="F51" s="683"/>
      <c r="G51" s="683"/>
      <c r="H51" s="682"/>
      <c r="I51" s="682"/>
      <c r="J51" s="682"/>
      <c r="K51" s="928"/>
      <c r="L51" s="929"/>
      <c r="M51" s="927"/>
      <c r="N51" s="927"/>
      <c r="O51" s="927"/>
      <c r="P51" s="442"/>
      <c r="Q51" s="443"/>
    </row>
    <row r="52" spans="1:17" s="447" customFormat="1" ht="15">
      <c r="A52" s="444" t="s">
        <v>1678</v>
      </c>
      <c r="B52" s="445"/>
      <c r="C52" s="1171" t="str">
        <f>YEAR(C7)&amp;"-"&amp;MONTH(C7)</f>
        <v>2024-3</v>
      </c>
      <c r="D52" s="1172">
        <f>EDATE(C52,-1)</f>
        <v>45323</v>
      </c>
      <c r="E52" s="1172">
        <f t="shared" ref="E52:O52" si="16">EDATE(D52,-1)</f>
        <v>45292</v>
      </c>
      <c r="F52" s="1172">
        <f t="shared" si="16"/>
        <v>45261</v>
      </c>
      <c r="G52" s="1172">
        <f t="shared" si="16"/>
        <v>45231</v>
      </c>
      <c r="H52" s="1172">
        <f t="shared" si="16"/>
        <v>45200</v>
      </c>
      <c r="I52" s="1172">
        <f t="shared" si="16"/>
        <v>45170</v>
      </c>
      <c r="J52" s="1172">
        <f t="shared" si="16"/>
        <v>45139</v>
      </c>
      <c r="K52" s="1172">
        <f t="shared" si="16"/>
        <v>45108</v>
      </c>
      <c r="L52" s="1172">
        <f t="shared" si="16"/>
        <v>45078</v>
      </c>
      <c r="M52" s="1172">
        <f t="shared" si="16"/>
        <v>45047</v>
      </c>
      <c r="N52" s="1172">
        <f t="shared" si="16"/>
        <v>45017</v>
      </c>
      <c r="O52" s="1172">
        <f t="shared" si="16"/>
        <v>44986</v>
      </c>
      <c r="P52" s="446"/>
    </row>
    <row r="53" spans="1:17" s="105" customFormat="1" ht="15">
      <c r="A53" s="448"/>
      <c r="B53" s="449"/>
      <c r="C53" s="1170">
        <v>100</v>
      </c>
      <c r="D53" s="451"/>
      <c r="E53" s="451"/>
      <c r="F53" s="451"/>
      <c r="G53" s="451"/>
      <c r="H53" s="451"/>
      <c r="I53" s="451"/>
      <c r="J53" s="451"/>
      <c r="K53" s="451"/>
      <c r="L53" s="451"/>
      <c r="M53" s="452"/>
      <c r="N53" s="451"/>
      <c r="O53" s="453"/>
      <c r="P53" s="443"/>
    </row>
    <row r="54" spans="1:17" s="105" customFormat="1" ht="15.75" thickBot="1">
      <c r="A54" s="454" t="s">
        <v>1715</v>
      </c>
      <c r="B54" s="455"/>
      <c r="C54" s="456"/>
      <c r="D54" s="457"/>
      <c r="E54" s="457"/>
      <c r="F54" s="457"/>
      <c r="G54" s="457"/>
      <c r="H54" s="457"/>
      <c r="I54" s="457"/>
      <c r="J54" s="457"/>
      <c r="K54" s="457"/>
      <c r="L54" s="457"/>
      <c r="M54" s="458"/>
      <c r="N54" s="2754"/>
      <c r="O54" s="2755"/>
      <c r="P54" s="443"/>
      <c r="Q54" s="443"/>
    </row>
    <row r="55" spans="1:17" s="105" customFormat="1" ht="15">
      <c r="A55" s="460" t="s">
        <v>1680</v>
      </c>
      <c r="B55" s="449"/>
      <c r="C55" s="461" t="s">
        <v>1775</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1718</v>
      </c>
      <c r="B57" s="467" t="s">
        <v>1684</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1687</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1688</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1689</v>
      </c>
      <c r="B70" s="467" t="s">
        <v>1828</v>
      </c>
      <c r="C70" s="512" t="s">
        <v>1720</v>
      </c>
      <c r="D70" s="512" t="s">
        <v>1721</v>
      </c>
      <c r="E70" s="512" t="s">
        <v>1722</v>
      </c>
      <c r="F70" s="512" t="s">
        <v>1723</v>
      </c>
      <c r="G70" s="512" t="s">
        <v>1724</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1725</v>
      </c>
      <c r="C72" s="517" t="s">
        <v>1720</v>
      </c>
      <c r="D72" s="517" t="s">
        <v>1721</v>
      </c>
      <c r="E72" s="517" t="s">
        <v>1722</v>
      </c>
      <c r="F72" s="517" t="s">
        <v>1723</v>
      </c>
      <c r="G72" s="517" t="s">
        <v>1724</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1726</v>
      </c>
      <c r="C74" s="517" t="s">
        <v>1720</v>
      </c>
      <c r="D74" s="517" t="s">
        <v>1721</v>
      </c>
      <c r="E74" s="517" t="s">
        <v>1722</v>
      </c>
      <c r="F74" s="517" t="s">
        <v>1723</v>
      </c>
      <c r="G74" s="517" t="s">
        <v>1724</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1812</v>
      </c>
      <c r="C76" s="598" t="s">
        <v>1798</v>
      </c>
      <c r="D76" s="598" t="s">
        <v>1799</v>
      </c>
      <c r="E76" s="598" t="s">
        <v>1800</v>
      </c>
      <c r="F76" s="598" t="s">
        <v>1801</v>
      </c>
      <c r="G76" s="598" t="s">
        <v>1802</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1821</v>
      </c>
      <c r="C78" s="517" t="s">
        <v>1720</v>
      </c>
      <c r="D78" s="517" t="s">
        <v>1721</v>
      </c>
      <c r="E78" s="517" t="s">
        <v>1722</v>
      </c>
      <c r="F78" s="517" t="s">
        <v>1723</v>
      </c>
      <c r="G78" s="517" t="s">
        <v>1724</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5"/>
      <c r="B87" s="508"/>
      <c r="C87" s="509"/>
      <c r="D87" s="509"/>
      <c r="E87" s="509"/>
      <c r="F87" s="509"/>
      <c r="G87" s="530"/>
      <c r="H87" s="530"/>
      <c r="I87" s="530"/>
      <c r="J87" s="530"/>
      <c r="K87" s="530"/>
      <c r="L87" s="530"/>
      <c r="M87" s="531"/>
      <c r="N87" s="921"/>
      <c r="O87" s="921"/>
      <c r="P87" s="42"/>
      <c r="Q87" s="443"/>
    </row>
    <row r="88" spans="1:17">
      <c r="A88" s="466" t="s">
        <v>1693</v>
      </c>
      <c r="B88" s="467" t="s">
        <v>1735</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1737</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1739</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1740</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1741</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1743</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1829</v>
      </c>
      <c r="C106" s="517" t="s">
        <v>1720</v>
      </c>
      <c r="D106" s="517" t="s">
        <v>1721</v>
      </c>
      <c r="E106" s="517" t="s">
        <v>1722</v>
      </c>
      <c r="F106" s="517" t="s">
        <v>1723</v>
      </c>
      <c r="G106" s="517" t="s">
        <v>1724</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5"/>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4" customWidth="1"/>
    <col min="2" max="16384" width="9" style="1464"/>
  </cols>
  <sheetData>
    <row r="1" spans="1:1" ht="23.25">
      <c r="A1" s="1463" t="s">
        <v>898</v>
      </c>
    </row>
    <row r="2" spans="1:1">
      <c r="A2" s="1465"/>
    </row>
    <row r="3" spans="1:1" ht="18">
      <c r="A3" s="1466" t="str">
        <f>项目基本情况!B5&amp;"："</f>
        <v>：</v>
      </c>
    </row>
    <row r="4" spans="1:1" ht="36">
      <c r="A4" s="1467" t="str">
        <f>"受贵公司委托，我公司对"&amp;项目基本情况!S1&amp;"进行了预评估。"</f>
        <v>受贵公司委托，我公司对北京市海淀区板井路69号世纪金源大饭店房地产抵押价值进行了预评估。</v>
      </c>
    </row>
    <row r="5" spans="1:1" ht="18.75">
      <c r="A5" s="1468" t="s">
        <v>899</v>
      </c>
    </row>
    <row r="6" spans="1:1" ht="18.75">
      <c r="A6" s="1469" t="s">
        <v>900</v>
      </c>
    </row>
    <row r="7" spans="1:1" ht="54">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470" t="s">
        <v>901</v>
      </c>
    </row>
    <row r="9" spans="1:1" ht="18.75">
      <c r="A9" s="1469" t="s">
        <v>902</v>
      </c>
    </row>
    <row r="10" spans="1:1" ht="54">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470" t="s">
        <v>903</v>
      </c>
    </row>
    <row r="12" spans="1:1" ht="18.75">
      <c r="A12" s="1468" t="s">
        <v>904</v>
      </c>
    </row>
    <row r="13" spans="1:1" ht="38.25" customHeight="1">
      <c r="A13" s="1471" t="str">
        <f>IF(项目基本情况!B8="抵押",IF(项目基本情况!B5=项目基本情况!B6,定义!C51,定义!B51),定义!D51)</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4" spans="1:1" ht="18.75">
      <c r="A14" s="1472" t="s">
        <v>905</v>
      </c>
    </row>
    <row r="15" spans="1:1" ht="18">
      <c r="A15" s="1473" t="str">
        <f>TEXT(项目基本情况!D3,"yyyy年m月d日;;")&amp;IF(项目基本情况!D3=项目基本情况!B3,"（评估专业人员实地查勘之日）","")</f>
        <v>2024年3月22日（评估专业人员实地查勘之日）</v>
      </c>
    </row>
    <row r="16" spans="1:1" ht="18.75">
      <c r="A16" s="1472" t="s">
        <v>906</v>
      </c>
    </row>
    <row r="17" spans="1:1" ht="75">
      <c r="A17" s="1467" t="s">
        <v>907</v>
      </c>
    </row>
    <row r="18" spans="1:1" ht="5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2" t="s">
        <v>896</v>
      </c>
    </row>
    <row r="24" spans="1:1" ht="18">
      <c r="A24" s="1474" t="str">
        <f>"本次评估采用的主估价方法为"&amp;结果表!K4&amp;"和"&amp;结果表!L4&amp;"。"</f>
        <v>本次评估采用的主估价方法为比较法和收益法。</v>
      </c>
    </row>
    <row r="25" spans="1:1" ht="18">
      <c r="A25" s="1474"/>
    </row>
    <row r="26" spans="1:1" ht="18.75">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3328</v>
      </c>
      <c r="C1" s="1211" t="s">
        <v>1661</v>
      </c>
      <c r="D1" s="1212"/>
      <c r="E1" s="3410"/>
      <c r="F1" s="1866"/>
      <c r="G1" s="1214" t="s">
        <v>1766</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IF(B37="元/平方米",ROUND(C39*D3/10000,0),ROUND(F3*C39/10000,0)),IF(B37="元/平方米",ROUND(C39*D3/10000,0),ROUND(F3*C39/10000,0))-D2),IF(E1="单套模式",IF(C2="——",IF(B37="元/平方米",ROUND(C39*D3/10000,0),ROUND(F3*C39/10000,0)),IF(B37="元/平方米",ROUND(C39*D3/10000,0),ROUND(F3*C39/10000,0))-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1152"/>
      <c r="Q2" s="686"/>
      <c r="R2" s="686"/>
      <c r="S2" s="686"/>
      <c r="T2" s="686"/>
      <c r="U2" s="686"/>
      <c r="V2" s="686"/>
      <c r="W2" s="686"/>
      <c r="X2" s="686"/>
      <c r="Y2" s="686"/>
      <c r="Z2" s="686"/>
      <c r="AA2" s="686"/>
      <c r="AB2" s="686"/>
      <c r="AC2" s="687"/>
    </row>
    <row r="3" spans="1:29" s="342" customFormat="1" ht="28.5" customHeight="1" thickBot="1">
      <c r="A3" s="193" t="s">
        <v>1463</v>
      </c>
      <c r="B3" s="548" t="e">
        <f>IF(AND(C2="——",B37="元/平方米"),C39,ROUND(B2*10000/D3,0))</f>
        <v>#DIV/0!</v>
      </c>
      <c r="C3" s="344" t="s">
        <v>1767</v>
      </c>
      <c r="D3" s="343">
        <f>SUMIF('数据-汇总表'!$C19:$C33,D1,'数据-汇总表'!$E19:$E33)</f>
        <v>0</v>
      </c>
      <c r="E3" s="344" t="s">
        <v>1831</v>
      </c>
      <c r="F3" s="343">
        <f>SUMIF('数据-取费表'!A5:A15,D1,'数据-取费表'!AH5:AH15)</f>
        <v>0</v>
      </c>
      <c r="G3" s="895"/>
      <c r="H3" s="895"/>
      <c r="I3" s="895"/>
      <c r="J3" s="895"/>
      <c r="K3" s="897"/>
      <c r="L3" s="2719"/>
      <c r="M3" s="2720" t="e">
        <f ca="1">IF(C2="——",IF(B37="元/平方米",ROUND(C39*D3/10000,0),ROUND(F3*C39/10000,0)),IF(B37="元/平方米",ROUND(C39*D3/10000,0),ROUND(F3*C39/10000,0))-D2)</f>
        <v>#DIV/0!</v>
      </c>
      <c r="N3" s="2720"/>
      <c r="O3" s="2720"/>
      <c r="P3" s="1152"/>
      <c r="Q3" s="686"/>
      <c r="R3" s="686"/>
      <c r="S3" s="686"/>
      <c r="T3" s="686"/>
      <c r="U3" s="686"/>
      <c r="V3" s="686"/>
      <c r="W3" s="686"/>
      <c r="X3" s="686"/>
      <c r="Y3" s="686"/>
      <c r="Z3" s="686"/>
      <c r="AA3" s="686"/>
      <c r="AB3" s="703"/>
      <c r="AC3" s="700"/>
    </row>
    <row r="4" spans="1:29" ht="15">
      <c r="A4" s="345" t="s">
        <v>1768</v>
      </c>
      <c r="B4" s="346"/>
      <c r="C4" s="3719" t="s">
        <v>1769</v>
      </c>
      <c r="D4" s="3720"/>
      <c r="E4" s="3721" t="s">
        <v>1770</v>
      </c>
      <c r="F4" s="3722"/>
      <c r="G4" s="3719" t="s">
        <v>1771</v>
      </c>
      <c r="H4" s="3720"/>
      <c r="I4" s="3719" t="s">
        <v>1772</v>
      </c>
      <c r="J4" s="3720"/>
      <c r="K4" s="549" t="s">
        <v>1773</v>
      </c>
      <c r="L4" s="2700"/>
      <c r="M4" s="2701"/>
      <c r="N4" s="2701"/>
      <c r="O4" s="2701"/>
      <c r="P4" s="3723" t="s">
        <v>1774</v>
      </c>
      <c r="Q4" s="3724"/>
      <c r="R4" s="3729" t="s">
        <v>1770</v>
      </c>
      <c r="S4" s="3730"/>
      <c r="T4" s="3729" t="s">
        <v>1771</v>
      </c>
      <c r="U4" s="3730"/>
      <c r="V4" s="3714" t="s">
        <v>1772</v>
      </c>
      <c r="W4" s="3714"/>
      <c r="X4" s="1342"/>
      <c r="Y4" s="3729" t="s">
        <v>1774</v>
      </c>
      <c r="Z4" s="3730"/>
      <c r="AA4" s="3716" t="s">
        <v>1770</v>
      </c>
      <c r="AB4" s="3717" t="s">
        <v>1771</v>
      </c>
      <c r="AC4" s="3716" t="s">
        <v>1772</v>
      </c>
    </row>
    <row r="5" spans="1:29" ht="15">
      <c r="A5" s="348"/>
      <c r="B5" s="349"/>
      <c r="C5" s="3737" t="s">
        <v>1672</v>
      </c>
      <c r="D5" s="3738"/>
      <c r="E5" s="3776" t="s">
        <v>1673</v>
      </c>
      <c r="F5" s="3746"/>
      <c r="G5" s="3737" t="s">
        <v>1674</v>
      </c>
      <c r="H5" s="3738"/>
      <c r="I5" s="3737" t="s">
        <v>1675</v>
      </c>
      <c r="J5" s="3738"/>
      <c r="K5" s="549"/>
      <c r="L5" s="2700"/>
      <c r="M5" s="2701"/>
      <c r="N5" s="2701"/>
      <c r="O5" s="2701"/>
      <c r="P5" s="3725"/>
      <c r="Q5" s="3726"/>
      <c r="R5" s="3731"/>
      <c r="S5" s="3732"/>
      <c r="T5" s="3731"/>
      <c r="U5" s="3732"/>
      <c r="V5" s="3714"/>
      <c r="W5" s="3714"/>
      <c r="X5" s="1342"/>
      <c r="Y5" s="3731"/>
      <c r="Z5" s="3732"/>
      <c r="AA5" s="3717"/>
      <c r="AB5" s="3717"/>
      <c r="AC5" s="3717"/>
    </row>
    <row r="6" spans="1:29" ht="15.75" thickBot="1">
      <c r="A6" s="350"/>
      <c r="B6" s="351"/>
      <c r="C6" s="3735" t="s">
        <v>1676</v>
      </c>
      <c r="D6" s="3736"/>
      <c r="E6" s="3743" t="s">
        <v>1676</v>
      </c>
      <c r="F6" s="3744"/>
      <c r="G6" s="3735" t="s">
        <v>1676</v>
      </c>
      <c r="H6" s="3736"/>
      <c r="I6" s="3735" t="s">
        <v>1676</v>
      </c>
      <c r="J6" s="3736"/>
      <c r="K6" s="549" t="s">
        <v>1677</v>
      </c>
      <c r="L6" s="2700"/>
      <c r="M6" s="2701"/>
      <c r="N6" s="2701"/>
      <c r="O6" s="2701"/>
      <c r="P6" s="3727"/>
      <c r="Q6" s="3728"/>
      <c r="R6" s="3731"/>
      <c r="S6" s="3732"/>
      <c r="T6" s="3733"/>
      <c r="U6" s="3734"/>
      <c r="V6" s="3714"/>
      <c r="W6" s="3714"/>
      <c r="X6" s="1342"/>
      <c r="Y6" s="3733"/>
      <c r="Z6" s="3734"/>
      <c r="AA6" s="3718"/>
      <c r="AB6" s="3718"/>
      <c r="AC6" s="3718"/>
    </row>
    <row r="7" spans="1:29" s="105" customFormat="1" ht="15.75" thickBot="1">
      <c r="A7" s="352" t="s">
        <v>1678</v>
      </c>
      <c r="B7" s="353"/>
      <c r="C7" s="354">
        <f>'数据-取费表'!B2</f>
        <v>45373</v>
      </c>
      <c r="D7" s="355">
        <v>100</v>
      </c>
      <c r="E7" s="356"/>
      <c r="F7" s="357">
        <f>SUMIF(48:48,YEAR(E7)&amp;"-"&amp;MONTH(E7),49:49)</f>
        <v>0</v>
      </c>
      <c r="G7" s="356"/>
      <c r="H7" s="355">
        <f>SUMIF(48:48,YEAR(G7)&amp;"-"&amp;MONTH(G7),49:49)</f>
        <v>0</v>
      </c>
      <c r="I7" s="356"/>
      <c r="J7" s="355">
        <f>SUMIF(48:48,YEAR(I7)&amp;"-"&amp;MONTH(I7),49:49)</f>
        <v>0</v>
      </c>
      <c r="K7" s="550"/>
      <c r="L7" s="2702"/>
      <c r="M7" s="2703"/>
      <c r="N7" s="2703"/>
      <c r="O7" s="2703"/>
      <c r="P7" s="3739" t="s">
        <v>1679</v>
      </c>
      <c r="Q7" s="3741"/>
      <c r="R7" s="688" t="s">
        <v>14</v>
      </c>
      <c r="S7" s="689">
        <f t="shared" ref="S7:S14" si="0">F7</f>
        <v>0</v>
      </c>
      <c r="T7" s="688" t="s">
        <v>14</v>
      </c>
      <c r="U7" s="689">
        <f t="shared" ref="U7:U14" si="1">H7</f>
        <v>0</v>
      </c>
      <c r="V7" s="688" t="s">
        <v>14</v>
      </c>
      <c r="W7" s="689">
        <f t="shared" ref="W7:W14" si="2">J7</f>
        <v>0</v>
      </c>
      <c r="X7" s="690"/>
      <c r="Y7" s="3739" t="s">
        <v>1679</v>
      </c>
      <c r="Z7" s="3740"/>
      <c r="AA7" s="691" t="e">
        <f>D7/F7</f>
        <v>#DIV/0!</v>
      </c>
      <c r="AB7" s="691" t="e">
        <f>D7/H7</f>
        <v>#DIV/0!</v>
      </c>
      <c r="AC7" s="691" t="e">
        <f>D7/J7</f>
        <v>#DIV/0!</v>
      </c>
    </row>
    <row r="8" spans="1:29" s="105"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550"/>
      <c r="L8" s="2702"/>
      <c r="M8" s="2703"/>
      <c r="N8" s="2703"/>
      <c r="O8" s="2703"/>
      <c r="P8" s="3739" t="s">
        <v>1682</v>
      </c>
      <c r="Q8" s="3740"/>
      <c r="R8" s="688" t="s">
        <v>14</v>
      </c>
      <c r="S8" s="689">
        <f t="shared" si="0"/>
        <v>100</v>
      </c>
      <c r="T8" s="688" t="s">
        <v>14</v>
      </c>
      <c r="U8" s="689">
        <f t="shared" si="1"/>
        <v>100</v>
      </c>
      <c r="V8" s="688" t="s">
        <v>14</v>
      </c>
      <c r="W8" s="689">
        <f t="shared" si="2"/>
        <v>100</v>
      </c>
      <c r="X8" s="690"/>
      <c r="Y8" s="3739" t="s">
        <v>1682</v>
      </c>
      <c r="Z8" s="3740"/>
      <c r="AA8" s="691">
        <f t="shared" ref="AA8:AA36" si="3">D8/F8</f>
        <v>1</v>
      </c>
      <c r="AB8" s="691">
        <f t="shared" ref="AB8:AB36" si="4">D8/H8</f>
        <v>1</v>
      </c>
      <c r="AC8" s="691">
        <f t="shared" ref="AC8:AC36" si="5">D8/J8</f>
        <v>1</v>
      </c>
    </row>
    <row r="9" spans="1:29" s="105" customFormat="1">
      <c r="A9" s="60" t="s">
        <v>1683</v>
      </c>
      <c r="B9" s="578" t="s">
        <v>1684</v>
      </c>
      <c r="C9" s="360"/>
      <c r="D9" s="116">
        <v>100</v>
      </c>
      <c r="E9" s="363"/>
      <c r="F9" s="116">
        <f>SUMIF(53:53,E9,54:54)-SUMIF(53:53,C9,54:54)+100</f>
        <v>100</v>
      </c>
      <c r="G9" s="361"/>
      <c r="H9" s="116">
        <f>SUMIF(53:53,G9,54:54)-SUMIF(53:53,C9,54:54)+100</f>
        <v>100</v>
      </c>
      <c r="I9" s="361"/>
      <c r="J9" s="116">
        <f>SUMIF(53:53,I9,54:54)-SUMIF(53:53,C9,54:54)+100</f>
        <v>100</v>
      </c>
      <c r="K9" s="550"/>
      <c r="L9" s="2702"/>
      <c r="M9" s="2703"/>
      <c r="N9" s="2703"/>
      <c r="O9" s="2703"/>
      <c r="P9" s="3700" t="s">
        <v>1685</v>
      </c>
      <c r="Q9" s="1330" t="str">
        <f t="shared" ref="Q9:Q14" si="6">B9</f>
        <v>用途</v>
      </c>
      <c r="R9" s="688" t="s">
        <v>14</v>
      </c>
      <c r="S9" s="689">
        <f t="shared" si="0"/>
        <v>100</v>
      </c>
      <c r="T9" s="688" t="s">
        <v>14</v>
      </c>
      <c r="U9" s="689">
        <f t="shared" si="1"/>
        <v>100</v>
      </c>
      <c r="V9" s="688" t="s">
        <v>14</v>
      </c>
      <c r="W9" s="689">
        <f t="shared" si="2"/>
        <v>100</v>
      </c>
      <c r="X9" s="690"/>
      <c r="Y9" s="3607" t="s">
        <v>1686</v>
      </c>
      <c r="Z9" s="52" t="str">
        <f t="shared" ref="Z9:Z14" si="7">Q9</f>
        <v>用途</v>
      </c>
      <c r="AA9" s="691">
        <f t="shared" si="3"/>
        <v>1</v>
      </c>
      <c r="AB9" s="691">
        <f t="shared" si="4"/>
        <v>1</v>
      </c>
      <c r="AC9" s="691">
        <f t="shared" si="5"/>
        <v>1</v>
      </c>
    </row>
    <row r="10" spans="1:29" s="368" customFormat="1" ht="27">
      <c r="A10" s="579"/>
      <c r="B10" s="580" t="s">
        <v>1687</v>
      </c>
      <c r="C10" s="3411"/>
      <c r="D10" s="117">
        <v>100</v>
      </c>
      <c r="E10" s="3411"/>
      <c r="F10" s="117">
        <f>SUMIF(55:55,E10,56:56)-SUMIF(55:55,C10,56:56)+100</f>
        <v>100</v>
      </c>
      <c r="G10" s="3412"/>
      <c r="H10" s="117">
        <f>SUMIF(55:55,G10,56:56)-SUMIF(55:55,C10,56:56)+100</f>
        <v>100</v>
      </c>
      <c r="I10" s="3411"/>
      <c r="J10" s="117">
        <f>SUMIF(55:55,I10,56:56)-SUMIF(55:55,C10,56:56)+100</f>
        <v>100</v>
      </c>
      <c r="K10" s="550"/>
      <c r="L10" s="2704"/>
      <c r="M10" s="2705"/>
      <c r="N10" s="2705"/>
      <c r="O10" s="2705"/>
      <c r="P10" s="3700"/>
      <c r="Q10" s="1330"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6"/>
      <c r="M11" s="2701"/>
      <c r="N11" s="2701"/>
      <c r="O11" s="2701"/>
      <c r="P11" s="3700"/>
      <c r="Q11" s="1330">
        <f t="shared" si="6"/>
        <v>111</v>
      </c>
      <c r="R11" s="688" t="s">
        <v>14</v>
      </c>
      <c r="S11" s="689">
        <f t="shared" si="0"/>
        <v>100</v>
      </c>
      <c r="T11" s="688" t="s">
        <v>14</v>
      </c>
      <c r="U11" s="689">
        <f t="shared" si="1"/>
        <v>100</v>
      </c>
      <c r="V11" s="688" t="s">
        <v>14</v>
      </c>
      <c r="W11" s="689">
        <f t="shared" si="2"/>
        <v>100</v>
      </c>
      <c r="X11" s="690"/>
      <c r="Y11" s="3607"/>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702"/>
      <c r="M12" s="2703"/>
      <c r="N12" s="2703"/>
      <c r="O12" s="2703"/>
      <c r="P12" s="3700"/>
      <c r="Q12" s="1330">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7"/>
      <c r="M13" s="2701"/>
      <c r="N13" s="2701"/>
      <c r="O13" s="2701"/>
      <c r="P13" s="3700"/>
      <c r="Q13" s="1330">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85.5">
      <c r="A14" s="345" t="s">
        <v>1689</v>
      </c>
      <c r="B14" s="567" t="s">
        <v>1832</v>
      </c>
      <c r="C14" s="195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553"/>
      <c r="L14" s="2707"/>
      <c r="M14" s="2701"/>
      <c r="N14" s="2701"/>
      <c r="O14" s="2701"/>
      <c r="P14" s="3707" t="s">
        <v>1690</v>
      </c>
      <c r="Q14" s="1339" t="str">
        <f t="shared" si="6"/>
        <v>交通便捷度</v>
      </c>
      <c r="R14" s="692" t="s">
        <v>14</v>
      </c>
      <c r="S14" s="693">
        <f t="shared" si="0"/>
        <v>100</v>
      </c>
      <c r="T14" s="692" t="s">
        <v>14</v>
      </c>
      <c r="U14" s="693">
        <f t="shared" si="1"/>
        <v>100</v>
      </c>
      <c r="V14" s="692" t="s">
        <v>14</v>
      </c>
      <c r="W14" s="693">
        <f t="shared" si="2"/>
        <v>100</v>
      </c>
      <c r="X14" s="1342"/>
      <c r="Y14" s="3707" t="s">
        <v>1690</v>
      </c>
      <c r="Z14" s="1343" t="str">
        <f t="shared" si="7"/>
        <v>交通便捷度</v>
      </c>
      <c r="AA14" s="1340">
        <f t="shared" si="3"/>
        <v>1</v>
      </c>
      <c r="AB14" s="1340">
        <f t="shared" si="4"/>
        <v>1</v>
      </c>
      <c r="AC14" s="1340">
        <f t="shared" si="5"/>
        <v>1</v>
      </c>
    </row>
    <row r="15" spans="1:29" ht="15">
      <c r="A15" s="348"/>
      <c r="B15" s="585"/>
      <c r="C15" s="388"/>
      <c r="D15" s="389"/>
      <c r="E15" s="388"/>
      <c r="F15" s="390"/>
      <c r="G15" s="388"/>
      <c r="H15" s="391"/>
      <c r="I15" s="388"/>
      <c r="J15" s="389"/>
      <c r="K15" s="554"/>
      <c r="L15" s="2707"/>
      <c r="M15" s="2701"/>
      <c r="N15" s="2701"/>
      <c r="O15" s="2701"/>
      <c r="P15" s="3708"/>
      <c r="Q15" s="1339"/>
      <c r="R15" s="692"/>
      <c r="S15" s="693"/>
      <c r="T15" s="692"/>
      <c r="U15" s="693"/>
      <c r="V15" s="692"/>
      <c r="W15" s="693"/>
      <c r="X15" s="1342"/>
      <c r="Y15" s="3708"/>
      <c r="Z15" s="1343"/>
      <c r="AA15" s="1340">
        <v>1</v>
      </c>
      <c r="AB15" s="1340">
        <v>1</v>
      </c>
      <c r="AC15" s="1340">
        <v>1</v>
      </c>
    </row>
    <row r="16" spans="1:29" ht="42.75">
      <c r="A16" s="348"/>
      <c r="B16" s="569" t="s">
        <v>1811</v>
      </c>
      <c r="C16" s="1887" t="str">
        <f>IF(B1="工业",估价对象房地状况!G5,估价对象房地状况!C7)</f>
        <v>估价对象所在区域公共配套设施齐备情况较好</v>
      </c>
      <c r="D16" s="396">
        <v>100</v>
      </c>
      <c r="E16" s="398"/>
      <c r="F16" s="399">
        <f>SUMIF(65:65,E17,66:66)-SUMIF(65:65,C17,66:66)+100</f>
        <v>100</v>
      </c>
      <c r="G16" s="400"/>
      <c r="H16" s="396">
        <f>SUMIF(65:65,G17,66:66)-SUMIF(65:65,C17,66:66)+100</f>
        <v>100</v>
      </c>
      <c r="I16" s="398"/>
      <c r="J16" s="396">
        <f>SUMIF(65:65,I17,66:66)-SUMIF(65:65,C17,66:66)+100</f>
        <v>100</v>
      </c>
      <c r="K16" s="553"/>
      <c r="L16" s="2707"/>
      <c r="M16" s="2701"/>
      <c r="N16" s="2701"/>
      <c r="O16" s="2701"/>
      <c r="P16" s="3708"/>
      <c r="Q16" s="1339" t="str">
        <f>B16</f>
        <v>公共配套设施</v>
      </c>
      <c r="R16" s="692" t="s">
        <v>14</v>
      </c>
      <c r="S16" s="693">
        <f>F16</f>
        <v>100</v>
      </c>
      <c r="T16" s="692" t="s">
        <v>14</v>
      </c>
      <c r="U16" s="693">
        <f>H16</f>
        <v>100</v>
      </c>
      <c r="V16" s="692" t="s">
        <v>14</v>
      </c>
      <c r="W16" s="693">
        <f>J16</f>
        <v>100</v>
      </c>
      <c r="X16" s="1342"/>
      <c r="Y16" s="3708"/>
      <c r="Z16" s="1343" t="str">
        <f>Q16</f>
        <v>公共配套设施</v>
      </c>
      <c r="AA16" s="1340">
        <f t="shared" si="3"/>
        <v>1</v>
      </c>
      <c r="AB16" s="1340">
        <f t="shared" si="4"/>
        <v>1</v>
      </c>
      <c r="AC16" s="1340">
        <f t="shared" si="5"/>
        <v>1</v>
      </c>
    </row>
    <row r="17" spans="1:29" ht="15">
      <c r="A17" s="348"/>
      <c r="B17" s="570"/>
      <c r="C17" s="1888"/>
      <c r="D17" s="389"/>
      <c r="E17" s="388"/>
      <c r="F17" s="390"/>
      <c r="G17" s="388"/>
      <c r="H17" s="389"/>
      <c r="I17" s="388"/>
      <c r="J17" s="389"/>
      <c r="K17" s="554"/>
      <c r="L17" s="2707"/>
      <c r="M17" s="2701"/>
      <c r="N17" s="2701"/>
      <c r="O17" s="2701"/>
      <c r="P17" s="3708"/>
      <c r="Q17" s="1339"/>
      <c r="R17" s="692"/>
      <c r="S17" s="693"/>
      <c r="T17" s="692"/>
      <c r="U17" s="693"/>
      <c r="V17" s="692"/>
      <c r="W17" s="693"/>
      <c r="X17" s="1342"/>
      <c r="Y17" s="3708"/>
      <c r="Z17" s="1343"/>
      <c r="AA17" s="1340">
        <v>1</v>
      </c>
      <c r="AB17" s="1340">
        <v>1</v>
      </c>
      <c r="AC17" s="1340">
        <v>1</v>
      </c>
    </row>
    <row r="18" spans="1:29" ht="15">
      <c r="A18" s="348"/>
      <c r="B18" s="571" t="s">
        <v>1812</v>
      </c>
      <c r="C18" s="1887" t="str">
        <f>IF(B1="工业",估价对象房地状况!G6,估价对象房地状况!C8)</f>
        <v>七通</v>
      </c>
      <c r="D18" s="391">
        <v>100</v>
      </c>
      <c r="E18" s="393"/>
      <c r="F18" s="399">
        <f>SUMIF(67:67,E19,68:68)-SUMIF(67:67,C19,68:68)+100</f>
        <v>100</v>
      </c>
      <c r="G18" s="395"/>
      <c r="H18" s="396">
        <f>SUMIF(67:67,G19,68:68)-SUMIF(67:67,C19,68:68)+100</f>
        <v>100</v>
      </c>
      <c r="I18" s="393"/>
      <c r="J18" s="396">
        <f>SUMIF(67:67,I19,68:68)-SUMIF(67:67,C19,68:68)+100</f>
        <v>100</v>
      </c>
      <c r="K18" s="553"/>
      <c r="L18" s="2707"/>
      <c r="M18" s="2701"/>
      <c r="N18" s="2701"/>
      <c r="O18" s="2701"/>
      <c r="P18" s="3708"/>
      <c r="Q18" s="1339" t="str">
        <f>B18</f>
        <v>基础设施水平</v>
      </c>
      <c r="R18" s="692" t="s">
        <v>14</v>
      </c>
      <c r="S18" s="693">
        <f>F18</f>
        <v>100</v>
      </c>
      <c r="T18" s="692" t="s">
        <v>14</v>
      </c>
      <c r="U18" s="693">
        <f>H18</f>
        <v>100</v>
      </c>
      <c r="V18" s="692" t="s">
        <v>14</v>
      </c>
      <c r="W18" s="693">
        <f>J18</f>
        <v>100</v>
      </c>
      <c r="X18" s="1342"/>
      <c r="Y18" s="3708"/>
      <c r="Z18" s="1343" t="str">
        <f>Q18</f>
        <v>基础设施水平</v>
      </c>
      <c r="AA18" s="1340">
        <f t="shared" ref="AA18" si="8">D18/F18</f>
        <v>1</v>
      </c>
      <c r="AB18" s="1340">
        <f t="shared" ref="AB18" si="9">D18/H18</f>
        <v>1</v>
      </c>
      <c r="AC18" s="1340">
        <f t="shared" ref="AC18" si="10">D18/J18</f>
        <v>1</v>
      </c>
    </row>
    <row r="19" spans="1:29" ht="15">
      <c r="A19" s="348"/>
      <c r="B19" s="571"/>
      <c r="C19" s="1888"/>
      <c r="D19" s="391"/>
      <c r="E19" s="1888"/>
      <c r="F19" s="394"/>
      <c r="G19" s="1888"/>
      <c r="H19" s="389"/>
      <c r="I19" s="388"/>
      <c r="J19" s="389"/>
      <c r="K19" s="1117"/>
      <c r="L19" s="2707"/>
      <c r="M19" s="2701"/>
      <c r="N19" s="2701"/>
      <c r="O19" s="2701"/>
      <c r="P19" s="3708"/>
      <c r="Q19" s="1339"/>
      <c r="R19" s="692"/>
      <c r="S19" s="693"/>
      <c r="T19" s="692"/>
      <c r="U19" s="693"/>
      <c r="V19" s="692"/>
      <c r="W19" s="693"/>
      <c r="X19" s="1342"/>
      <c r="Y19" s="3708"/>
      <c r="Z19" s="1343"/>
      <c r="AA19" s="1340">
        <v>1</v>
      </c>
      <c r="AB19" s="1340">
        <v>1</v>
      </c>
      <c r="AC19" s="1340">
        <v>1</v>
      </c>
    </row>
    <row r="20" spans="1:29" ht="85.5">
      <c r="A20" s="348"/>
      <c r="B20" s="569" t="s">
        <v>1833</v>
      </c>
      <c r="C20" s="1887" t="str">
        <f>IF(B1="工业",估价对象房地状况!G7,估价对象房地状况!C9)</f>
        <v>区域自然环境：蓝靛厂公园、四季曙光公园、南长河公园；人文环境；综合评价环境状况较好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7"/>
      <c r="M20" s="2701"/>
      <c r="N20" s="2701"/>
      <c r="O20" s="2701"/>
      <c r="P20" s="3708"/>
      <c r="Q20" s="1339" t="str">
        <f>B20</f>
        <v>自然及人文环境</v>
      </c>
      <c r="R20" s="692" t="s">
        <v>14</v>
      </c>
      <c r="S20" s="693">
        <f>F20</f>
        <v>100</v>
      </c>
      <c r="T20" s="692" t="s">
        <v>14</v>
      </c>
      <c r="U20" s="693">
        <f>H20</f>
        <v>100</v>
      </c>
      <c r="V20" s="692" t="s">
        <v>14</v>
      </c>
      <c r="W20" s="693">
        <f>J20</f>
        <v>100</v>
      </c>
      <c r="X20" s="1342"/>
      <c r="Y20" s="3708"/>
      <c r="Z20" s="1343" t="str">
        <f>Q20</f>
        <v>自然及人文环境</v>
      </c>
      <c r="AA20" s="1340">
        <f t="shared" si="3"/>
        <v>1</v>
      </c>
      <c r="AB20" s="1340">
        <f t="shared" si="4"/>
        <v>1</v>
      </c>
      <c r="AC20" s="1340">
        <f t="shared" si="5"/>
        <v>1</v>
      </c>
    </row>
    <row r="21" spans="1:29" ht="15">
      <c r="A21" s="348"/>
      <c r="B21" s="570"/>
      <c r="C21" s="388"/>
      <c r="D21" s="389"/>
      <c r="E21" s="388"/>
      <c r="F21" s="390"/>
      <c r="G21" s="388"/>
      <c r="H21" s="389"/>
      <c r="I21" s="388"/>
      <c r="J21" s="389"/>
      <c r="K21" s="554"/>
      <c r="L21" s="2707"/>
      <c r="M21" s="2701"/>
      <c r="N21" s="2701"/>
      <c r="O21" s="2701"/>
      <c r="P21" s="3708"/>
      <c r="Q21" s="1339"/>
      <c r="R21" s="692"/>
      <c r="S21" s="693"/>
      <c r="T21" s="692"/>
      <c r="U21" s="693"/>
      <c r="V21" s="692"/>
      <c r="W21" s="693"/>
      <c r="X21" s="1342"/>
      <c r="Y21" s="3708"/>
      <c r="Z21" s="1343"/>
      <c r="AA21" s="1340">
        <v>1</v>
      </c>
      <c r="AB21" s="1340">
        <v>1</v>
      </c>
      <c r="AC21" s="1340">
        <v>1</v>
      </c>
    </row>
    <row r="22" spans="1:29" ht="15">
      <c r="A22" s="348"/>
      <c r="B22" s="569" t="s">
        <v>1834</v>
      </c>
      <c r="C22" s="555"/>
      <c r="D22" s="391">
        <v>100</v>
      </c>
      <c r="E22" s="555"/>
      <c r="F22" s="402">
        <f>SUMIF(71:71,E22,72:72)-SUMIF(71:71,C22,72:72)+100</f>
        <v>100</v>
      </c>
      <c r="G22" s="555"/>
      <c r="H22" s="376">
        <f>SUMIF(71:71,G22,72:72)-SUMIF(71:71,C22,72:72)+100</f>
        <v>100</v>
      </c>
      <c r="I22" s="555"/>
      <c r="J22" s="376">
        <f>SUMIF(71:71,I22,72:72)-SUMIF(71:71,C22,72:72)+100</f>
        <v>100</v>
      </c>
      <c r="K22" s="551"/>
      <c r="L22" s="2707"/>
      <c r="M22" s="2701"/>
      <c r="N22" s="2701"/>
      <c r="O22" s="2701"/>
      <c r="P22" s="3708"/>
      <c r="Q22" s="1339" t="str">
        <f>B22</f>
        <v>楼层</v>
      </c>
      <c r="R22" s="692" t="s">
        <v>14</v>
      </c>
      <c r="S22" s="693">
        <f>F22</f>
        <v>100</v>
      </c>
      <c r="T22" s="692" t="s">
        <v>14</v>
      </c>
      <c r="U22" s="693">
        <f>H22</f>
        <v>100</v>
      </c>
      <c r="V22" s="692" t="s">
        <v>14</v>
      </c>
      <c r="W22" s="693">
        <f>J22</f>
        <v>100</v>
      </c>
      <c r="X22" s="1342"/>
      <c r="Y22" s="3708"/>
      <c r="Z22" s="1343" t="str">
        <f>Q22</f>
        <v>楼层</v>
      </c>
      <c r="AA22" s="1340">
        <f t="shared" si="3"/>
        <v>1</v>
      </c>
      <c r="AB22" s="1340">
        <f t="shared" si="4"/>
        <v>1</v>
      </c>
      <c r="AC22" s="1340">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7"/>
      <c r="M23" s="2701"/>
      <c r="N23" s="2701"/>
      <c r="O23" s="2701"/>
      <c r="P23" s="3708"/>
      <c r="Q23" s="1339">
        <f>B23</f>
        <v>111</v>
      </c>
      <c r="R23" s="692" t="s">
        <v>14</v>
      </c>
      <c r="S23" s="693">
        <f>F23</f>
        <v>100</v>
      </c>
      <c r="T23" s="692" t="s">
        <v>14</v>
      </c>
      <c r="U23" s="693">
        <f>H23</f>
        <v>100</v>
      </c>
      <c r="V23" s="692" t="s">
        <v>14</v>
      </c>
      <c r="W23" s="693">
        <f>J23</f>
        <v>100</v>
      </c>
      <c r="X23" s="1342"/>
      <c r="Y23" s="3708"/>
      <c r="Z23" s="1343">
        <f>Q23</f>
        <v>111</v>
      </c>
      <c r="AA23" s="1340">
        <f t="shared" si="3"/>
        <v>1</v>
      </c>
      <c r="AB23" s="1340">
        <f t="shared" si="4"/>
        <v>1</v>
      </c>
      <c r="AC23" s="1340">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7"/>
      <c r="M24" s="2701"/>
      <c r="N24" s="2701"/>
      <c r="O24" s="2701"/>
      <c r="P24" s="3708"/>
      <c r="Q24" s="1339">
        <f t="shared" ref="Q24:Q36" si="11">B24</f>
        <v>111</v>
      </c>
      <c r="R24" s="692" t="s">
        <v>14</v>
      </c>
      <c r="S24" s="693">
        <f>F24</f>
        <v>100</v>
      </c>
      <c r="T24" s="692" t="s">
        <v>14</v>
      </c>
      <c r="U24" s="693">
        <f>H24</f>
        <v>100</v>
      </c>
      <c r="V24" s="692" t="s">
        <v>14</v>
      </c>
      <c r="W24" s="693">
        <f>J24</f>
        <v>100</v>
      </c>
      <c r="X24" s="1342"/>
      <c r="Y24" s="3708"/>
      <c r="Z24" s="1343">
        <f>Q24</f>
        <v>111</v>
      </c>
      <c r="AA24" s="1340">
        <f t="shared" si="3"/>
        <v>1</v>
      </c>
      <c r="AB24" s="1340">
        <f t="shared" si="4"/>
        <v>1</v>
      </c>
      <c r="AC24" s="1340">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702"/>
      <c r="M25" s="2703"/>
      <c r="N25" s="2703"/>
      <c r="O25" s="2703"/>
      <c r="P25" s="3708"/>
      <c r="Q25" s="1330">
        <f t="shared" si="11"/>
        <v>111</v>
      </c>
      <c r="R25" s="688" t="s">
        <v>14</v>
      </c>
      <c r="S25" s="689">
        <f>F25</f>
        <v>100</v>
      </c>
      <c r="T25" s="688" t="s">
        <v>14</v>
      </c>
      <c r="U25" s="689">
        <f>H25</f>
        <v>100</v>
      </c>
      <c r="V25" s="688" t="s">
        <v>14</v>
      </c>
      <c r="W25" s="689">
        <f>J25</f>
        <v>100</v>
      </c>
      <c r="X25" s="690"/>
      <c r="Y25" s="3708"/>
      <c r="Z25" s="52">
        <f>Q25</f>
        <v>111</v>
      </c>
      <c r="AA25" s="1340">
        <f>D25/F25</f>
        <v>1</v>
      </c>
      <c r="AB25" s="1340">
        <f>D25/H25</f>
        <v>1</v>
      </c>
      <c r="AC25" s="1340">
        <f>D25/J25</f>
        <v>1</v>
      </c>
    </row>
    <row r="26" spans="1:29" ht="28.5">
      <c r="A26" s="590" t="s">
        <v>1693</v>
      </c>
      <c r="B26" s="62" t="s">
        <v>1835</v>
      </c>
      <c r="C26" s="1959" t="str">
        <f>B1</f>
        <v>车库</v>
      </c>
      <c r="D26" s="389">
        <v>100</v>
      </c>
      <c r="E26" s="388"/>
      <c r="F26" s="390">
        <f>SUMIF(79:79,E26,80:80)-SUMIF(79:79,C26,80:80)+100</f>
        <v>0</v>
      </c>
      <c r="G26" s="388"/>
      <c r="H26" s="389">
        <f>SUMIF(79:79,G26,80:80)-SUMIF(79:79,C26,80:80)+100</f>
        <v>0</v>
      </c>
      <c r="I26" s="388"/>
      <c r="J26" s="389">
        <f>SUMIF(79:79,I26,80:80)-SUMIF(79:79,C26,80:80)+100</f>
        <v>0</v>
      </c>
      <c r="K26" s="551"/>
      <c r="L26" s="2707"/>
      <c r="M26" s="2701"/>
      <c r="N26" s="2701"/>
      <c r="O26" s="2701"/>
      <c r="P26" s="3792" t="s">
        <v>1695</v>
      </c>
      <c r="Q26" s="1339" t="str">
        <f t="shared" si="11"/>
        <v>配套类型</v>
      </c>
      <c r="R26" s="692" t="s">
        <v>14</v>
      </c>
      <c r="S26" s="693">
        <f t="shared" ref="S26:S36" si="12">F26</f>
        <v>0</v>
      </c>
      <c r="T26" s="692" t="s">
        <v>14</v>
      </c>
      <c r="U26" s="693">
        <f t="shared" ref="U26:U36" si="13">H26</f>
        <v>0</v>
      </c>
      <c r="V26" s="692" t="s">
        <v>14</v>
      </c>
      <c r="W26" s="693">
        <f t="shared" ref="W26:W36" si="14">J26</f>
        <v>0</v>
      </c>
      <c r="X26" s="1342"/>
      <c r="Y26" s="3712" t="s">
        <v>1695</v>
      </c>
      <c r="Z26" s="1343" t="str">
        <f t="shared" ref="Z26:Z36" si="15">Q26</f>
        <v>配套类型</v>
      </c>
      <c r="AA26" s="1340" t="e">
        <f t="shared" si="3"/>
        <v>#DIV/0!</v>
      </c>
      <c r="AB26" s="1340" t="e">
        <f t="shared" si="4"/>
        <v>#DIV/0!</v>
      </c>
      <c r="AC26" s="1340" t="e">
        <f t="shared" si="5"/>
        <v>#DIV/0!</v>
      </c>
    </row>
    <row r="27" spans="1:29" s="412" customFormat="1" ht="15">
      <c r="A27" s="591"/>
      <c r="B27" s="592" t="s">
        <v>1836</v>
      </c>
      <c r="C27" s="593"/>
      <c r="D27" s="117">
        <v>100</v>
      </c>
      <c r="E27" s="593"/>
      <c r="F27" s="402">
        <f>SUMIF(81:81,E27,82:82)-SUMIF(81:81,C27,82:82)+100</f>
        <v>100</v>
      </c>
      <c r="G27" s="593"/>
      <c r="H27" s="376">
        <f>SUMIF(81:81,G27,82:82)-SUMIF(81:81,C27,82:82)+100</f>
        <v>100</v>
      </c>
      <c r="I27" s="593"/>
      <c r="J27" s="376">
        <f>SUMIF(81:81,I27,82:82)-SUMIF(81:81,C27,82:82)+100</f>
        <v>100</v>
      </c>
      <c r="K27" s="552"/>
      <c r="L27" s="2706"/>
      <c r="M27" s="2708"/>
      <c r="N27" s="2708"/>
      <c r="O27" s="2708"/>
      <c r="P27" s="3712"/>
      <c r="Q27" s="694" t="str">
        <f t="shared" si="11"/>
        <v>项目停车位配比</v>
      </c>
      <c r="R27" s="695" t="s">
        <v>14</v>
      </c>
      <c r="S27" s="696">
        <f t="shared" si="12"/>
        <v>100</v>
      </c>
      <c r="T27" s="695" t="s">
        <v>14</v>
      </c>
      <c r="U27" s="696">
        <f t="shared" si="13"/>
        <v>100</v>
      </c>
      <c r="V27" s="695" t="s">
        <v>14</v>
      </c>
      <c r="W27" s="696">
        <f t="shared" si="14"/>
        <v>100</v>
      </c>
      <c r="X27" s="697"/>
      <c r="Y27" s="3712"/>
      <c r="Z27" s="698" t="str">
        <f t="shared" si="15"/>
        <v>项目停车位配比</v>
      </c>
      <c r="AA27" s="1340">
        <f t="shared" si="3"/>
        <v>1</v>
      </c>
      <c r="AB27" s="1340">
        <f t="shared" si="4"/>
        <v>1</v>
      </c>
      <c r="AC27" s="1340">
        <f t="shared" si="5"/>
        <v>1</v>
      </c>
    </row>
    <row r="28" spans="1:29" ht="15">
      <c r="A28" s="594"/>
      <c r="B28" s="592" t="s">
        <v>1837</v>
      </c>
      <c r="C28" s="401"/>
      <c r="D28" s="376">
        <v>100</v>
      </c>
      <c r="E28" s="401"/>
      <c r="F28" s="402">
        <f>SUMIF(83:83,E28,84:84)-SUMIF(83:83,C28,84:84)+100</f>
        <v>100</v>
      </c>
      <c r="G28" s="401"/>
      <c r="H28" s="376">
        <f>SUMIF(83:83,G28,84:84)-SUMIF(83:83,C28,84:84)+100</f>
        <v>100</v>
      </c>
      <c r="I28" s="401"/>
      <c r="J28" s="376">
        <f>SUMIF(83:83,I28,84:84)-SUMIF(83:83,C28,84:84)+100</f>
        <v>100</v>
      </c>
      <c r="K28" s="551"/>
      <c r="L28" s="2707"/>
      <c r="M28" s="2701"/>
      <c r="N28" s="2701"/>
      <c r="O28" s="2701"/>
      <c r="P28" s="3712"/>
      <c r="Q28" s="1339" t="str">
        <f t="shared" si="11"/>
        <v>公共部分装修</v>
      </c>
      <c r="R28" s="692" t="s">
        <v>14</v>
      </c>
      <c r="S28" s="693">
        <f t="shared" si="12"/>
        <v>100</v>
      </c>
      <c r="T28" s="692" t="s">
        <v>14</v>
      </c>
      <c r="U28" s="693">
        <f t="shared" si="13"/>
        <v>100</v>
      </c>
      <c r="V28" s="692" t="s">
        <v>14</v>
      </c>
      <c r="W28" s="693">
        <f t="shared" si="14"/>
        <v>100</v>
      </c>
      <c r="X28" s="1342"/>
      <c r="Y28" s="3712"/>
      <c r="Z28" s="1343" t="str">
        <f t="shared" si="15"/>
        <v>公共部分装修</v>
      </c>
      <c r="AA28" s="1340">
        <f t="shared" si="3"/>
        <v>1</v>
      </c>
      <c r="AB28" s="1340">
        <f t="shared" si="4"/>
        <v>1</v>
      </c>
      <c r="AC28" s="1340">
        <f t="shared" si="5"/>
        <v>1</v>
      </c>
    </row>
    <row r="29" spans="1:29" ht="15">
      <c r="A29" s="594"/>
      <c r="B29" s="592" t="s">
        <v>1838</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7"/>
      <c r="M29" s="2701"/>
      <c r="N29" s="2701"/>
      <c r="O29" s="2701"/>
      <c r="P29" s="3712"/>
      <c r="Q29" s="1339" t="str">
        <f t="shared" si="11"/>
        <v>成新率</v>
      </c>
      <c r="R29" s="692" t="s">
        <v>14</v>
      </c>
      <c r="S29" s="693" t="e">
        <f t="shared" si="12"/>
        <v>#N/A</v>
      </c>
      <c r="T29" s="692" t="s">
        <v>14</v>
      </c>
      <c r="U29" s="693" t="e">
        <f t="shared" si="13"/>
        <v>#N/A</v>
      </c>
      <c r="V29" s="692" t="s">
        <v>14</v>
      </c>
      <c r="W29" s="693" t="e">
        <f t="shared" si="14"/>
        <v>#N/A</v>
      </c>
      <c r="X29" s="1342"/>
      <c r="Y29" s="3712"/>
      <c r="Z29" s="1343" t="str">
        <f t="shared" si="15"/>
        <v>成新率</v>
      </c>
      <c r="AA29" s="1340" t="e">
        <f t="shared" si="3"/>
        <v>#N/A</v>
      </c>
      <c r="AB29" s="1340" t="e">
        <f t="shared" si="4"/>
        <v>#N/A</v>
      </c>
      <c r="AC29" s="1340" t="e">
        <f t="shared" si="5"/>
        <v>#N/A</v>
      </c>
    </row>
    <row r="30" spans="1:29" ht="15">
      <c r="A30" s="594"/>
      <c r="B30" s="592" t="s">
        <v>1839</v>
      </c>
      <c r="C30" s="595"/>
      <c r="D30" s="376">
        <v>100</v>
      </c>
      <c r="E30" s="595"/>
      <c r="F30" s="402">
        <f>SUMIF(88:88,E30,89:89)-SUMIF(88:88,C30,89:89)+100</f>
        <v>100</v>
      </c>
      <c r="G30" s="595"/>
      <c r="H30" s="376">
        <f>SUMIF(88:88,E30,89:89)-SUMIF(88:88,C30,89:89)+100</f>
        <v>100</v>
      </c>
      <c r="I30" s="595"/>
      <c r="J30" s="376">
        <f>SUMIF(88:88,E30,89:89)-SUMIF(88:88,C30,89:89)+100</f>
        <v>100</v>
      </c>
      <c r="K30" s="551"/>
      <c r="L30" s="2707"/>
      <c r="M30" s="2701"/>
      <c r="N30" s="2701"/>
      <c r="O30" s="2701"/>
      <c r="P30" s="3712"/>
      <c r="Q30" s="1339" t="str">
        <f t="shared" si="11"/>
        <v>物业等级</v>
      </c>
      <c r="R30" s="692" t="s">
        <v>14</v>
      </c>
      <c r="S30" s="693">
        <f t="shared" si="12"/>
        <v>100</v>
      </c>
      <c r="T30" s="692" t="s">
        <v>14</v>
      </c>
      <c r="U30" s="693">
        <f t="shared" si="13"/>
        <v>100</v>
      </c>
      <c r="V30" s="692" t="s">
        <v>14</v>
      </c>
      <c r="W30" s="693">
        <f t="shared" si="14"/>
        <v>100</v>
      </c>
      <c r="X30" s="1342"/>
      <c r="Y30" s="3712"/>
      <c r="Z30" s="1343" t="str">
        <f t="shared" si="15"/>
        <v>物业等级</v>
      </c>
      <c r="AA30" s="1340">
        <f t="shared" si="3"/>
        <v>1</v>
      </c>
      <c r="AB30" s="1340">
        <f t="shared" si="4"/>
        <v>1</v>
      </c>
      <c r="AC30" s="1340">
        <f t="shared" si="5"/>
        <v>1</v>
      </c>
    </row>
    <row r="31" spans="1:29" s="105" customFormat="1" ht="15">
      <c r="A31" s="596"/>
      <c r="B31" s="592" t="s">
        <v>1840</v>
      </c>
      <c r="C31" s="410"/>
      <c r="D31" s="117">
        <v>100</v>
      </c>
      <c r="E31" s="410"/>
      <c r="F31" s="402" t="e">
        <f>LOOKUP(E31,91:91,92:92)-LOOKUP(C31,91:91,92:92)+100</f>
        <v>#N/A</v>
      </c>
      <c r="G31" s="410"/>
      <c r="H31" s="376" t="e">
        <f>LOOKUP(G31,91:91,92:92)-LOOKUP(C31,91:91,92:92)+100</f>
        <v>#N/A</v>
      </c>
      <c r="I31" s="410"/>
      <c r="J31" s="376" t="e">
        <f>LOOKUP(I31,91:91,92:92)-LOOKUP(C31,91:91,92:92)+100</f>
        <v>#N/A</v>
      </c>
      <c r="K31" s="551"/>
      <c r="L31" s="2702"/>
      <c r="M31" s="2703"/>
      <c r="N31" s="2703"/>
      <c r="O31" s="2703"/>
      <c r="P31" s="3712"/>
      <c r="Q31" s="1330" t="str">
        <f t="shared" si="11"/>
        <v>停车位面积</v>
      </c>
      <c r="R31" s="688" t="s">
        <v>14</v>
      </c>
      <c r="S31" s="689" t="e">
        <f t="shared" si="12"/>
        <v>#N/A</v>
      </c>
      <c r="T31" s="688" t="s">
        <v>14</v>
      </c>
      <c r="U31" s="689" t="e">
        <f t="shared" si="13"/>
        <v>#N/A</v>
      </c>
      <c r="V31" s="688" t="s">
        <v>14</v>
      </c>
      <c r="W31" s="689" t="e">
        <f t="shared" si="14"/>
        <v>#N/A</v>
      </c>
      <c r="X31" s="690"/>
      <c r="Y31" s="3712"/>
      <c r="Z31" s="52" t="str">
        <f t="shared" si="15"/>
        <v>停车位面积</v>
      </c>
      <c r="AA31" s="691" t="e">
        <f t="shared" si="3"/>
        <v>#N/A</v>
      </c>
      <c r="AB31" s="691" t="e">
        <f t="shared" si="4"/>
        <v>#N/A</v>
      </c>
      <c r="AC31" s="691" t="e">
        <f t="shared" si="5"/>
        <v>#N/A</v>
      </c>
    </row>
    <row r="32" spans="1:29" ht="15">
      <c r="A32" s="594"/>
      <c r="B32" s="592" t="s">
        <v>1841</v>
      </c>
      <c r="C32" s="401"/>
      <c r="D32" s="376">
        <v>100</v>
      </c>
      <c r="E32" s="401"/>
      <c r="F32" s="402">
        <f>SUMIF(93:93,E32,94:94)-SUMIF(93:93,C32,94:94)+100</f>
        <v>100</v>
      </c>
      <c r="G32" s="401"/>
      <c r="H32" s="376">
        <f>SUMIF(93:93,G32,94:94)-SUMIF(93:93,C32,94:94)+100</f>
        <v>100</v>
      </c>
      <c r="I32" s="401"/>
      <c r="J32" s="376">
        <f>SUMIF(93:93,I32,94:94)-SUMIF(93:93,C32,94:94)+100</f>
        <v>100</v>
      </c>
      <c r="K32" s="551"/>
      <c r="L32" s="2707"/>
      <c r="M32" s="2701"/>
      <c r="N32" s="2701"/>
      <c r="O32" s="2701"/>
      <c r="P32" s="3712" t="s">
        <v>1695</v>
      </c>
      <c r="Q32" s="1339" t="str">
        <f t="shared" si="11"/>
        <v>车位类型</v>
      </c>
      <c r="R32" s="692" t="s">
        <v>14</v>
      </c>
      <c r="S32" s="693">
        <f t="shared" si="12"/>
        <v>100</v>
      </c>
      <c r="T32" s="692" t="s">
        <v>14</v>
      </c>
      <c r="U32" s="693">
        <f t="shared" si="13"/>
        <v>100</v>
      </c>
      <c r="V32" s="692" t="s">
        <v>14</v>
      </c>
      <c r="W32" s="693">
        <f t="shared" si="14"/>
        <v>100</v>
      </c>
      <c r="X32" s="1342"/>
      <c r="Y32" s="3712" t="s">
        <v>1695</v>
      </c>
      <c r="Z32" s="1343" t="str">
        <f t="shared" si="15"/>
        <v>车位类型</v>
      </c>
      <c r="AA32" s="1340">
        <f t="shared" si="3"/>
        <v>1</v>
      </c>
      <c r="AB32" s="1340">
        <f t="shared" si="4"/>
        <v>1</v>
      </c>
      <c r="AC32" s="1340">
        <f t="shared" si="5"/>
        <v>1</v>
      </c>
    </row>
    <row r="33" spans="1:29" ht="15">
      <c r="A33" s="594"/>
      <c r="B33" s="592" t="s">
        <v>1842</v>
      </c>
      <c r="C33" s="401"/>
      <c r="D33" s="376">
        <v>100</v>
      </c>
      <c r="E33" s="401"/>
      <c r="F33" s="402">
        <f>SUMIF(95:95,E33,96:96)-SUMIF(95:95,C33,96:96)+100</f>
        <v>100</v>
      </c>
      <c r="G33" s="401"/>
      <c r="H33" s="376">
        <f>SUMIF(95:95,G33,96:96)-SUMIF(95:95,C33,96:96)+100</f>
        <v>100</v>
      </c>
      <c r="I33" s="401"/>
      <c r="J33" s="376">
        <f>SUMIF(95:95,I33,96:96)-SUMIF(95:95,C33,96:96)+100</f>
        <v>100</v>
      </c>
      <c r="K33" s="551"/>
      <c r="L33" s="2707"/>
      <c r="M33" s="2701"/>
      <c r="N33" s="2701"/>
      <c r="O33" s="2701"/>
      <c r="P33" s="3712"/>
      <c r="Q33" s="1339" t="str">
        <f t="shared" si="11"/>
        <v>是否直接入户</v>
      </c>
      <c r="R33" s="692" t="s">
        <v>14</v>
      </c>
      <c r="S33" s="693">
        <f t="shared" si="12"/>
        <v>100</v>
      </c>
      <c r="T33" s="692" t="s">
        <v>14</v>
      </c>
      <c r="U33" s="693">
        <f t="shared" si="13"/>
        <v>100</v>
      </c>
      <c r="V33" s="692" t="s">
        <v>14</v>
      </c>
      <c r="W33" s="693">
        <f t="shared" si="14"/>
        <v>100</v>
      </c>
      <c r="X33" s="1342"/>
      <c r="Y33" s="3712"/>
      <c r="Z33" s="1343" t="str">
        <f t="shared" si="15"/>
        <v>是否直接入户</v>
      </c>
      <c r="AA33" s="1340">
        <f t="shared" si="3"/>
        <v>1</v>
      </c>
      <c r="AB33" s="1340">
        <f t="shared" si="4"/>
        <v>1</v>
      </c>
      <c r="AC33" s="1340">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7"/>
      <c r="M34" s="2701"/>
      <c r="N34" s="2701"/>
      <c r="O34" s="2701"/>
      <c r="P34" s="3712"/>
      <c r="Q34" s="1339">
        <f t="shared" si="11"/>
        <v>111</v>
      </c>
      <c r="R34" s="692" t="s">
        <v>14</v>
      </c>
      <c r="S34" s="693">
        <f t="shared" si="12"/>
        <v>100</v>
      </c>
      <c r="T34" s="692" t="s">
        <v>14</v>
      </c>
      <c r="U34" s="693">
        <f t="shared" si="13"/>
        <v>100</v>
      </c>
      <c r="V34" s="692" t="s">
        <v>14</v>
      </c>
      <c r="W34" s="693">
        <f t="shared" si="14"/>
        <v>100</v>
      </c>
      <c r="X34" s="1342"/>
      <c r="Y34" s="3712"/>
      <c r="Z34" s="1343">
        <f t="shared" si="15"/>
        <v>111</v>
      </c>
      <c r="AA34" s="1340">
        <f t="shared" si="3"/>
        <v>1</v>
      </c>
      <c r="AB34" s="1340">
        <f t="shared" si="4"/>
        <v>1</v>
      </c>
      <c r="AC34" s="1340">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6"/>
      <c r="M35" s="2708"/>
      <c r="N35" s="2708"/>
      <c r="O35" s="2708"/>
      <c r="P35" s="3712"/>
      <c r="Q35" s="694">
        <f t="shared" si="11"/>
        <v>111</v>
      </c>
      <c r="R35" s="695" t="s">
        <v>14</v>
      </c>
      <c r="S35" s="696">
        <f t="shared" si="12"/>
        <v>100</v>
      </c>
      <c r="T35" s="695" t="s">
        <v>14</v>
      </c>
      <c r="U35" s="696">
        <f t="shared" si="13"/>
        <v>100</v>
      </c>
      <c r="V35" s="695" t="s">
        <v>14</v>
      </c>
      <c r="W35" s="696">
        <f t="shared" si="14"/>
        <v>100</v>
      </c>
      <c r="X35" s="697"/>
      <c r="Y35" s="3712"/>
      <c r="Z35" s="698">
        <f t="shared" si="15"/>
        <v>111</v>
      </c>
      <c r="AA35" s="1340">
        <f t="shared" si="3"/>
        <v>1</v>
      </c>
      <c r="AB35" s="1340">
        <f t="shared" si="4"/>
        <v>1</v>
      </c>
      <c r="AC35" s="1340">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7"/>
      <c r="M36" s="2701"/>
      <c r="N36" s="2701"/>
      <c r="O36" s="2701"/>
      <c r="P36" s="3712"/>
      <c r="Q36" s="1339">
        <f t="shared" si="11"/>
        <v>111</v>
      </c>
      <c r="R36" s="692" t="s">
        <v>14</v>
      </c>
      <c r="S36" s="693">
        <f t="shared" si="12"/>
        <v>100</v>
      </c>
      <c r="T36" s="692" t="s">
        <v>14</v>
      </c>
      <c r="U36" s="693">
        <f t="shared" si="13"/>
        <v>100</v>
      </c>
      <c r="V36" s="692" t="s">
        <v>14</v>
      </c>
      <c r="W36" s="693">
        <f t="shared" si="14"/>
        <v>100</v>
      </c>
      <c r="X36" s="1342"/>
      <c r="Y36" s="3712"/>
      <c r="Z36" s="1343">
        <f t="shared" si="15"/>
        <v>111</v>
      </c>
      <c r="AA36" s="1340">
        <f t="shared" si="3"/>
        <v>1</v>
      </c>
      <c r="AB36" s="1340">
        <f t="shared" si="4"/>
        <v>1</v>
      </c>
      <c r="AC36" s="1340">
        <f t="shared" si="5"/>
        <v>1</v>
      </c>
    </row>
    <row r="37" spans="1:29" ht="15">
      <c r="A37" s="420" t="s">
        <v>1843</v>
      </c>
      <c r="B37" s="1960" t="s">
        <v>3349</v>
      </c>
      <c r="C37" s="1141" t="s">
        <v>0</v>
      </c>
      <c r="D37" s="1142"/>
      <c r="E37" s="1143"/>
      <c r="F37" s="1144"/>
      <c r="G37" s="1145"/>
      <c r="H37" s="1146"/>
      <c r="I37" s="1143"/>
      <c r="J37" s="1146"/>
      <c r="K37" s="558"/>
      <c r="L37" s="2709"/>
      <c r="M37" s="2710"/>
      <c r="N37" s="2701"/>
      <c r="O37" s="2710"/>
      <c r="P37" s="3700" t="str">
        <f>A37</f>
        <v>成交单价</v>
      </c>
      <c r="Q37" s="3700"/>
      <c r="R37" s="3701">
        <f>E37</f>
        <v>0</v>
      </c>
      <c r="S37" s="3701"/>
      <c r="T37" s="3701">
        <f>G37</f>
        <v>0</v>
      </c>
      <c r="U37" s="3701"/>
      <c r="V37" s="3701">
        <f>I37</f>
        <v>0</v>
      </c>
      <c r="W37" s="3701"/>
      <c r="X37" s="677"/>
      <c r="Y37" s="699"/>
      <c r="Z37" s="677"/>
      <c r="AA37" s="677"/>
      <c r="AB37" s="677"/>
      <c r="AC37" s="677"/>
    </row>
    <row r="38" spans="1:29" ht="15.75" thickBot="1">
      <c r="A38" s="427" t="s">
        <v>1844</v>
      </c>
      <c r="B38" s="428" t="str">
        <f>B37</f>
        <v>元/平方米</v>
      </c>
      <c r="C38" s="1147" t="e">
        <f>R39</f>
        <v>#DIV/0!</v>
      </c>
      <c r="D38" s="2304" t="s">
        <v>2137</v>
      </c>
      <c r="E38" s="1148" t="e">
        <f>R38</f>
        <v>#DIV/0!</v>
      </c>
      <c r="F38" s="2305"/>
      <c r="G38" s="1147" t="e">
        <f>T38</f>
        <v>#DIV/0!</v>
      </c>
      <c r="H38" s="2305"/>
      <c r="I38" s="1148" t="e">
        <f>V38</f>
        <v>#DIV/0!</v>
      </c>
      <c r="J38" s="2305"/>
      <c r="K38" s="2307">
        <f>F38+H38+J38</f>
        <v>0</v>
      </c>
      <c r="L38" s="2709"/>
      <c r="M38" s="2710"/>
      <c r="N38" s="2710"/>
      <c r="O38" s="2710"/>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77"/>
      <c r="Y38" s="677"/>
      <c r="Z38" s="677"/>
      <c r="AA38" s="677"/>
      <c r="AB38" s="677"/>
      <c r="AC38" s="677"/>
    </row>
    <row r="39" spans="1:29" ht="15.75" thickBot="1">
      <c r="A39" s="431" t="s">
        <v>1845</v>
      </c>
      <c r="B39" s="432"/>
      <c r="C39" s="1150" t="e">
        <f>R39</f>
        <v>#DIV/0!</v>
      </c>
      <c r="D39" s="1150"/>
      <c r="E39" s="1150"/>
      <c r="F39" s="1150"/>
      <c r="G39" s="1150"/>
      <c r="H39" s="1150"/>
      <c r="I39" s="1150"/>
      <c r="J39" s="1150"/>
      <c r="K39" s="559"/>
      <c r="L39" s="2709"/>
      <c r="M39" s="2710"/>
      <c r="N39" s="2710"/>
      <c r="O39" s="2710"/>
      <c r="P39" s="3702" t="str">
        <f>A39</f>
        <v>估价对象XX用房的比较价值（楼面单价，元/平方米）</v>
      </c>
      <c r="Q39" s="3703"/>
      <c r="R39" s="3793" t="e">
        <f>IF(F1="售价",ROUND(IF(D38="简单平均",AVERAGE(R38:W38),R38*F38+T38*H38+V38*J38),0),ROUND(IF(D38="简单平均",AVERAGE(R38:V38),R38*F38+T38*H38+V38*J38),1))</f>
        <v>#DIV/0!</v>
      </c>
      <c r="S39" s="3793"/>
      <c r="T39" s="3793"/>
      <c r="U39" s="3793"/>
      <c r="V39" s="3793"/>
      <c r="W39" s="3793"/>
      <c r="X39" s="677"/>
      <c r="Y39" s="677"/>
      <c r="Z39" s="677"/>
      <c r="AA39" s="677"/>
      <c r="AB39" s="677"/>
      <c r="AC39" s="677"/>
    </row>
    <row r="40" spans="1:29">
      <c r="A40" s="2710"/>
      <c r="B40" s="2710"/>
      <c r="C40" s="2710"/>
      <c r="D40" s="2710"/>
      <c r="E40" s="2710"/>
      <c r="F40" s="2710"/>
      <c r="G40" s="2714"/>
      <c r="H40" s="2710"/>
      <c r="I40" s="2710"/>
      <c r="J40" s="2710"/>
      <c r="K40" s="2715"/>
      <c r="L40" s="2711"/>
      <c r="M40" s="2710"/>
      <c r="N40" s="2710"/>
      <c r="O40" s="2710"/>
      <c r="P40" s="2740"/>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0"/>
      <c r="Q41" s="2710"/>
      <c r="R41" s="2710"/>
      <c r="S41" s="2710"/>
      <c r="T41" s="2710"/>
      <c r="U41" s="2710"/>
      <c r="V41" s="2710"/>
      <c r="W41" s="2710"/>
      <c r="X41" s="2710"/>
      <c r="Y41" s="2710"/>
      <c r="Z41" s="2710"/>
      <c r="AA41" s="2710"/>
      <c r="AB41" s="2710"/>
      <c r="AC41" s="2710"/>
    </row>
    <row r="42" spans="1:29" ht="13.5" customHeight="1">
      <c r="A42" s="2710"/>
      <c r="B42" s="2710"/>
      <c r="C42" s="436" t="s">
        <v>1846</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5"/>
      <c r="L42" s="2711"/>
      <c r="M42" s="2710"/>
      <c r="N42" s="2710"/>
      <c r="O42" s="2710"/>
      <c r="P42" s="2740"/>
      <c r="Q42" s="2710"/>
      <c r="R42" s="2710"/>
      <c r="S42" s="2710"/>
      <c r="T42" s="2710"/>
      <c r="U42" s="2710"/>
      <c r="V42" s="2710"/>
      <c r="W42" s="2710"/>
      <c r="X42" s="2710"/>
      <c r="Y42" s="2710"/>
      <c r="Z42" s="2710"/>
      <c r="AA42" s="2710"/>
      <c r="AB42" s="2710"/>
      <c r="AC42" s="2710"/>
    </row>
    <row r="43" spans="1:29" ht="13.5" customHeight="1">
      <c r="A43" s="2710"/>
      <c r="B43" s="2710"/>
      <c r="C43" s="436" t="s">
        <v>1847</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5"/>
      <c r="L43" s="2711"/>
      <c r="M43" s="2710"/>
      <c r="N43" s="2710"/>
      <c r="O43" s="2710"/>
      <c r="P43" s="2740"/>
      <c r="Q43" s="2710"/>
      <c r="R43" s="2710"/>
      <c r="S43" s="2710"/>
      <c r="T43" s="2710"/>
      <c r="U43" s="2710"/>
      <c r="V43" s="2710"/>
      <c r="W43" s="2710"/>
      <c r="X43" s="2710"/>
      <c r="Y43" s="2710"/>
      <c r="Z43" s="2710"/>
      <c r="AA43" s="2710"/>
      <c r="AB43" s="2710"/>
      <c r="AC43" s="2710"/>
    </row>
    <row r="44" spans="1:29" s="441" customFormat="1" ht="13.5" customHeight="1">
      <c r="A44" s="2713"/>
      <c r="B44" s="2713"/>
      <c r="C44" s="436" t="s">
        <v>1848</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8"/>
      <c r="L44" s="2712"/>
      <c r="M44" s="2713"/>
      <c r="N44" s="2713"/>
      <c r="O44" s="2713"/>
      <c r="P44" s="2741"/>
      <c r="Q44" s="2713"/>
      <c r="R44" s="2713"/>
      <c r="S44" s="2713"/>
      <c r="T44" s="2713"/>
      <c r="U44" s="2713"/>
      <c r="V44" s="2713"/>
      <c r="W44" s="2713"/>
      <c r="X44" s="2713"/>
      <c r="Y44" s="2713"/>
      <c r="Z44" s="2713"/>
      <c r="AA44" s="2713"/>
      <c r="AB44" s="2713"/>
      <c r="AC44" s="2713"/>
    </row>
    <row r="45" spans="1:29" s="441" customFormat="1">
      <c r="A45" s="2713"/>
      <c r="B45" s="2716"/>
      <c r="C45" s="2717"/>
      <c r="D45" s="2713"/>
      <c r="E45" s="2713"/>
      <c r="F45" s="2713"/>
      <c r="G45" s="2713"/>
      <c r="H45" s="2713"/>
      <c r="I45" s="2713"/>
      <c r="J45" s="2713"/>
      <c r="K45" s="2718"/>
      <c r="L45" s="2712"/>
      <c r="M45" s="2713"/>
      <c r="N45" s="2713"/>
      <c r="O45" s="2713"/>
      <c r="P45" s="2741"/>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0"/>
      <c r="Q46" s="2710"/>
      <c r="R46" s="2710"/>
      <c r="S46" s="2710"/>
      <c r="T46" s="2710"/>
      <c r="U46" s="2710"/>
      <c r="V46" s="2710"/>
      <c r="W46" s="2710"/>
      <c r="X46" s="2710"/>
      <c r="Y46" s="2710"/>
      <c r="Z46" s="2710"/>
      <c r="AA46" s="2710"/>
      <c r="AB46" s="2710"/>
      <c r="AC46" s="2710"/>
    </row>
    <row r="47" spans="1:29" ht="21.75" thickBot="1">
      <c r="A47" s="1153" t="s">
        <v>1849</v>
      </c>
      <c r="B47" s="914"/>
      <c r="C47" s="927"/>
      <c r="D47" s="927"/>
      <c r="E47" s="927"/>
      <c r="F47" s="1154"/>
      <c r="G47" s="1154"/>
      <c r="H47" s="927"/>
      <c r="I47" s="927"/>
      <c r="J47" s="927"/>
      <c r="K47" s="928"/>
      <c r="L47" s="929"/>
      <c r="M47" s="927"/>
      <c r="N47" s="2753"/>
      <c r="O47" s="2753"/>
      <c r="P47" s="2742"/>
      <c r="Q47" s="2724"/>
      <c r="R47" s="2710"/>
      <c r="S47" s="2710"/>
      <c r="T47" s="2710"/>
      <c r="U47" s="2710"/>
      <c r="V47" s="2710"/>
      <c r="W47" s="2710"/>
      <c r="X47" s="2710"/>
      <c r="Y47" s="2710"/>
      <c r="Z47" s="2710"/>
      <c r="AA47" s="2710"/>
      <c r="AB47" s="2710"/>
      <c r="AC47" s="2710"/>
    </row>
    <row r="48" spans="1:29" s="447" customFormat="1" ht="15">
      <c r="A48" s="444" t="s">
        <v>1850</v>
      </c>
      <c r="B48" s="445"/>
      <c r="C48" s="1171" t="str">
        <f>YEAR(C7)&amp;"-"&amp;MONTH(C7)</f>
        <v>2024-3</v>
      </c>
      <c r="D48" s="1172">
        <f>EDATE(C48,-1)</f>
        <v>45323</v>
      </c>
      <c r="E48" s="1172">
        <f t="shared" ref="E48:O48" si="16">EDATE(D48,-1)</f>
        <v>45292</v>
      </c>
      <c r="F48" s="1172">
        <f t="shared" si="16"/>
        <v>45261</v>
      </c>
      <c r="G48" s="1172">
        <f t="shared" si="16"/>
        <v>45231</v>
      </c>
      <c r="H48" s="1172">
        <f t="shared" si="16"/>
        <v>45200</v>
      </c>
      <c r="I48" s="1172">
        <f t="shared" si="16"/>
        <v>45170</v>
      </c>
      <c r="J48" s="1172">
        <f t="shared" si="16"/>
        <v>45139</v>
      </c>
      <c r="K48" s="1172">
        <f t="shared" si="16"/>
        <v>45108</v>
      </c>
      <c r="L48" s="1172">
        <f t="shared" si="16"/>
        <v>45078</v>
      </c>
      <c r="M48" s="1172">
        <f t="shared" si="16"/>
        <v>45047</v>
      </c>
      <c r="N48" s="1172">
        <f t="shared" si="16"/>
        <v>45017</v>
      </c>
      <c r="O48" s="1172">
        <f t="shared" si="16"/>
        <v>44986</v>
      </c>
      <c r="P48" s="2743"/>
      <c r="Q48" s="2725"/>
      <c r="R48" s="2725"/>
      <c r="S48" s="2725"/>
      <c r="T48" s="2725"/>
      <c r="U48" s="2725"/>
      <c r="V48" s="2725"/>
      <c r="W48" s="2725"/>
      <c r="X48" s="2725"/>
      <c r="Y48" s="2725"/>
      <c r="Z48" s="2725"/>
      <c r="AA48" s="2725"/>
      <c r="AB48" s="2725"/>
      <c r="AC48" s="2725"/>
    </row>
    <row r="49" spans="1:29" s="105" customFormat="1" ht="15">
      <c r="A49" s="448"/>
      <c r="B49" s="449"/>
      <c r="C49" s="1164">
        <v>100</v>
      </c>
      <c r="D49" s="451"/>
      <c r="E49" s="451"/>
      <c r="F49" s="451"/>
      <c r="G49" s="451"/>
      <c r="H49" s="451"/>
      <c r="I49" s="451"/>
      <c r="J49" s="451"/>
      <c r="K49" s="451"/>
      <c r="L49" s="451"/>
      <c r="M49" s="452"/>
      <c r="N49" s="451"/>
      <c r="O49" s="452"/>
      <c r="P49" s="2744"/>
      <c r="Q49" s="2647"/>
      <c r="R49" s="2647"/>
      <c r="S49" s="2647"/>
      <c r="T49" s="2647"/>
      <c r="U49" s="2647"/>
      <c r="V49" s="2647"/>
      <c r="W49" s="2647"/>
      <c r="X49" s="2647"/>
      <c r="Y49" s="2647"/>
      <c r="Z49" s="2647"/>
      <c r="AA49" s="2647"/>
      <c r="AB49" s="2647"/>
      <c r="AC49" s="2647"/>
    </row>
    <row r="50" spans="1:29" s="105" customFormat="1" ht="15.75" thickBot="1">
      <c r="A50" s="454" t="s">
        <v>1715</v>
      </c>
      <c r="B50" s="455"/>
      <c r="C50" s="456"/>
      <c r="D50" s="457"/>
      <c r="E50" s="457"/>
      <c r="F50" s="457"/>
      <c r="G50" s="457"/>
      <c r="H50" s="457"/>
      <c r="I50" s="457"/>
      <c r="J50" s="457"/>
      <c r="K50" s="457"/>
      <c r="L50" s="457"/>
      <c r="M50" s="458"/>
      <c r="N50" s="457"/>
      <c r="O50" s="458"/>
      <c r="P50" s="2744"/>
      <c r="Q50" s="2724"/>
      <c r="R50" s="2647"/>
      <c r="S50" s="2647"/>
      <c r="T50" s="2647"/>
      <c r="U50" s="2647"/>
      <c r="V50" s="2647"/>
      <c r="W50" s="2647"/>
      <c r="X50" s="2647"/>
      <c r="Y50" s="2647"/>
      <c r="Z50" s="2647"/>
      <c r="AA50" s="2647"/>
      <c r="AB50" s="2647"/>
      <c r="AC50" s="2647"/>
    </row>
    <row r="51" spans="1:29" s="105" customFormat="1" ht="15">
      <c r="A51" s="460" t="s">
        <v>1680</v>
      </c>
      <c r="B51" s="449"/>
      <c r="C51" s="461" t="s">
        <v>1775</v>
      </c>
      <c r="D51" s="462"/>
      <c r="E51" s="462"/>
      <c r="F51" s="462"/>
      <c r="G51" s="462"/>
      <c r="H51" s="462"/>
      <c r="I51" s="462"/>
      <c r="J51" s="462"/>
      <c r="K51" s="462"/>
      <c r="L51" s="463"/>
      <c r="M51" s="464"/>
      <c r="N51" s="2736"/>
      <c r="O51" s="2736"/>
      <c r="P51" s="2745"/>
      <c r="Q51" s="2724"/>
      <c r="R51" s="2647"/>
      <c r="S51" s="2647"/>
      <c r="T51" s="2647"/>
      <c r="U51" s="2647"/>
      <c r="V51" s="2647"/>
      <c r="W51" s="2647"/>
      <c r="X51" s="2647"/>
      <c r="Y51" s="2647"/>
      <c r="Z51" s="2647"/>
      <c r="AA51" s="2647"/>
      <c r="AB51" s="2647"/>
      <c r="AC51" s="2647"/>
    </row>
    <row r="52" spans="1:29" s="105" customFormat="1" ht="15.75" thickBot="1">
      <c r="A52" s="460"/>
      <c r="B52" s="449"/>
      <c r="C52" s="577">
        <v>100</v>
      </c>
      <c r="D52" s="451"/>
      <c r="E52" s="451"/>
      <c r="F52" s="451"/>
      <c r="G52" s="451"/>
      <c r="H52" s="451"/>
      <c r="I52" s="451"/>
      <c r="J52" s="451"/>
      <c r="K52" s="451"/>
      <c r="L52" s="451"/>
      <c r="M52" s="453"/>
      <c r="N52" s="2736"/>
      <c r="O52" s="2736"/>
      <c r="P52" s="2744"/>
      <c r="Q52" s="2724"/>
      <c r="R52" s="2647"/>
      <c r="S52" s="2647"/>
      <c r="T52" s="2647"/>
      <c r="U52" s="2647"/>
      <c r="V52" s="2647"/>
      <c r="W52" s="2647"/>
      <c r="X52" s="2647"/>
      <c r="Y52" s="2647"/>
      <c r="Z52" s="2647"/>
      <c r="AA52" s="2647"/>
      <c r="AB52" s="2647"/>
      <c r="AC52" s="2647"/>
    </row>
    <row r="53" spans="1:29">
      <c r="A53" s="466" t="s">
        <v>1718</v>
      </c>
      <c r="B53" s="467" t="s">
        <v>1684</v>
      </c>
      <c r="C53" s="468">
        <f>C9</f>
        <v>0</v>
      </c>
      <c r="D53" s="469"/>
      <c r="E53" s="469"/>
      <c r="F53" s="469"/>
      <c r="G53" s="469"/>
      <c r="H53" s="469"/>
      <c r="I53" s="469"/>
      <c r="J53" s="469"/>
      <c r="K53" s="470"/>
      <c r="L53" s="471"/>
      <c r="M53" s="472"/>
      <c r="N53" s="2737"/>
      <c r="O53" s="2737"/>
      <c r="P53" s="2746"/>
      <c r="Q53" s="2724"/>
      <c r="R53" s="2710"/>
      <c r="S53" s="2710"/>
      <c r="T53" s="2710"/>
      <c r="U53" s="2710"/>
      <c r="V53" s="2710"/>
      <c r="W53" s="2710"/>
      <c r="X53" s="2710"/>
      <c r="Y53" s="2710"/>
      <c r="Z53" s="2710"/>
      <c r="AA53" s="2710"/>
      <c r="AB53" s="2710"/>
      <c r="AC53" s="2710"/>
    </row>
    <row r="54" spans="1:29" ht="15.75" thickBot="1">
      <c r="A54" s="473"/>
      <c r="B54" s="474"/>
      <c r="C54" s="475">
        <v>100</v>
      </c>
      <c r="D54" s="475"/>
      <c r="E54" s="475"/>
      <c r="F54" s="475"/>
      <c r="G54" s="475"/>
      <c r="H54" s="475"/>
      <c r="I54" s="475"/>
      <c r="J54" s="475"/>
      <c r="K54" s="475"/>
      <c r="L54" s="475"/>
      <c r="M54" s="476"/>
      <c r="N54" s="2738"/>
      <c r="O54" s="2738"/>
      <c r="P54" s="2746"/>
      <c r="Q54" s="2724"/>
      <c r="R54" s="2710"/>
      <c r="S54" s="2710"/>
      <c r="T54" s="2710"/>
      <c r="U54" s="2710"/>
      <c r="V54" s="2710"/>
      <c r="W54" s="2710"/>
      <c r="X54" s="2710"/>
      <c r="Y54" s="2710"/>
      <c r="Z54" s="2710"/>
      <c r="AA54" s="2710"/>
      <c r="AB54" s="2710"/>
      <c r="AC54" s="2710"/>
    </row>
    <row r="55" spans="1:29" ht="27.75" thickTop="1">
      <c r="A55" s="473"/>
      <c r="B55" s="477" t="s">
        <v>1687</v>
      </c>
      <c r="C55" s="522"/>
      <c r="D55" s="522"/>
      <c r="E55" s="522"/>
      <c r="F55" s="522"/>
      <c r="G55" s="522"/>
      <c r="H55" s="522"/>
      <c r="I55" s="522"/>
      <c r="J55" s="522"/>
      <c r="K55" s="523"/>
      <c r="L55" s="524"/>
      <c r="M55" s="525"/>
      <c r="N55" s="2737"/>
      <c r="O55" s="2737"/>
      <c r="P55" s="2746"/>
      <c r="Q55" s="2724"/>
      <c r="R55" s="2710"/>
      <c r="S55" s="2710"/>
      <c r="T55" s="2710"/>
      <c r="U55" s="2710"/>
      <c r="V55" s="2710"/>
      <c r="W55" s="2710"/>
      <c r="X55" s="2710"/>
      <c r="Y55" s="2710"/>
      <c r="Z55" s="2710"/>
      <c r="AA55" s="2710"/>
      <c r="AB55" s="2710"/>
      <c r="AC55" s="2710"/>
    </row>
    <row r="56" spans="1:29" ht="15.75" thickBot="1">
      <c r="A56" s="473"/>
      <c r="B56" s="482"/>
      <c r="C56" s="475"/>
      <c r="D56" s="475"/>
      <c r="E56" s="475"/>
      <c r="F56" s="475"/>
      <c r="G56" s="475"/>
      <c r="H56" s="475"/>
      <c r="I56" s="475"/>
      <c r="J56" s="475"/>
      <c r="K56" s="475"/>
      <c r="L56" s="475"/>
      <c r="M56" s="476"/>
      <c r="N56" s="2738"/>
      <c r="O56" s="2738"/>
      <c r="P56" s="2746"/>
      <c r="Q56" s="2724"/>
      <c r="R56" s="2710"/>
      <c r="S56" s="2710"/>
      <c r="T56" s="2710"/>
      <c r="U56" s="2710"/>
      <c r="V56" s="2710"/>
      <c r="W56" s="2710"/>
      <c r="X56" s="2710"/>
      <c r="Y56" s="2710"/>
      <c r="Z56" s="2710"/>
      <c r="AA56" s="2710"/>
      <c r="AB56" s="2710"/>
      <c r="AC56" s="2710"/>
    </row>
    <row r="57" spans="1:29" ht="15.75" thickTop="1">
      <c r="A57" s="473"/>
      <c r="B57" s="598">
        <f>B11</f>
        <v>111</v>
      </c>
      <c r="C57" s="488"/>
      <c r="D57" s="488"/>
      <c r="E57" s="488"/>
      <c r="F57" s="488"/>
      <c r="G57" s="488"/>
      <c r="H57" s="488"/>
      <c r="I57" s="488"/>
      <c r="J57" s="488"/>
      <c r="K57" s="489"/>
      <c r="L57" s="490"/>
      <c r="M57" s="491"/>
      <c r="N57" s="2737"/>
      <c r="O57" s="2737"/>
      <c r="P57" s="2746"/>
      <c r="Q57" s="2724"/>
      <c r="R57" s="2710"/>
      <c r="S57" s="2710"/>
      <c r="T57" s="2710"/>
      <c r="U57" s="2710"/>
      <c r="V57" s="2710"/>
      <c r="W57" s="2710"/>
      <c r="X57" s="2710"/>
      <c r="Y57" s="2710"/>
      <c r="Z57" s="2710"/>
      <c r="AA57" s="2710"/>
      <c r="AB57" s="2710"/>
      <c r="AC57" s="2710"/>
    </row>
    <row r="58" spans="1:29" ht="15.75" thickBot="1">
      <c r="A58" s="473"/>
      <c r="B58" s="474"/>
      <c r="C58" s="499"/>
      <c r="D58" s="475"/>
      <c r="E58" s="475"/>
      <c r="F58" s="475"/>
      <c r="G58" s="475"/>
      <c r="H58" s="475"/>
      <c r="I58" s="475"/>
      <c r="J58" s="475"/>
      <c r="K58" s="475"/>
      <c r="L58" s="475"/>
      <c r="M58" s="476"/>
      <c r="N58" s="2738"/>
      <c r="O58" s="2738"/>
      <c r="P58" s="2746"/>
      <c r="Q58" s="2724"/>
      <c r="R58" s="2710"/>
      <c r="S58" s="2710"/>
      <c r="T58" s="2710"/>
      <c r="U58" s="2710"/>
      <c r="V58" s="2710"/>
      <c r="W58" s="2710"/>
      <c r="X58" s="2710"/>
      <c r="Y58" s="2710"/>
      <c r="Z58" s="2710"/>
      <c r="AA58" s="2710"/>
      <c r="AB58" s="2710"/>
      <c r="AC58" s="2710"/>
    </row>
    <row r="59" spans="1:29" s="412" customFormat="1" ht="15.75" thickTop="1">
      <c r="A59" s="492"/>
      <c r="B59" s="477">
        <f>B12</f>
        <v>111</v>
      </c>
      <c r="C59" s="488"/>
      <c r="D59" s="488"/>
      <c r="E59" s="488"/>
      <c r="F59" s="488"/>
      <c r="G59" s="493"/>
      <c r="H59" s="494"/>
      <c r="I59" s="494"/>
      <c r="J59" s="494"/>
      <c r="K59" s="494"/>
      <c r="L59" s="495"/>
      <c r="M59" s="496"/>
      <c r="N59" s="2739"/>
      <c r="O59" s="2739"/>
      <c r="P59" s="2747"/>
      <c r="Q59" s="2730"/>
      <c r="R59" s="2731"/>
      <c r="S59" s="2731"/>
      <c r="T59" s="2731"/>
      <c r="U59" s="2731"/>
      <c r="V59" s="2731"/>
      <c r="W59" s="2731"/>
      <c r="X59" s="2731"/>
      <c r="Y59" s="2731"/>
      <c r="Z59" s="2731"/>
      <c r="AA59" s="2731"/>
      <c r="AB59" s="2731"/>
      <c r="AC59" s="2731"/>
    </row>
    <row r="60" spans="1:29" s="412" customFormat="1" ht="15.75" thickBot="1">
      <c r="A60" s="492"/>
      <c r="B60" s="482"/>
      <c r="C60" s="499"/>
      <c r="D60" s="475"/>
      <c r="E60" s="475"/>
      <c r="F60" s="475"/>
      <c r="G60" s="475"/>
      <c r="H60" s="475"/>
      <c r="I60" s="475"/>
      <c r="J60" s="475"/>
      <c r="K60" s="475"/>
      <c r="L60" s="475"/>
      <c r="M60" s="476"/>
      <c r="N60" s="2738"/>
      <c r="O60" s="2738"/>
      <c r="P60" s="2747"/>
      <c r="Q60" s="2730"/>
      <c r="R60" s="2731"/>
      <c r="S60" s="2731"/>
      <c r="T60" s="2731"/>
      <c r="U60" s="2731"/>
      <c r="V60" s="2731"/>
      <c r="W60" s="2731"/>
      <c r="X60" s="2731"/>
      <c r="Y60" s="2731"/>
      <c r="Z60" s="2731"/>
      <c r="AA60" s="2731"/>
      <c r="AB60" s="2731"/>
      <c r="AC60" s="2731"/>
    </row>
    <row r="61" spans="1:29" s="412" customFormat="1" ht="15.75" thickTop="1">
      <c r="A61" s="492"/>
      <c r="B61" s="477">
        <f>B13</f>
        <v>111</v>
      </c>
      <c r="C61" s="493"/>
      <c r="D61" s="493"/>
      <c r="E61" s="493"/>
      <c r="F61" s="493"/>
      <c r="G61" s="493"/>
      <c r="H61" s="494"/>
      <c r="I61" s="494"/>
      <c r="J61" s="494"/>
      <c r="K61" s="494"/>
      <c r="L61" s="495"/>
      <c r="M61" s="496"/>
      <c r="N61" s="2739"/>
      <c r="O61" s="2739"/>
      <c r="P61" s="2748"/>
      <c r="Q61" s="2733"/>
      <c r="R61" s="2731"/>
      <c r="S61" s="2731"/>
      <c r="T61" s="2731"/>
      <c r="U61" s="2731"/>
      <c r="V61" s="2731"/>
      <c r="W61" s="2731"/>
      <c r="X61" s="2731"/>
      <c r="Y61" s="2731"/>
      <c r="Z61" s="2731"/>
      <c r="AA61" s="2731"/>
      <c r="AB61" s="2731"/>
      <c r="AC61" s="2731"/>
    </row>
    <row r="62" spans="1:29" s="412" customFormat="1" ht="15.75" thickBot="1">
      <c r="A62" s="492"/>
      <c r="B62" s="482"/>
      <c r="C62" s="499"/>
      <c r="D62" s="499"/>
      <c r="E62" s="499"/>
      <c r="F62" s="499"/>
      <c r="G62" s="499"/>
      <c r="H62" s="501"/>
      <c r="I62" s="501"/>
      <c r="J62" s="501"/>
      <c r="K62" s="501"/>
      <c r="L62" s="501"/>
      <c r="M62" s="502"/>
      <c r="N62" s="2739"/>
      <c r="O62" s="2739"/>
      <c r="P62" s="2747"/>
      <c r="Q62" s="2730"/>
      <c r="R62" s="2731"/>
      <c r="S62" s="2731"/>
      <c r="T62" s="2731"/>
      <c r="U62" s="2731"/>
      <c r="V62" s="2731"/>
      <c r="W62" s="2731"/>
      <c r="X62" s="2731"/>
      <c r="Y62" s="2731"/>
      <c r="Z62" s="2731"/>
      <c r="AA62" s="2731"/>
      <c r="AB62" s="2731"/>
      <c r="AC62" s="2731"/>
    </row>
    <row r="63" spans="1:29" ht="15" thickTop="1">
      <c r="A63" s="466" t="s">
        <v>1689</v>
      </c>
      <c r="B63" s="467" t="s">
        <v>1725</v>
      </c>
      <c r="C63" s="512" t="s">
        <v>1720</v>
      </c>
      <c r="D63" s="512" t="s">
        <v>1721</v>
      </c>
      <c r="E63" s="512" t="s">
        <v>1722</v>
      </c>
      <c r="F63" s="512" t="s">
        <v>1723</v>
      </c>
      <c r="G63" s="512" t="s">
        <v>1724</v>
      </c>
      <c r="H63" s="468"/>
      <c r="I63" s="468"/>
      <c r="J63" s="468"/>
      <c r="K63" s="513"/>
      <c r="L63" s="514"/>
      <c r="M63" s="515"/>
      <c r="N63" s="2737"/>
      <c r="O63" s="2737"/>
      <c r="P63" s="2750"/>
      <c r="Q63" s="2724"/>
      <c r="R63" s="2710"/>
      <c r="S63" s="2710"/>
      <c r="T63" s="2710"/>
      <c r="U63" s="2710"/>
      <c r="V63" s="2710"/>
      <c r="W63" s="2710"/>
      <c r="X63" s="2710"/>
      <c r="Y63" s="2710"/>
      <c r="Z63" s="2710"/>
      <c r="AA63" s="2710"/>
      <c r="AB63" s="2710"/>
      <c r="AC63" s="2710"/>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8"/>
      <c r="O64" s="2738"/>
      <c r="P64" s="2746"/>
      <c r="Q64" s="2724"/>
      <c r="R64" s="2710"/>
      <c r="S64" s="2710"/>
      <c r="T64" s="2710"/>
      <c r="U64" s="2710"/>
      <c r="V64" s="2710"/>
      <c r="W64" s="2710"/>
      <c r="X64" s="2710"/>
      <c r="Y64" s="2710"/>
      <c r="Z64" s="2710"/>
      <c r="AA64" s="2710"/>
      <c r="AB64" s="2710"/>
      <c r="AC64" s="2710"/>
    </row>
    <row r="65" spans="1:29" ht="15.75" thickTop="1">
      <c r="A65" s="473"/>
      <c r="B65" s="477" t="s">
        <v>1726</v>
      </c>
      <c r="C65" s="517" t="s">
        <v>1720</v>
      </c>
      <c r="D65" s="517" t="s">
        <v>1721</v>
      </c>
      <c r="E65" s="517" t="s">
        <v>1722</v>
      </c>
      <c r="F65" s="517" t="s">
        <v>1723</v>
      </c>
      <c r="G65" s="517" t="s">
        <v>1724</v>
      </c>
      <c r="H65" s="478"/>
      <c r="I65" s="478"/>
      <c r="J65" s="478"/>
      <c r="K65" s="479"/>
      <c r="L65" s="480"/>
      <c r="M65" s="481"/>
      <c r="N65" s="2737"/>
      <c r="O65" s="2737"/>
      <c r="P65" s="2746"/>
      <c r="Q65" s="2724"/>
      <c r="R65" s="2710"/>
      <c r="S65" s="2710"/>
      <c r="T65" s="2710"/>
      <c r="U65" s="2710"/>
      <c r="V65" s="2710"/>
      <c r="W65" s="2710"/>
      <c r="X65" s="2710"/>
      <c r="Y65" s="2710"/>
      <c r="Z65" s="2710"/>
      <c r="AA65" s="2710"/>
      <c r="AB65" s="2710"/>
      <c r="AC65" s="2710"/>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8"/>
      <c r="O66" s="2738"/>
      <c r="P66" s="2746"/>
      <c r="Q66" s="2724"/>
      <c r="R66" s="2710"/>
      <c r="S66" s="2710"/>
      <c r="T66" s="2710"/>
      <c r="U66" s="2710"/>
      <c r="V66" s="2710"/>
      <c r="W66" s="2710"/>
      <c r="X66" s="2710"/>
      <c r="Y66" s="2710"/>
      <c r="Z66" s="2710"/>
      <c r="AA66" s="2710"/>
      <c r="AB66" s="2710"/>
      <c r="AC66" s="2710"/>
    </row>
    <row r="67" spans="1:29" ht="15.75" thickTop="1">
      <c r="A67" s="473"/>
      <c r="B67" s="485" t="s">
        <v>1812</v>
      </c>
      <c r="C67" s="598" t="s">
        <v>1798</v>
      </c>
      <c r="D67" s="598" t="s">
        <v>1799</v>
      </c>
      <c r="E67" s="598" t="s">
        <v>1800</v>
      </c>
      <c r="F67" s="598" t="s">
        <v>1801</v>
      </c>
      <c r="G67" s="598" t="s">
        <v>1802</v>
      </c>
      <c r="H67" s="478"/>
      <c r="I67" s="478"/>
      <c r="J67" s="478"/>
      <c r="K67" s="478"/>
      <c r="L67" s="478"/>
      <c r="M67" s="1116"/>
      <c r="N67" s="2738"/>
      <c r="O67" s="2738"/>
      <c r="P67" s="2746"/>
      <c r="Q67" s="2724"/>
      <c r="R67" s="2710"/>
      <c r="S67" s="2710"/>
      <c r="T67" s="2710"/>
      <c r="U67" s="2710"/>
      <c r="V67" s="2710"/>
      <c r="W67" s="2710"/>
      <c r="X67" s="2710"/>
      <c r="Y67" s="2710"/>
      <c r="Z67" s="2710"/>
      <c r="AA67" s="2710"/>
      <c r="AB67" s="2710"/>
      <c r="AC67" s="2710"/>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8"/>
      <c r="O68" s="2738"/>
      <c r="P68" s="2746"/>
      <c r="Q68" s="2724"/>
      <c r="R68" s="2710"/>
      <c r="S68" s="2710"/>
      <c r="T68" s="2710"/>
      <c r="U68" s="2710"/>
      <c r="V68" s="2710"/>
      <c r="W68" s="2710"/>
      <c r="X68" s="2710"/>
      <c r="Y68" s="2710"/>
      <c r="Z68" s="2710"/>
      <c r="AA68" s="2710"/>
      <c r="AB68" s="2710"/>
      <c r="AC68" s="2710"/>
    </row>
    <row r="69" spans="1:29" ht="15.75" thickTop="1">
      <c r="A69" s="473"/>
      <c r="B69" s="477" t="s">
        <v>1732</v>
      </c>
      <c r="C69" s="517" t="s">
        <v>1720</v>
      </c>
      <c r="D69" s="517" t="s">
        <v>1721</v>
      </c>
      <c r="E69" s="517" t="s">
        <v>1722</v>
      </c>
      <c r="F69" s="517" t="s">
        <v>1723</v>
      </c>
      <c r="G69" s="517" t="s">
        <v>1724</v>
      </c>
      <c r="H69" s="478"/>
      <c r="I69" s="478"/>
      <c r="J69" s="478"/>
      <c r="K69" s="479"/>
      <c r="L69" s="480"/>
      <c r="M69" s="481"/>
      <c r="N69" s="2737"/>
      <c r="O69" s="2737"/>
      <c r="P69" s="2746"/>
      <c r="Q69" s="2724"/>
      <c r="R69" s="2710"/>
      <c r="S69" s="2710"/>
      <c r="T69" s="2710"/>
      <c r="U69" s="2710"/>
      <c r="V69" s="2710"/>
      <c r="W69" s="2710"/>
      <c r="X69" s="2710"/>
      <c r="Y69" s="2710"/>
      <c r="Z69" s="2710"/>
      <c r="AA69" s="2710"/>
      <c r="AB69" s="2710"/>
      <c r="AC69" s="2710"/>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8"/>
      <c r="O70" s="2738"/>
      <c r="P70" s="2746"/>
      <c r="Q70" s="2724"/>
      <c r="R70" s="2710"/>
      <c r="S70" s="2710"/>
      <c r="T70" s="2710"/>
      <c r="U70" s="2710"/>
      <c r="V70" s="2710"/>
      <c r="W70" s="2710"/>
      <c r="X70" s="2710"/>
      <c r="Y70" s="2710"/>
      <c r="Z70" s="2710"/>
      <c r="AA70" s="2710"/>
      <c r="AB70" s="2710"/>
      <c r="AC70" s="2710"/>
    </row>
    <row r="71" spans="1:29" ht="15.75" thickTop="1">
      <c r="A71" s="473"/>
      <c r="B71" s="477" t="s">
        <v>1851</v>
      </c>
      <c r="C71" s="493"/>
      <c r="D71" s="493"/>
      <c r="E71" s="493"/>
      <c r="F71" s="493"/>
      <c r="G71" s="493"/>
      <c r="H71" s="522"/>
      <c r="I71" s="522"/>
      <c r="J71" s="522"/>
      <c r="K71" s="523"/>
      <c r="L71" s="524"/>
      <c r="M71" s="525"/>
      <c r="N71" s="2737"/>
      <c r="O71" s="2737"/>
      <c r="P71" s="2746"/>
      <c r="Q71" s="2724"/>
      <c r="R71" s="2710"/>
      <c r="S71" s="2710"/>
      <c r="T71" s="2710"/>
      <c r="U71" s="2710"/>
      <c r="V71" s="2710"/>
      <c r="W71" s="2710"/>
      <c r="X71" s="2710"/>
      <c r="Y71" s="2710"/>
      <c r="Z71" s="2710"/>
      <c r="AA71" s="2710"/>
      <c r="AB71" s="2710"/>
      <c r="AC71" s="2710"/>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8"/>
      <c r="O72" s="2738"/>
      <c r="P72" s="2746"/>
      <c r="Q72" s="2724"/>
      <c r="R72" s="2710"/>
      <c r="S72" s="2710"/>
      <c r="T72" s="2710"/>
      <c r="U72" s="2710"/>
      <c r="V72" s="2710"/>
      <c r="W72" s="2710"/>
      <c r="X72" s="2710"/>
      <c r="Y72" s="2710"/>
      <c r="Z72" s="2710"/>
      <c r="AA72" s="2710"/>
      <c r="AB72" s="2710"/>
      <c r="AC72" s="2710"/>
    </row>
    <row r="73" spans="1:29" s="105" customFormat="1" ht="15.75" thickTop="1">
      <c r="A73" s="518"/>
      <c r="B73" s="477">
        <f>B23</f>
        <v>111</v>
      </c>
      <c r="C73" s="488"/>
      <c r="D73" s="488"/>
      <c r="E73" s="488"/>
      <c r="F73" s="488"/>
      <c r="G73" s="493"/>
      <c r="H73" s="493"/>
      <c r="I73" s="493"/>
      <c r="J73" s="493"/>
      <c r="K73" s="493"/>
      <c r="L73" s="519"/>
      <c r="M73" s="520"/>
      <c r="N73" s="2736"/>
      <c r="O73" s="2736"/>
      <c r="P73" s="2746"/>
      <c r="Q73" s="2724"/>
      <c r="R73" s="2647"/>
      <c r="S73" s="2647"/>
      <c r="T73" s="2647"/>
      <c r="U73" s="2647"/>
      <c r="V73" s="2647"/>
      <c r="W73" s="2647"/>
      <c r="X73" s="2647"/>
      <c r="Y73" s="2647"/>
      <c r="Z73" s="2647"/>
      <c r="AA73" s="2647"/>
      <c r="AB73" s="2647"/>
      <c r="AC73" s="2647"/>
    </row>
    <row r="74" spans="1:29" s="105" customFormat="1" ht="15.75" thickBot="1">
      <c r="A74" s="518"/>
      <c r="B74" s="482"/>
      <c r="C74" s="499"/>
      <c r="D74" s="475"/>
      <c r="E74" s="475"/>
      <c r="F74" s="475"/>
      <c r="G74" s="475"/>
      <c r="H74" s="475"/>
      <c r="I74" s="475"/>
      <c r="J74" s="475"/>
      <c r="K74" s="475"/>
      <c r="L74" s="475"/>
      <c r="M74" s="476"/>
      <c r="N74" s="2738"/>
      <c r="O74" s="2738"/>
      <c r="P74" s="2746"/>
      <c r="Q74" s="2724"/>
      <c r="R74" s="2647"/>
      <c r="S74" s="2647"/>
      <c r="T74" s="2647"/>
      <c r="U74" s="2647"/>
      <c r="V74" s="2647"/>
      <c r="W74" s="2647"/>
      <c r="X74" s="2647"/>
      <c r="Y74" s="2647"/>
      <c r="Z74" s="2647"/>
      <c r="AA74" s="2647"/>
      <c r="AB74" s="2647"/>
      <c r="AC74" s="2647"/>
    </row>
    <row r="75" spans="1:29" s="105" customFormat="1" ht="15.75" thickTop="1">
      <c r="A75" s="518"/>
      <c r="B75" s="477">
        <f>B24</f>
        <v>111</v>
      </c>
      <c r="C75" s="488"/>
      <c r="D75" s="488"/>
      <c r="E75" s="488"/>
      <c r="F75" s="488"/>
      <c r="G75" s="493"/>
      <c r="H75" s="493"/>
      <c r="I75" s="493"/>
      <c r="J75" s="493"/>
      <c r="K75" s="493"/>
      <c r="L75" s="493"/>
      <c r="M75" s="520"/>
      <c r="N75" s="2736"/>
      <c r="O75" s="2736"/>
      <c r="P75" s="2746"/>
      <c r="Q75" s="2724"/>
      <c r="R75" s="2647"/>
      <c r="S75" s="2647"/>
      <c r="T75" s="2647"/>
      <c r="U75" s="2647"/>
      <c r="V75" s="2647"/>
      <c r="W75" s="2647"/>
      <c r="X75" s="2647"/>
      <c r="Y75" s="2647"/>
      <c r="Z75" s="2647"/>
      <c r="AA75" s="2647"/>
      <c r="AB75" s="2647"/>
      <c r="AC75" s="2647"/>
    </row>
    <row r="76" spans="1:29" s="105" customFormat="1" ht="15.75" thickBot="1">
      <c r="A76" s="518"/>
      <c r="B76" s="482"/>
      <c r="C76" s="499"/>
      <c r="D76" s="475"/>
      <c r="E76" s="475"/>
      <c r="F76" s="475"/>
      <c r="G76" s="475"/>
      <c r="H76" s="475"/>
      <c r="I76" s="475"/>
      <c r="J76" s="475"/>
      <c r="K76" s="475"/>
      <c r="L76" s="475"/>
      <c r="M76" s="476"/>
      <c r="N76" s="2738"/>
      <c r="O76" s="2738"/>
      <c r="P76" s="2746"/>
      <c r="Q76" s="2724"/>
      <c r="R76" s="2647"/>
      <c r="S76" s="2647"/>
      <c r="T76" s="2647"/>
      <c r="U76" s="2647"/>
      <c r="V76" s="2647"/>
      <c r="W76" s="2647"/>
      <c r="X76" s="2647"/>
      <c r="Y76" s="2647"/>
      <c r="Z76" s="2647"/>
      <c r="AA76" s="2647"/>
      <c r="AB76" s="2647"/>
      <c r="AC76" s="2647"/>
    </row>
    <row r="77" spans="1:29" s="412" customFormat="1" ht="15.75" thickTop="1">
      <c r="A77" s="492"/>
      <c r="B77" s="477">
        <f>B25</f>
        <v>111</v>
      </c>
      <c r="C77" s="493"/>
      <c r="D77" s="493"/>
      <c r="E77" s="493"/>
      <c r="F77" s="493"/>
      <c r="G77" s="493"/>
      <c r="H77" s="494"/>
      <c r="I77" s="494"/>
      <c r="J77" s="494"/>
      <c r="K77" s="494"/>
      <c r="L77" s="495"/>
      <c r="M77" s="496"/>
      <c r="N77" s="2739"/>
      <c r="O77" s="2739"/>
      <c r="P77" s="2747"/>
      <c r="Q77" s="2730"/>
      <c r="R77" s="2731"/>
      <c r="S77" s="2731"/>
      <c r="T77" s="2731"/>
      <c r="U77" s="2731"/>
      <c r="V77" s="2731"/>
      <c r="W77" s="2731"/>
      <c r="X77" s="2731"/>
      <c r="Y77" s="2731"/>
      <c r="Z77" s="2731"/>
      <c r="AA77" s="2731"/>
      <c r="AB77" s="2731"/>
      <c r="AC77" s="2731"/>
    </row>
    <row r="78" spans="1:29" s="412" customFormat="1" ht="15.75" thickBot="1">
      <c r="A78" s="492"/>
      <c r="B78" s="482"/>
      <c r="C78" s="499"/>
      <c r="D78" s="499"/>
      <c r="E78" s="499"/>
      <c r="F78" s="499"/>
      <c r="G78" s="475"/>
      <c r="H78" s="475"/>
      <c r="I78" s="475"/>
      <c r="J78" s="475"/>
      <c r="K78" s="475"/>
      <c r="L78" s="475"/>
      <c r="M78" s="476"/>
      <c r="N78" s="2739"/>
      <c r="O78" s="2739"/>
      <c r="P78" s="2747"/>
      <c r="Q78" s="2730"/>
      <c r="R78" s="2731"/>
      <c r="S78" s="2731"/>
      <c r="T78" s="2731"/>
      <c r="U78" s="2731"/>
      <c r="V78" s="2731"/>
      <c r="W78" s="2731"/>
      <c r="X78" s="2731"/>
      <c r="Y78" s="2731"/>
      <c r="Z78" s="2731"/>
      <c r="AA78" s="2731"/>
      <c r="AB78" s="2731"/>
      <c r="AC78" s="2731"/>
    </row>
    <row r="79" spans="1:29" ht="27.75" thickTop="1">
      <c r="A79" s="466" t="s">
        <v>1693</v>
      </c>
      <c r="B79" s="467" t="s">
        <v>1852</v>
      </c>
      <c r="C79" s="468" t="str">
        <f>C26</f>
        <v>车库</v>
      </c>
      <c r="D79" s="469"/>
      <c r="E79" s="469"/>
      <c r="F79" s="469"/>
      <c r="G79" s="469"/>
      <c r="H79" s="469"/>
      <c r="I79" s="469"/>
      <c r="J79" s="469"/>
      <c r="K79" s="470"/>
      <c r="L79" s="471"/>
      <c r="M79" s="472"/>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8"/>
      <c r="O80" s="2738"/>
      <c r="P80" s="2746"/>
      <c r="Q80" s="2724"/>
      <c r="R80" s="2710"/>
      <c r="S80" s="2710"/>
      <c r="T80" s="2710"/>
      <c r="U80" s="2710"/>
      <c r="V80" s="2710"/>
      <c r="W80" s="2710"/>
      <c r="X80" s="2710"/>
      <c r="Y80" s="2710"/>
      <c r="Z80" s="2710"/>
      <c r="AA80" s="2710"/>
      <c r="AB80" s="2710"/>
      <c r="AC80" s="2710"/>
    </row>
    <row r="81" spans="1:29" ht="15.75" thickTop="1">
      <c r="A81" s="473"/>
      <c r="B81" s="477" t="s">
        <v>1853</v>
      </c>
      <c r="C81" s="599"/>
      <c r="D81" s="599"/>
      <c r="E81" s="599"/>
      <c r="F81" s="599"/>
      <c r="G81" s="599"/>
      <c r="H81" s="599"/>
      <c r="I81" s="599"/>
      <c r="J81" s="599"/>
      <c r="K81" s="600"/>
      <c r="L81" s="601"/>
      <c r="M81" s="602"/>
      <c r="N81" s="2736"/>
      <c r="O81" s="2736"/>
      <c r="P81" s="2746"/>
      <c r="Q81" s="2724"/>
      <c r="R81" s="2710"/>
      <c r="S81" s="2710"/>
      <c r="T81" s="2710"/>
      <c r="U81" s="2710"/>
      <c r="V81" s="2710"/>
      <c r="W81" s="2710"/>
      <c r="X81" s="2710"/>
      <c r="Y81" s="2710"/>
      <c r="Z81" s="2710"/>
      <c r="AA81" s="2710"/>
      <c r="AB81" s="2710"/>
      <c r="AC81" s="2710"/>
    </row>
    <row r="82" spans="1:29" s="412" customFormat="1" ht="15.75" thickBot="1">
      <c r="A82" s="492"/>
      <c r="B82" s="482"/>
      <c r="C82" s="499"/>
      <c r="D82" s="475"/>
      <c r="E82" s="475"/>
      <c r="F82" s="475"/>
      <c r="G82" s="475"/>
      <c r="H82" s="475"/>
      <c r="I82" s="475"/>
      <c r="J82" s="475"/>
      <c r="K82" s="475"/>
      <c r="L82" s="475"/>
      <c r="M82" s="476"/>
      <c r="N82" s="2738"/>
      <c r="O82" s="2738"/>
      <c r="P82" s="2747"/>
      <c r="Q82" s="2730"/>
      <c r="R82" s="2731"/>
      <c r="S82" s="2731"/>
      <c r="T82" s="2731"/>
      <c r="U82" s="2731"/>
      <c r="V82" s="2731"/>
      <c r="W82" s="2731"/>
      <c r="X82" s="2731"/>
      <c r="Y82" s="2731"/>
      <c r="Z82" s="2731"/>
      <c r="AA82" s="2731"/>
      <c r="AB82" s="2731"/>
      <c r="AC82" s="2731"/>
    </row>
    <row r="83" spans="1:29" ht="15" thickTop="1">
      <c r="A83" s="538"/>
      <c r="B83" s="477" t="s">
        <v>1739</v>
      </c>
      <c r="C83" s="493"/>
      <c r="D83" s="493"/>
      <c r="E83" s="522"/>
      <c r="F83" s="522"/>
      <c r="G83" s="522"/>
      <c r="H83" s="522"/>
      <c r="I83" s="522"/>
      <c r="J83" s="522"/>
      <c r="K83" s="523"/>
      <c r="L83" s="524"/>
      <c r="M83" s="525"/>
      <c r="N83" s="2737"/>
      <c r="O83" s="2737"/>
      <c r="P83" s="2746"/>
      <c r="Q83" s="2724"/>
      <c r="R83" s="2710"/>
      <c r="S83" s="2710"/>
      <c r="T83" s="2710"/>
      <c r="U83" s="2710"/>
      <c r="V83" s="2710"/>
      <c r="W83" s="2710"/>
      <c r="X83" s="2710"/>
      <c r="Y83" s="2710"/>
      <c r="Z83" s="2710"/>
      <c r="AA83" s="2710"/>
      <c r="AB83" s="2710"/>
      <c r="AC83" s="2710"/>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8"/>
      <c r="O84" s="2738"/>
      <c r="P84" s="2746"/>
      <c r="Q84" s="2724"/>
      <c r="R84" s="2710"/>
      <c r="S84" s="2710"/>
      <c r="T84" s="2710"/>
      <c r="U84" s="2710"/>
      <c r="V84" s="2710"/>
      <c r="W84" s="2710"/>
      <c r="X84" s="2710"/>
      <c r="Y84" s="2710"/>
      <c r="Z84" s="2710"/>
      <c r="AA84" s="2710"/>
      <c r="AB84" s="2710"/>
      <c r="AC84" s="2710"/>
    </row>
    <row r="85" spans="1:29" ht="15" thickTop="1">
      <c r="A85" s="538"/>
      <c r="B85" s="477" t="s">
        <v>1854</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7"/>
      <c r="O85" s="2737"/>
      <c r="P85" s="2746"/>
      <c r="Q85" s="2724"/>
      <c r="R85" s="2710"/>
      <c r="S85" s="2710"/>
      <c r="T85" s="2710"/>
      <c r="U85" s="2710"/>
      <c r="V85" s="2710"/>
      <c r="W85" s="2710"/>
      <c r="X85" s="2710"/>
      <c r="Y85" s="2710"/>
      <c r="Z85" s="2710"/>
      <c r="AA85" s="2710"/>
      <c r="AB85" s="2710"/>
      <c r="AC85" s="2710"/>
    </row>
    <row r="86" spans="1:29">
      <c r="A86" s="538"/>
      <c r="B86" s="485"/>
      <c r="C86" s="542">
        <v>0.5</v>
      </c>
      <c r="D86" s="542">
        <v>0.6</v>
      </c>
      <c r="E86" s="542">
        <v>0.7</v>
      </c>
      <c r="F86" s="542">
        <v>0.8</v>
      </c>
      <c r="G86" s="542">
        <v>0.9</v>
      </c>
      <c r="H86" s="542">
        <v>1.0001</v>
      </c>
      <c r="I86" s="561"/>
      <c r="J86" s="561"/>
      <c r="K86" s="562"/>
      <c r="L86" s="563"/>
      <c r="M86" s="564"/>
      <c r="N86" s="2737"/>
      <c r="O86" s="2737"/>
      <c r="P86" s="2746"/>
      <c r="Q86" s="2724"/>
      <c r="R86" s="2710"/>
      <c r="S86" s="2710"/>
      <c r="T86" s="2710"/>
      <c r="U86" s="2710"/>
      <c r="V86" s="2710"/>
      <c r="W86" s="2710"/>
      <c r="X86" s="2710"/>
      <c r="Y86" s="2710"/>
      <c r="Z86" s="2710"/>
      <c r="AA86" s="2710"/>
      <c r="AB86" s="2710"/>
      <c r="AC86" s="2710"/>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8"/>
      <c r="O87" s="2738"/>
      <c r="P87" s="2746"/>
      <c r="Q87" s="2724"/>
      <c r="R87" s="2710"/>
      <c r="S87" s="2710"/>
      <c r="T87" s="2710"/>
      <c r="U87" s="2710"/>
      <c r="V87" s="2710"/>
      <c r="W87" s="2710"/>
      <c r="X87" s="2710"/>
      <c r="Y87" s="2710"/>
      <c r="Z87" s="2710"/>
      <c r="AA87" s="2710"/>
      <c r="AB87" s="2710"/>
      <c r="AC87" s="2710"/>
    </row>
    <row r="88" spans="1:29" ht="15" thickTop="1">
      <c r="A88" s="538"/>
      <c r="B88" s="485" t="s">
        <v>1855</v>
      </c>
      <c r="C88" s="469"/>
      <c r="D88" s="469"/>
      <c r="E88" s="469"/>
      <c r="F88" s="469"/>
      <c r="G88" s="469"/>
      <c r="H88" s="469"/>
      <c r="I88" s="469"/>
      <c r="J88" s="469"/>
      <c r="K88" s="470"/>
      <c r="L88" s="471"/>
      <c r="M88" s="472"/>
      <c r="N88" s="2737"/>
      <c r="O88" s="2737"/>
      <c r="P88" s="2746"/>
      <c r="Q88" s="2724"/>
      <c r="R88" s="2710"/>
      <c r="S88" s="2710"/>
      <c r="T88" s="2710"/>
      <c r="U88" s="2710"/>
      <c r="V88" s="2710"/>
      <c r="W88" s="2710"/>
      <c r="X88" s="2710"/>
      <c r="Y88" s="2710"/>
      <c r="Z88" s="2710"/>
      <c r="AA88" s="2710"/>
      <c r="AB88" s="2710"/>
      <c r="AC88" s="2710"/>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8"/>
      <c r="O89" s="2738"/>
      <c r="P89" s="2746"/>
      <c r="Q89" s="2724"/>
      <c r="R89" s="2710"/>
      <c r="S89" s="2710"/>
      <c r="T89" s="2710"/>
      <c r="U89" s="2710"/>
      <c r="V89" s="2710"/>
      <c r="W89" s="2710"/>
      <c r="X89" s="2710"/>
      <c r="Y89" s="2710"/>
      <c r="Z89" s="2710"/>
      <c r="AA89" s="2710"/>
      <c r="AB89" s="2710"/>
      <c r="AC89" s="2710"/>
    </row>
    <row r="90" spans="1:29" s="412" customFormat="1" ht="15" thickTop="1">
      <c r="A90" s="532"/>
      <c r="B90" s="477" t="s">
        <v>1856</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9"/>
      <c r="O90" s="2739"/>
      <c r="P90" s="2747"/>
      <c r="Q90" s="2730"/>
      <c r="R90" s="2731"/>
      <c r="S90" s="2731"/>
      <c r="T90" s="2731"/>
      <c r="U90" s="2731"/>
      <c r="V90" s="2731"/>
      <c r="W90" s="2731"/>
      <c r="X90" s="2731"/>
      <c r="Y90" s="2731"/>
      <c r="Z90" s="2731"/>
      <c r="AA90" s="2731"/>
      <c r="AB90" s="2731"/>
      <c r="AC90" s="2731"/>
    </row>
    <row r="91" spans="1:29" s="412" customFormat="1">
      <c r="A91" s="532"/>
      <c r="B91" s="485"/>
      <c r="C91" s="534"/>
      <c r="D91" s="534"/>
      <c r="E91" s="534"/>
      <c r="F91" s="534"/>
      <c r="G91" s="534"/>
      <c r="H91" s="534"/>
      <c r="I91" s="534"/>
      <c r="J91" s="535"/>
      <c r="K91" s="535"/>
      <c r="L91" s="536"/>
      <c r="M91" s="537"/>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499"/>
      <c r="D92" s="475"/>
      <c r="E92" s="475"/>
      <c r="F92" s="475"/>
      <c r="G92" s="475"/>
      <c r="H92" s="475"/>
      <c r="I92" s="475"/>
      <c r="J92" s="475"/>
      <c r="K92" s="475"/>
      <c r="L92" s="475"/>
      <c r="M92" s="476"/>
      <c r="N92" s="2739"/>
      <c r="O92" s="2739"/>
      <c r="P92" s="2747"/>
      <c r="Q92" s="2730"/>
      <c r="R92" s="2731"/>
      <c r="S92" s="2731"/>
      <c r="T92" s="2731"/>
      <c r="U92" s="2731"/>
      <c r="V92" s="2731"/>
      <c r="W92" s="2731"/>
      <c r="X92" s="2731"/>
      <c r="Y92" s="2731"/>
      <c r="Z92" s="2731"/>
      <c r="AA92" s="2731"/>
      <c r="AB92" s="2731"/>
      <c r="AC92" s="2731"/>
    </row>
    <row r="93" spans="1:29" ht="15" thickTop="1">
      <c r="A93" s="538"/>
      <c r="B93" s="477" t="s">
        <v>1857</v>
      </c>
      <c r="C93" s="493"/>
      <c r="D93" s="493"/>
      <c r="E93" s="522"/>
      <c r="F93" s="522"/>
      <c r="G93" s="522"/>
      <c r="H93" s="522"/>
      <c r="I93" s="522"/>
      <c r="J93" s="522"/>
      <c r="K93" s="523"/>
      <c r="L93" s="524"/>
      <c r="M93" s="525"/>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8"/>
      <c r="O94" s="2738"/>
      <c r="P94" s="2746"/>
      <c r="Q94" s="2724"/>
      <c r="R94" s="2710"/>
      <c r="S94" s="2710"/>
      <c r="T94" s="2710"/>
      <c r="U94" s="2710"/>
      <c r="V94" s="2710"/>
      <c r="W94" s="2710"/>
      <c r="X94" s="2710"/>
      <c r="Y94" s="2710"/>
      <c r="Z94" s="2710"/>
      <c r="AA94" s="2710"/>
      <c r="AB94" s="2710"/>
      <c r="AC94" s="2710"/>
    </row>
    <row r="95" spans="1:29" ht="15" thickTop="1">
      <c r="A95" s="538"/>
      <c r="B95" s="477" t="s">
        <v>1858</v>
      </c>
      <c r="C95" s="469"/>
      <c r="D95" s="469"/>
      <c r="E95" s="469"/>
      <c r="F95" s="469"/>
      <c r="G95" s="469"/>
      <c r="H95" s="469"/>
      <c r="I95" s="469"/>
      <c r="J95" s="469"/>
      <c r="K95" s="470"/>
      <c r="L95" s="471"/>
      <c r="M95" s="472"/>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8"/>
      <c r="O96" s="2738"/>
      <c r="P96" s="2746"/>
      <c r="Q96" s="2724"/>
      <c r="R96" s="2710"/>
      <c r="S96" s="2710"/>
      <c r="T96" s="2710"/>
      <c r="U96" s="2710"/>
      <c r="V96" s="2710"/>
      <c r="W96" s="2710"/>
      <c r="X96" s="2710"/>
      <c r="Y96" s="2710"/>
      <c r="Z96" s="2710"/>
      <c r="AA96" s="2710"/>
      <c r="AB96" s="2710"/>
      <c r="AC96" s="2710"/>
    </row>
    <row r="97" spans="1:29" ht="15" thickTop="1">
      <c r="A97" s="538"/>
      <c r="B97" s="574">
        <f>B34</f>
        <v>111</v>
      </c>
      <c r="C97" s="488"/>
      <c r="D97" s="488"/>
      <c r="E97" s="488"/>
      <c r="F97" s="488"/>
      <c r="G97" s="493"/>
      <c r="H97" s="494"/>
      <c r="I97" s="494"/>
      <c r="J97" s="494"/>
      <c r="K97" s="494"/>
      <c r="L97" s="495"/>
      <c r="M97" s="496"/>
      <c r="N97" s="2738"/>
      <c r="O97" s="2738"/>
      <c r="P97" s="2751"/>
      <c r="Q97" s="2752"/>
      <c r="R97" s="2710"/>
      <c r="S97" s="2710"/>
      <c r="T97" s="2710"/>
      <c r="U97" s="2710"/>
      <c r="V97" s="2710"/>
      <c r="W97" s="2710"/>
      <c r="X97" s="2710"/>
      <c r="Y97" s="2710"/>
      <c r="Z97" s="2710"/>
      <c r="AA97" s="2710"/>
      <c r="AB97" s="2710"/>
      <c r="AC97" s="2710"/>
    </row>
    <row r="98" spans="1:29" ht="15.75" thickBot="1">
      <c r="A98" s="473"/>
      <c r="B98" s="482"/>
      <c r="C98" s="499"/>
      <c r="D98" s="475"/>
      <c r="E98" s="475"/>
      <c r="F98" s="475"/>
      <c r="G98" s="499"/>
      <c r="H98" s="501"/>
      <c r="I98" s="501"/>
      <c r="J98" s="501"/>
      <c r="K98" s="501"/>
      <c r="L98" s="501"/>
      <c r="M98" s="502"/>
      <c r="N98" s="2738"/>
      <c r="O98" s="2738"/>
      <c r="P98" s="2746"/>
      <c r="Q98" s="2724"/>
      <c r="R98" s="2710"/>
      <c r="S98" s="2710"/>
      <c r="T98" s="2710"/>
      <c r="U98" s="2710"/>
      <c r="V98" s="2710"/>
      <c r="W98" s="2710"/>
      <c r="X98" s="2710"/>
      <c r="Y98" s="2710"/>
      <c r="Z98" s="2710"/>
      <c r="AA98" s="2710"/>
      <c r="AB98" s="2710"/>
      <c r="AC98" s="2710"/>
    </row>
    <row r="99" spans="1:29" s="412" customFormat="1" ht="15" thickTop="1">
      <c r="A99" s="532"/>
      <c r="B99" s="477">
        <f>B35</f>
        <v>111</v>
      </c>
      <c r="C99" s="488"/>
      <c r="D99" s="488"/>
      <c r="E99" s="488"/>
      <c r="F99" s="488"/>
      <c r="G99" s="493"/>
      <c r="H99" s="494"/>
      <c r="I99" s="494"/>
      <c r="J99" s="494"/>
      <c r="K99" s="494"/>
      <c r="L99" s="495"/>
      <c r="M99" s="496"/>
      <c r="N99" s="2739"/>
      <c r="O99" s="2739"/>
      <c r="P99" s="2747"/>
      <c r="Q99" s="2730"/>
      <c r="R99" s="2731"/>
      <c r="S99" s="2731"/>
      <c r="T99" s="2731"/>
      <c r="U99" s="2731"/>
      <c r="V99" s="2731"/>
      <c r="W99" s="2731"/>
      <c r="X99" s="2731"/>
      <c r="Y99" s="2731"/>
      <c r="Z99" s="2731"/>
      <c r="AA99" s="2731"/>
      <c r="AB99" s="2731"/>
      <c r="AC99" s="2731"/>
    </row>
    <row r="100" spans="1:29" s="412" customFormat="1" ht="15.75" thickBot="1">
      <c r="A100" s="492"/>
      <c r="B100" s="474"/>
      <c r="C100" s="499"/>
      <c r="D100" s="475"/>
      <c r="E100" s="475"/>
      <c r="F100" s="475"/>
      <c r="G100" s="499"/>
      <c r="H100" s="501"/>
      <c r="I100" s="501"/>
      <c r="J100" s="501"/>
      <c r="K100" s="501"/>
      <c r="L100" s="501"/>
      <c r="M100" s="502"/>
      <c r="N100" s="2739"/>
      <c r="O100" s="2739"/>
      <c r="P100" s="2747"/>
      <c r="Q100" s="2730"/>
      <c r="R100" s="2731"/>
      <c r="S100" s="2731"/>
      <c r="T100" s="2731"/>
      <c r="U100" s="2731"/>
      <c r="V100" s="2731"/>
      <c r="W100" s="2731"/>
      <c r="X100" s="2731"/>
      <c r="Y100" s="2731"/>
      <c r="Z100" s="2731"/>
      <c r="AA100" s="2731"/>
      <c r="AB100" s="2731"/>
      <c r="AC100" s="2731"/>
    </row>
    <row r="101" spans="1:29" ht="15" thickTop="1">
      <c r="A101" s="538"/>
      <c r="B101" s="477">
        <f>B36</f>
        <v>111</v>
      </c>
      <c r="C101" s="493"/>
      <c r="D101" s="493"/>
      <c r="E101" s="493"/>
      <c r="F101" s="493"/>
      <c r="G101" s="493"/>
      <c r="H101" s="494"/>
      <c r="I101" s="494"/>
      <c r="J101" s="494"/>
      <c r="K101" s="494"/>
      <c r="L101" s="495"/>
      <c r="M101" s="496"/>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99"/>
      <c r="D102" s="499"/>
      <c r="E102" s="499"/>
      <c r="F102" s="499"/>
      <c r="G102" s="499"/>
      <c r="H102" s="501"/>
      <c r="I102" s="501"/>
      <c r="J102" s="501"/>
      <c r="K102" s="501"/>
      <c r="L102" s="501"/>
      <c r="M102" s="502"/>
      <c r="N102" s="2738"/>
      <c r="O102" s="2738"/>
      <c r="P102" s="2746"/>
      <c r="Q102" s="2724"/>
      <c r="R102" s="2710"/>
      <c r="S102" s="2710"/>
      <c r="T102" s="2710"/>
      <c r="U102" s="2710"/>
      <c r="V102" s="2710"/>
      <c r="W102" s="2710"/>
      <c r="X102" s="2710"/>
      <c r="Y102" s="2710"/>
      <c r="Z102" s="2710"/>
      <c r="AA102" s="2710"/>
      <c r="AB102" s="2710"/>
      <c r="AC102" s="2710"/>
    </row>
    <row r="103" spans="1:29" ht="15" thickTop="1">
      <c r="N103" s="2710"/>
      <c r="O103" s="2710"/>
      <c r="P103" s="2740"/>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IF(E1="项目模式",IF(C2="——",ROUND(C37*D3/10000,0),ROUND(C37*D3/10000,0)-D2),IF(E1="单套模式",IF(C2="——",ROUND(C37*D3/10000,4),ROUND(C37*D3/10000,4)-D2)))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IF(C2="——",C37,ROUND(B2*10000/D3,0))</f>
        <v>#DIV/0!</v>
      </c>
      <c r="C3" s="344" t="s">
        <v>1767</v>
      </c>
      <c r="D3" s="343">
        <f>SUMIF('数据-汇总表'!$C19:$C33,D1,'数据-汇总表'!$E19:$E33)</f>
        <v>0</v>
      </c>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19" t="s">
        <v>1769</v>
      </c>
      <c r="D4" s="3720"/>
      <c r="E4" s="3721" t="s">
        <v>1770</v>
      </c>
      <c r="F4" s="3722"/>
      <c r="G4" s="3719" t="s">
        <v>1771</v>
      </c>
      <c r="H4" s="3720"/>
      <c r="I4" s="3719" t="s">
        <v>1772</v>
      </c>
      <c r="J4" s="3720"/>
      <c r="K4" s="549" t="s">
        <v>1773</v>
      </c>
      <c r="L4" s="2700"/>
      <c r="M4" s="2701"/>
      <c r="N4" s="2701"/>
      <c r="O4" s="2701"/>
      <c r="P4" s="3723" t="s">
        <v>1774</v>
      </c>
      <c r="Q4" s="3724"/>
      <c r="R4" s="3729" t="s">
        <v>1770</v>
      </c>
      <c r="S4" s="3730"/>
      <c r="T4" s="3729" t="s">
        <v>1771</v>
      </c>
      <c r="U4" s="3730"/>
      <c r="V4" s="3714" t="s">
        <v>1772</v>
      </c>
      <c r="W4" s="3714"/>
      <c r="X4" s="1342"/>
      <c r="Y4" s="3729" t="s">
        <v>1774</v>
      </c>
      <c r="Z4" s="3730"/>
      <c r="AA4" s="3716" t="s">
        <v>1770</v>
      </c>
      <c r="AB4" s="3717" t="s">
        <v>1771</v>
      </c>
      <c r="AC4" s="3716" t="s">
        <v>1772</v>
      </c>
    </row>
    <row r="5" spans="1:29" ht="15">
      <c r="A5" s="348"/>
      <c r="B5" s="349"/>
      <c r="C5" s="3737" t="s">
        <v>1672</v>
      </c>
      <c r="D5" s="3738"/>
      <c r="E5" s="3776" t="s">
        <v>1673</v>
      </c>
      <c r="F5" s="3746"/>
      <c r="G5" s="3737" t="s">
        <v>1674</v>
      </c>
      <c r="H5" s="3738"/>
      <c r="I5" s="3737" t="s">
        <v>1675</v>
      </c>
      <c r="J5" s="3738"/>
      <c r="K5" s="549"/>
      <c r="L5" s="2700"/>
      <c r="M5" s="2701"/>
      <c r="N5" s="2701"/>
      <c r="O5" s="2701"/>
      <c r="P5" s="3725"/>
      <c r="Q5" s="3726"/>
      <c r="R5" s="3731"/>
      <c r="S5" s="3732"/>
      <c r="T5" s="3731"/>
      <c r="U5" s="3732"/>
      <c r="V5" s="3714"/>
      <c r="W5" s="3714"/>
      <c r="X5" s="1342"/>
      <c r="Y5" s="3731"/>
      <c r="Z5" s="3732"/>
      <c r="AA5" s="3717"/>
      <c r="AB5" s="3717"/>
      <c r="AC5" s="3717"/>
    </row>
    <row r="6" spans="1:29" ht="15.75" thickBot="1">
      <c r="A6" s="350"/>
      <c r="B6" s="351"/>
      <c r="C6" s="3735" t="s">
        <v>1676</v>
      </c>
      <c r="D6" s="3736"/>
      <c r="E6" s="3743" t="s">
        <v>1676</v>
      </c>
      <c r="F6" s="3744"/>
      <c r="G6" s="3735" t="s">
        <v>1676</v>
      </c>
      <c r="H6" s="3736"/>
      <c r="I6" s="3735" t="s">
        <v>1676</v>
      </c>
      <c r="J6" s="3736"/>
      <c r="K6" s="549" t="s">
        <v>1677</v>
      </c>
      <c r="L6" s="2700"/>
      <c r="M6" s="2701"/>
      <c r="N6" s="2701"/>
      <c r="O6" s="2701"/>
      <c r="P6" s="3727"/>
      <c r="Q6" s="3728"/>
      <c r="R6" s="3731"/>
      <c r="S6" s="3732"/>
      <c r="T6" s="3733"/>
      <c r="U6" s="3734"/>
      <c r="V6" s="3714"/>
      <c r="W6" s="3714"/>
      <c r="X6" s="1342"/>
      <c r="Y6" s="3733"/>
      <c r="Z6" s="3734"/>
      <c r="AA6" s="3718"/>
      <c r="AB6" s="3718"/>
      <c r="AC6" s="3718"/>
    </row>
    <row r="7" spans="1:29" s="105" customFormat="1" ht="15.75" thickBot="1">
      <c r="A7" s="352" t="s">
        <v>1678</v>
      </c>
      <c r="B7" s="353"/>
      <c r="C7" s="354">
        <f>'数据-取费表'!B2</f>
        <v>45373</v>
      </c>
      <c r="D7" s="355">
        <v>100</v>
      </c>
      <c r="E7" s="356"/>
      <c r="F7" s="357">
        <f>SUMIF(46:46,YEAR(E7)&amp;"-"&amp;MONTH(E7),47:47)</f>
        <v>0</v>
      </c>
      <c r="G7" s="1961"/>
      <c r="H7" s="355">
        <f>SUMIF(46:46,YEAR(G7)&amp;"-"&amp;MONTH(G7),47:47)</f>
        <v>0</v>
      </c>
      <c r="I7" s="356"/>
      <c r="J7" s="355">
        <f>SUMIF(46:46,YEAR(I7)&amp;"-"&amp;MONTH(I7),47:47)</f>
        <v>0</v>
      </c>
      <c r="K7" s="550"/>
      <c r="L7" s="2702"/>
      <c r="M7" s="2703"/>
      <c r="N7" s="2703"/>
      <c r="O7" s="2703"/>
      <c r="P7" s="3739" t="s">
        <v>1679</v>
      </c>
      <c r="Q7" s="3741"/>
      <c r="R7" s="688" t="s">
        <v>14</v>
      </c>
      <c r="S7" s="689">
        <f t="shared" ref="S7:S14" si="0">F7</f>
        <v>0</v>
      </c>
      <c r="T7" s="688" t="s">
        <v>14</v>
      </c>
      <c r="U7" s="689">
        <f t="shared" ref="U7:U14" si="1">H7</f>
        <v>0</v>
      </c>
      <c r="V7" s="688" t="s">
        <v>14</v>
      </c>
      <c r="W7" s="689">
        <f t="shared" ref="W7:W14" si="2">J7</f>
        <v>0</v>
      </c>
      <c r="X7" s="690"/>
      <c r="Y7" s="3739" t="s">
        <v>1679</v>
      </c>
      <c r="Z7" s="3740"/>
      <c r="AA7" s="691" t="e">
        <f>D7/F7</f>
        <v>#DIV/0!</v>
      </c>
      <c r="AB7" s="691" t="e">
        <f>D7/H7</f>
        <v>#DIV/0!</v>
      </c>
      <c r="AC7" s="691" t="e">
        <f>D7/J7</f>
        <v>#DIV/0!</v>
      </c>
    </row>
    <row r="8" spans="1:29" s="105"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550"/>
      <c r="L8" s="2702"/>
      <c r="M8" s="2703"/>
      <c r="N8" s="2703"/>
      <c r="O8" s="2703"/>
      <c r="P8" s="3739" t="s">
        <v>1682</v>
      </c>
      <c r="Q8" s="3740"/>
      <c r="R8" s="688" t="s">
        <v>14</v>
      </c>
      <c r="S8" s="689">
        <f t="shared" si="0"/>
        <v>100</v>
      </c>
      <c r="T8" s="688" t="s">
        <v>14</v>
      </c>
      <c r="U8" s="689">
        <f t="shared" si="1"/>
        <v>100</v>
      </c>
      <c r="V8" s="688" t="s">
        <v>14</v>
      </c>
      <c r="W8" s="689">
        <f t="shared" si="2"/>
        <v>100</v>
      </c>
      <c r="X8" s="690"/>
      <c r="Y8" s="3739" t="s">
        <v>1682</v>
      </c>
      <c r="Z8" s="3740"/>
      <c r="AA8" s="691">
        <f t="shared" ref="AA8:AA34" si="3">D8/F8</f>
        <v>1</v>
      </c>
      <c r="AB8" s="691">
        <f t="shared" ref="AB8:AB34" si="4">D8/H8</f>
        <v>1</v>
      </c>
      <c r="AC8" s="691">
        <f t="shared" ref="AC8:AC34" si="5">D8/J8</f>
        <v>1</v>
      </c>
    </row>
    <row r="9" spans="1:29" s="105" customFormat="1">
      <c r="A9" s="359" t="s">
        <v>1683</v>
      </c>
      <c r="B9" s="63" t="s">
        <v>1684</v>
      </c>
      <c r="C9" s="360"/>
      <c r="D9" s="116">
        <v>100</v>
      </c>
      <c r="E9" s="363"/>
      <c r="F9" s="362">
        <f>SUMIF(51:51,E9,52:52)-SUMIF(51:51,C9,52:52)+100</f>
        <v>100</v>
      </c>
      <c r="G9" s="363"/>
      <c r="H9" s="116">
        <f>SUMIF(51:51,G9,52:52)-SUMIF(51:51,C9,52:52)+100</f>
        <v>100</v>
      </c>
      <c r="I9" s="363"/>
      <c r="J9" s="116">
        <f>SUMIF(51:51,I9,52:52)-SUMIF(51:51,C9,52:52)+100</f>
        <v>100</v>
      </c>
      <c r="K9" s="550"/>
      <c r="L9" s="2702"/>
      <c r="M9" s="2703"/>
      <c r="N9" s="2703"/>
      <c r="O9" s="2756"/>
      <c r="P9" s="3700" t="s">
        <v>1685</v>
      </c>
      <c r="Q9" s="1330" t="str">
        <f t="shared" ref="Q9:Q14" si="6">B9</f>
        <v>用途</v>
      </c>
      <c r="R9" s="688" t="s">
        <v>14</v>
      </c>
      <c r="S9" s="689">
        <f t="shared" si="0"/>
        <v>100</v>
      </c>
      <c r="T9" s="688" t="s">
        <v>14</v>
      </c>
      <c r="U9" s="689">
        <f t="shared" si="1"/>
        <v>100</v>
      </c>
      <c r="V9" s="688" t="s">
        <v>14</v>
      </c>
      <c r="W9" s="689">
        <f t="shared" si="2"/>
        <v>100</v>
      </c>
      <c r="X9" s="690"/>
      <c r="Y9" s="3607" t="s">
        <v>1686</v>
      </c>
      <c r="Z9" s="52" t="str">
        <f t="shared" ref="Z9:Z14" si="7">Q9</f>
        <v>用途</v>
      </c>
      <c r="AA9" s="691">
        <f t="shared" si="3"/>
        <v>1</v>
      </c>
      <c r="AB9" s="691">
        <f t="shared" si="4"/>
        <v>1</v>
      </c>
      <c r="AC9" s="691">
        <f t="shared" si="5"/>
        <v>1</v>
      </c>
    </row>
    <row r="10" spans="1:29" s="368" customFormat="1" ht="27">
      <c r="A10" s="364"/>
      <c r="B10" s="365" t="s">
        <v>1687</v>
      </c>
      <c r="C10" s="3411"/>
      <c r="D10" s="117">
        <v>100</v>
      </c>
      <c r="E10" s="3411"/>
      <c r="F10" s="366">
        <f>SUMIF(53:53,E10,54:54)-SUMIF(53:53,C10,54:54)+100</f>
        <v>100</v>
      </c>
      <c r="G10" s="3411"/>
      <c r="H10" s="117">
        <f>SUMIF(53:53,G10,54:54)-SUMIF(53:53,C10,54:54)+100</f>
        <v>100</v>
      </c>
      <c r="I10" s="3411"/>
      <c r="J10" s="117">
        <f>SUMIF(53:53,I10,54:54)-SUMIF(53:53,C10,54:54)+100</f>
        <v>100</v>
      </c>
      <c r="K10" s="550"/>
      <c r="L10" s="2704"/>
      <c r="M10" s="2705"/>
      <c r="N10" s="2705"/>
      <c r="O10" s="2757"/>
      <c r="P10" s="3700"/>
      <c r="Q10" s="1330"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1880">
        <v>111</v>
      </c>
      <c r="C11" s="373"/>
      <c r="D11" s="117">
        <v>100</v>
      </c>
      <c r="E11" s="410"/>
      <c r="F11" s="366">
        <f>SUMIF(55:55,E11,56:56)-SUMIF(55:55,C11,56:56)+100</f>
        <v>100</v>
      </c>
      <c r="G11" s="410"/>
      <c r="H11" s="117">
        <f>SUMIF(55:55,G11,56:56)-SUMIF(55:55,C11,56:56)+100</f>
        <v>100</v>
      </c>
      <c r="I11" s="410"/>
      <c r="J11" s="117">
        <f>SUMIF(55:55,I11,56:56)-SUMIF(55:55,C11,56:56)+100</f>
        <v>100</v>
      </c>
      <c r="K11" s="552"/>
      <c r="L11" s="2706"/>
      <c r="M11" s="2701"/>
      <c r="N11" s="2701"/>
      <c r="O11" s="2758"/>
      <c r="P11" s="3700"/>
      <c r="Q11" s="1330">
        <f t="shared" si="6"/>
        <v>111</v>
      </c>
      <c r="R11" s="688" t="s">
        <v>14</v>
      </c>
      <c r="S11" s="689">
        <f t="shared" si="0"/>
        <v>100</v>
      </c>
      <c r="T11" s="688" t="s">
        <v>14</v>
      </c>
      <c r="U11" s="689">
        <f t="shared" si="1"/>
        <v>100</v>
      </c>
      <c r="V11" s="688" t="s">
        <v>14</v>
      </c>
      <c r="W11" s="689">
        <f t="shared" si="2"/>
        <v>100</v>
      </c>
      <c r="X11" s="690"/>
      <c r="Y11" s="3607"/>
      <c r="Z11" s="52">
        <f t="shared" si="7"/>
        <v>111</v>
      </c>
      <c r="AA11" s="691">
        <f t="shared" si="3"/>
        <v>1</v>
      </c>
      <c r="AB11" s="691">
        <f t="shared" si="4"/>
        <v>1</v>
      </c>
      <c r="AC11" s="691">
        <f t="shared" si="5"/>
        <v>1</v>
      </c>
    </row>
    <row r="12" spans="1:29" s="105" customFormat="1" ht="15">
      <c r="A12" s="372"/>
      <c r="B12" s="1880">
        <v>111</v>
      </c>
      <c r="C12" s="373"/>
      <c r="D12" s="374">
        <v>100</v>
      </c>
      <c r="E12" s="410"/>
      <c r="F12" s="366">
        <f>SUMIF(57:57,E12,58:58)-SUMIF(57:57,C12,58:58)+100</f>
        <v>100</v>
      </c>
      <c r="G12" s="410"/>
      <c r="H12" s="117">
        <f>SUMIF(57:57,G12,58:58)-SUMIF(57:57,C12,58:58)+100</f>
        <v>100</v>
      </c>
      <c r="I12" s="410"/>
      <c r="J12" s="117">
        <f>SUMIF(57:57,I12,58:58)-SUMIF(57:57,C12,58:58)+100</f>
        <v>100</v>
      </c>
      <c r="K12" s="552"/>
      <c r="L12" s="2702"/>
      <c r="M12" s="2703"/>
      <c r="N12" s="2703"/>
      <c r="O12" s="2756"/>
      <c r="P12" s="3700"/>
      <c r="Q12" s="1330">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75" thickBot="1">
      <c r="A13" s="369"/>
      <c r="B13" s="1880">
        <v>111</v>
      </c>
      <c r="C13" s="375"/>
      <c r="D13" s="376">
        <v>100</v>
      </c>
      <c r="E13" s="410"/>
      <c r="F13" s="366">
        <f>SUMIF(59:59,E13,60:60)-SUMIF(59:59,C13,60:60)+100</f>
        <v>100</v>
      </c>
      <c r="G13" s="1962"/>
      <c r="H13" s="379">
        <f>SUMIF(59:59,G13,60:60)-SUMIF(59:59,C13,60:60)+100</f>
        <v>100</v>
      </c>
      <c r="I13" s="410"/>
      <c r="J13" s="376">
        <f>SUMIF(59:59,I13,60:60)-SUMIF(59:59,C13,60:60)+100</f>
        <v>100</v>
      </c>
      <c r="K13" s="552"/>
      <c r="L13" s="2707"/>
      <c r="M13" s="2701"/>
      <c r="N13" s="2701"/>
      <c r="O13" s="2758"/>
      <c r="P13" s="3700"/>
      <c r="Q13" s="1330">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85.5">
      <c r="A14" s="381" t="s">
        <v>1689</v>
      </c>
      <c r="B14" s="61" t="s">
        <v>1832</v>
      </c>
      <c r="C14" s="195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553"/>
      <c r="L14" s="2707"/>
      <c r="M14" s="2701"/>
      <c r="N14" s="2701"/>
      <c r="O14" s="2758"/>
      <c r="P14" s="3707" t="s">
        <v>1690</v>
      </c>
      <c r="Q14" s="1339" t="str">
        <f t="shared" si="6"/>
        <v>交通便捷度</v>
      </c>
      <c r="R14" s="692" t="s">
        <v>14</v>
      </c>
      <c r="S14" s="693">
        <f t="shared" si="0"/>
        <v>100</v>
      </c>
      <c r="T14" s="692" t="s">
        <v>14</v>
      </c>
      <c r="U14" s="693">
        <f t="shared" si="1"/>
        <v>100</v>
      </c>
      <c r="V14" s="692" t="s">
        <v>14</v>
      </c>
      <c r="W14" s="693">
        <f t="shared" si="2"/>
        <v>100</v>
      </c>
      <c r="X14" s="1342"/>
      <c r="Y14" s="3707" t="s">
        <v>1690</v>
      </c>
      <c r="Z14" s="1343" t="str">
        <f t="shared" si="7"/>
        <v>交通便捷度</v>
      </c>
      <c r="AA14" s="1340">
        <f t="shared" si="3"/>
        <v>1</v>
      </c>
      <c r="AB14" s="1340">
        <f t="shared" si="4"/>
        <v>1</v>
      </c>
      <c r="AC14" s="1340">
        <f t="shared" si="5"/>
        <v>1</v>
      </c>
    </row>
    <row r="15" spans="1:29" ht="15">
      <c r="A15" s="369"/>
      <c r="B15" s="387"/>
      <c r="C15" s="388"/>
      <c r="D15" s="389"/>
      <c r="E15" s="388"/>
      <c r="F15" s="390"/>
      <c r="G15" s="388"/>
      <c r="H15" s="391"/>
      <c r="I15" s="388"/>
      <c r="J15" s="389"/>
      <c r="K15" s="554"/>
      <c r="L15" s="2707"/>
      <c r="M15" s="2701"/>
      <c r="N15" s="2701"/>
      <c r="O15" s="2758"/>
      <c r="P15" s="3708"/>
      <c r="Q15" s="1339"/>
      <c r="R15" s="692"/>
      <c r="S15" s="693"/>
      <c r="T15" s="692"/>
      <c r="U15" s="693"/>
      <c r="V15" s="692"/>
      <c r="W15" s="693"/>
      <c r="X15" s="1342"/>
      <c r="Y15" s="3708"/>
      <c r="Z15" s="1343"/>
      <c r="AA15" s="1340">
        <v>1</v>
      </c>
      <c r="AB15" s="1340">
        <v>1</v>
      </c>
      <c r="AC15" s="1340">
        <v>1</v>
      </c>
    </row>
    <row r="16" spans="1:29" ht="42.75">
      <c r="A16" s="369"/>
      <c r="B16" s="392" t="s">
        <v>1811</v>
      </c>
      <c r="C16" s="1887" t="str">
        <f>IF(B1="工业",估价对象房地状况!G5,估价对象房地状况!C7)</f>
        <v>估价对象所在区域公共配套设施齐备情况较好</v>
      </c>
      <c r="D16" s="396">
        <v>100</v>
      </c>
      <c r="E16" s="398"/>
      <c r="F16" s="399">
        <f>SUMIF(63:63,E17,64:64)-SUMIF(63:63,C17,64:64)+100</f>
        <v>100</v>
      </c>
      <c r="G16" s="400"/>
      <c r="H16" s="396">
        <f>SUMIF(63:63,G17,64:64)-SUMIF(63:63,C17,64:64)+100</f>
        <v>100</v>
      </c>
      <c r="I16" s="398"/>
      <c r="J16" s="396">
        <f>SUMIF(63:63,I17,64:64)-SUMIF(63:63,C17,64:64)+100</f>
        <v>100</v>
      </c>
      <c r="K16" s="553"/>
      <c r="L16" s="2707"/>
      <c r="M16" s="2701"/>
      <c r="N16" s="2701"/>
      <c r="O16" s="2758"/>
      <c r="P16" s="3708"/>
      <c r="Q16" s="1339" t="str">
        <f>B16</f>
        <v>公共配套设施</v>
      </c>
      <c r="R16" s="692" t="s">
        <v>14</v>
      </c>
      <c r="S16" s="693">
        <f>F16</f>
        <v>100</v>
      </c>
      <c r="T16" s="692" t="s">
        <v>14</v>
      </c>
      <c r="U16" s="693">
        <f>H16</f>
        <v>100</v>
      </c>
      <c r="V16" s="692" t="s">
        <v>14</v>
      </c>
      <c r="W16" s="693">
        <f>J16</f>
        <v>100</v>
      </c>
      <c r="X16" s="1342"/>
      <c r="Y16" s="3708"/>
      <c r="Z16" s="1343" t="str">
        <f>Q16</f>
        <v>公共配套设施</v>
      </c>
      <c r="AA16" s="1340">
        <f t="shared" si="3"/>
        <v>1</v>
      </c>
      <c r="AB16" s="1340">
        <f t="shared" si="4"/>
        <v>1</v>
      </c>
      <c r="AC16" s="1340">
        <f t="shared" si="5"/>
        <v>1</v>
      </c>
    </row>
    <row r="17" spans="1:29" ht="15">
      <c r="A17" s="369"/>
      <c r="B17" s="397"/>
      <c r="C17" s="1888"/>
      <c r="D17" s="389"/>
      <c r="E17" s="388"/>
      <c r="F17" s="390"/>
      <c r="G17" s="388"/>
      <c r="H17" s="389"/>
      <c r="I17" s="388"/>
      <c r="J17" s="389"/>
      <c r="K17" s="554"/>
      <c r="L17" s="2707"/>
      <c r="M17" s="2701"/>
      <c r="N17" s="2701"/>
      <c r="O17" s="2758"/>
      <c r="P17" s="3708"/>
      <c r="Q17" s="1339"/>
      <c r="R17" s="692"/>
      <c r="S17" s="693"/>
      <c r="T17" s="692"/>
      <c r="U17" s="693"/>
      <c r="V17" s="692"/>
      <c r="W17" s="693"/>
      <c r="X17" s="1342"/>
      <c r="Y17" s="3708"/>
      <c r="Z17" s="1343"/>
      <c r="AA17" s="1340">
        <v>1</v>
      </c>
      <c r="AB17" s="1340">
        <v>1</v>
      </c>
      <c r="AC17" s="1340">
        <v>1</v>
      </c>
    </row>
    <row r="18" spans="1:29" ht="15">
      <c r="A18" s="369"/>
      <c r="B18" s="1118" t="s">
        <v>1812</v>
      </c>
      <c r="C18" s="1887"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3"/>
      <c r="L18" s="2707"/>
      <c r="M18" s="2701"/>
      <c r="N18" s="2701"/>
      <c r="O18" s="2758"/>
      <c r="P18" s="3708"/>
      <c r="Q18" s="1339" t="str">
        <f>B18</f>
        <v>基础设施水平</v>
      </c>
      <c r="R18" s="692" t="s">
        <v>14</v>
      </c>
      <c r="S18" s="693">
        <f>F18</f>
        <v>100</v>
      </c>
      <c r="T18" s="692" t="s">
        <v>14</v>
      </c>
      <c r="U18" s="693">
        <f>H18</f>
        <v>100</v>
      </c>
      <c r="V18" s="692" t="s">
        <v>14</v>
      </c>
      <c r="W18" s="693">
        <f>J18</f>
        <v>100</v>
      </c>
      <c r="X18" s="1342"/>
      <c r="Y18" s="3708"/>
      <c r="Z18" s="1343" t="str">
        <f>Q18</f>
        <v>基础设施水平</v>
      </c>
      <c r="AA18" s="1340">
        <f t="shared" ref="AA18" si="8">D18/F18</f>
        <v>1</v>
      </c>
      <c r="AB18" s="1340">
        <f t="shared" ref="AB18" si="9">D18/H18</f>
        <v>1</v>
      </c>
      <c r="AC18" s="1340">
        <f t="shared" ref="AC18" si="10">D18/J18</f>
        <v>1</v>
      </c>
    </row>
    <row r="19" spans="1:29" ht="15">
      <c r="A19" s="369"/>
      <c r="B19" s="1118"/>
      <c r="C19" s="1888"/>
      <c r="D19" s="391"/>
      <c r="E19" s="1888"/>
      <c r="F19" s="394"/>
      <c r="G19" s="1888"/>
      <c r="H19" s="389"/>
      <c r="I19" s="388"/>
      <c r="J19" s="389"/>
      <c r="K19" s="1117"/>
      <c r="L19" s="2707"/>
      <c r="M19" s="2701"/>
      <c r="N19" s="2701"/>
      <c r="O19" s="2758"/>
      <c r="P19" s="3708"/>
      <c r="Q19" s="1339"/>
      <c r="R19" s="692"/>
      <c r="S19" s="693"/>
      <c r="T19" s="692"/>
      <c r="U19" s="693"/>
      <c r="V19" s="692"/>
      <c r="W19" s="693"/>
      <c r="X19" s="1342"/>
      <c r="Y19" s="3708"/>
      <c r="Z19" s="1343"/>
      <c r="AA19" s="1340">
        <v>1</v>
      </c>
      <c r="AB19" s="1340">
        <v>1</v>
      </c>
      <c r="AC19" s="1340">
        <v>1</v>
      </c>
    </row>
    <row r="20" spans="1:29" ht="85.5">
      <c r="A20" s="369"/>
      <c r="B20" s="392" t="s">
        <v>1833</v>
      </c>
      <c r="C20" s="1887" t="str">
        <f>IF(B1="工业",估价对象房地状况!G7,估价对象房地状况!C9)</f>
        <v>区域自然环境：蓝靛厂公园、四季曙光公园、南长河公园；人文环境；综合评价环境状况较好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7"/>
      <c r="M20" s="2701"/>
      <c r="N20" s="2701"/>
      <c r="O20" s="2758"/>
      <c r="P20" s="3708"/>
      <c r="Q20" s="1339" t="str">
        <f>B20</f>
        <v>自然及人文环境</v>
      </c>
      <c r="R20" s="692" t="s">
        <v>14</v>
      </c>
      <c r="S20" s="693">
        <f>F20</f>
        <v>100</v>
      </c>
      <c r="T20" s="692" t="s">
        <v>14</v>
      </c>
      <c r="U20" s="693">
        <f>H20</f>
        <v>100</v>
      </c>
      <c r="V20" s="692" t="s">
        <v>14</v>
      </c>
      <c r="W20" s="693">
        <f>J20</f>
        <v>100</v>
      </c>
      <c r="X20" s="1342"/>
      <c r="Y20" s="3708"/>
      <c r="Z20" s="1343" t="str">
        <f>Q20</f>
        <v>自然及人文环境</v>
      </c>
      <c r="AA20" s="1340">
        <f t="shared" si="3"/>
        <v>1</v>
      </c>
      <c r="AB20" s="1340">
        <f t="shared" si="4"/>
        <v>1</v>
      </c>
      <c r="AC20" s="1340">
        <f t="shared" si="5"/>
        <v>1</v>
      </c>
    </row>
    <row r="21" spans="1:29" ht="15">
      <c r="A21" s="369"/>
      <c r="B21" s="397"/>
      <c r="C21" s="388"/>
      <c r="D21" s="389"/>
      <c r="E21" s="388"/>
      <c r="F21" s="390"/>
      <c r="G21" s="388"/>
      <c r="H21" s="389"/>
      <c r="I21" s="388"/>
      <c r="J21" s="389"/>
      <c r="K21" s="554"/>
      <c r="L21" s="2707"/>
      <c r="M21" s="2701"/>
      <c r="N21" s="2701"/>
      <c r="O21" s="2758"/>
      <c r="P21" s="3708"/>
      <c r="Q21" s="1339"/>
      <c r="R21" s="692"/>
      <c r="S21" s="693"/>
      <c r="T21" s="692"/>
      <c r="U21" s="693"/>
      <c r="V21" s="692"/>
      <c r="W21" s="693"/>
      <c r="X21" s="1342"/>
      <c r="Y21" s="3708"/>
      <c r="Z21" s="1343"/>
      <c r="AA21" s="1340">
        <v>1</v>
      </c>
      <c r="AB21" s="1340">
        <v>1</v>
      </c>
      <c r="AC21" s="1340">
        <v>1</v>
      </c>
    </row>
    <row r="22" spans="1:29" ht="15">
      <c r="A22" s="369"/>
      <c r="B22" s="392" t="s">
        <v>1834</v>
      </c>
      <c r="C22" s="555"/>
      <c r="D22" s="391">
        <v>100</v>
      </c>
      <c r="E22" s="555"/>
      <c r="F22" s="402">
        <f>SUMIF(69:69,E22,70:70)-SUMIF(69:69,C22,70:70)+100</f>
        <v>100</v>
      </c>
      <c r="G22" s="555"/>
      <c r="H22" s="376">
        <f>SUMIF(69:69,G22,70:70)-SUMIF(69:69,C22,70:70)+100</f>
        <v>100</v>
      </c>
      <c r="I22" s="555"/>
      <c r="J22" s="376">
        <f>SUMIF(69:69,I22,70:70)-SUMIF(69:69,C22,70:70)+100</f>
        <v>100</v>
      </c>
      <c r="K22" s="551"/>
      <c r="L22" s="2707"/>
      <c r="M22" s="2701"/>
      <c r="N22" s="2701"/>
      <c r="O22" s="2758"/>
      <c r="P22" s="3708"/>
      <c r="Q22" s="1339" t="str">
        <f>B22</f>
        <v>楼层</v>
      </c>
      <c r="R22" s="692" t="s">
        <v>14</v>
      </c>
      <c r="S22" s="693">
        <f>F22</f>
        <v>100</v>
      </c>
      <c r="T22" s="692" t="s">
        <v>14</v>
      </c>
      <c r="U22" s="693">
        <f>H22</f>
        <v>100</v>
      </c>
      <c r="V22" s="692" t="s">
        <v>14</v>
      </c>
      <c r="W22" s="693">
        <f>J22</f>
        <v>100</v>
      </c>
      <c r="X22" s="1342"/>
      <c r="Y22" s="3708"/>
      <c r="Z22" s="1343" t="str">
        <f>Q22</f>
        <v>楼层</v>
      </c>
      <c r="AA22" s="1340">
        <f t="shared" si="3"/>
        <v>1</v>
      </c>
      <c r="AB22" s="1340">
        <f t="shared" si="4"/>
        <v>1</v>
      </c>
      <c r="AC22" s="1340">
        <f t="shared" si="5"/>
        <v>1</v>
      </c>
    </row>
    <row r="23" spans="1:29" ht="15">
      <c r="A23" s="348"/>
      <c r="B23" s="1880">
        <v>111</v>
      </c>
      <c r="C23" s="373"/>
      <c r="D23" s="376">
        <v>100</v>
      </c>
      <c r="E23" s="375"/>
      <c r="F23" s="402">
        <f>SUMIF(71:71,E23,72:72)-SUMIF(71:71,C23,72:72)+100</f>
        <v>100</v>
      </c>
      <c r="G23" s="375"/>
      <c r="H23" s="376">
        <f>SUMIF(71:71,G23,72:72)-SUMIF(71:71,C23,72:72)+100</f>
        <v>100</v>
      </c>
      <c r="I23" s="375"/>
      <c r="J23" s="376">
        <f>SUMIF(71:71,I23,72:72)-SUMIF(71:71,C23,72:72)+100</f>
        <v>100</v>
      </c>
      <c r="K23" s="552"/>
      <c r="L23" s="2707"/>
      <c r="M23" s="2701"/>
      <c r="N23" s="2701"/>
      <c r="O23" s="2758"/>
      <c r="P23" s="3708"/>
      <c r="Q23" s="1339">
        <f>B23</f>
        <v>111</v>
      </c>
      <c r="R23" s="692" t="s">
        <v>14</v>
      </c>
      <c r="S23" s="693">
        <f>F23</f>
        <v>100</v>
      </c>
      <c r="T23" s="692" t="s">
        <v>14</v>
      </c>
      <c r="U23" s="693">
        <f>H23</f>
        <v>100</v>
      </c>
      <c r="V23" s="692" t="s">
        <v>14</v>
      </c>
      <c r="W23" s="693">
        <f>J23</f>
        <v>100</v>
      </c>
      <c r="X23" s="1342"/>
      <c r="Y23" s="3708"/>
      <c r="Z23" s="1343">
        <f>Q23</f>
        <v>111</v>
      </c>
      <c r="AA23" s="1340">
        <f t="shared" si="3"/>
        <v>1</v>
      </c>
      <c r="AB23" s="1340">
        <f t="shared" si="4"/>
        <v>1</v>
      </c>
      <c r="AC23" s="1340">
        <f t="shared" si="5"/>
        <v>1</v>
      </c>
    </row>
    <row r="24" spans="1:29" ht="15">
      <c r="A24" s="369"/>
      <c r="B24" s="1880">
        <v>111</v>
      </c>
      <c r="C24" s="373"/>
      <c r="D24" s="376">
        <v>100</v>
      </c>
      <c r="E24" s="375"/>
      <c r="F24" s="402">
        <f>SUMIF(73:73,E24,74:74)-SUMIF(73:73,C24,74:74)+100</f>
        <v>100</v>
      </c>
      <c r="G24" s="375"/>
      <c r="H24" s="376">
        <f>SUMIF(73:73,G24,74:74)-SUMIF(73:73,C24,74:74)+100</f>
        <v>100</v>
      </c>
      <c r="I24" s="375"/>
      <c r="J24" s="376">
        <f>SUMIF(73:73,I24,74:74)-SUMIF(73:73,C24,74:74)+100</f>
        <v>100</v>
      </c>
      <c r="K24" s="552"/>
      <c r="L24" s="2707"/>
      <c r="M24" s="2701"/>
      <c r="N24" s="2701"/>
      <c r="O24" s="2758"/>
      <c r="P24" s="3708"/>
      <c r="Q24" s="1339">
        <f t="shared" ref="Q24:Q34" si="11">B24</f>
        <v>111</v>
      </c>
      <c r="R24" s="692" t="s">
        <v>14</v>
      </c>
      <c r="S24" s="693">
        <f>F24</f>
        <v>100</v>
      </c>
      <c r="T24" s="692" t="s">
        <v>14</v>
      </c>
      <c r="U24" s="693">
        <f>H24</f>
        <v>100</v>
      </c>
      <c r="V24" s="692" t="s">
        <v>14</v>
      </c>
      <c r="W24" s="693">
        <f>J24</f>
        <v>100</v>
      </c>
      <c r="X24" s="1342"/>
      <c r="Y24" s="3708"/>
      <c r="Z24" s="1343">
        <f>Q24</f>
        <v>111</v>
      </c>
      <c r="AA24" s="1340">
        <f t="shared" si="3"/>
        <v>1</v>
      </c>
      <c r="AB24" s="1340">
        <f t="shared" si="4"/>
        <v>1</v>
      </c>
      <c r="AC24" s="1340">
        <f t="shared" si="5"/>
        <v>1</v>
      </c>
    </row>
    <row r="25" spans="1:29" s="105" customFormat="1" ht="15.75" thickBot="1">
      <c r="A25" s="372"/>
      <c r="B25" s="1880">
        <v>111</v>
      </c>
      <c r="C25" s="1963"/>
      <c r="D25" s="603">
        <v>100</v>
      </c>
      <c r="E25" s="1963"/>
      <c r="F25" s="604">
        <f>SUMIF(75:75,E25,76:76)-SUMIF(75:75,C25,76:76)+100</f>
        <v>100</v>
      </c>
      <c r="G25" s="1963"/>
      <c r="H25" s="603">
        <f>SUMIF(75:75,G25,76:76)-SUMIF(75:75,C25,76:76)+100</f>
        <v>100</v>
      </c>
      <c r="I25" s="1963"/>
      <c r="J25" s="603">
        <f>SUMIF(75:75,I25,76:76)-SUMIF(75:75,C25,76:76)+100</f>
        <v>100</v>
      </c>
      <c r="K25" s="552"/>
      <c r="L25" s="2702"/>
      <c r="M25" s="2703"/>
      <c r="N25" s="2703"/>
      <c r="O25" s="2756"/>
      <c r="P25" s="3708"/>
      <c r="Q25" s="1330">
        <f t="shared" si="11"/>
        <v>111</v>
      </c>
      <c r="R25" s="688" t="s">
        <v>14</v>
      </c>
      <c r="S25" s="689">
        <f>F25</f>
        <v>100</v>
      </c>
      <c r="T25" s="688" t="s">
        <v>14</v>
      </c>
      <c r="U25" s="689">
        <f>H25</f>
        <v>100</v>
      </c>
      <c r="V25" s="688" t="s">
        <v>14</v>
      </c>
      <c r="W25" s="689">
        <f>J25</f>
        <v>100</v>
      </c>
      <c r="X25" s="690"/>
      <c r="Y25" s="3708"/>
      <c r="Z25" s="52">
        <f>Q25</f>
        <v>111</v>
      </c>
      <c r="AA25" s="1340">
        <f>D25/F25</f>
        <v>1</v>
      </c>
      <c r="AB25" s="1340">
        <f>D25/H25</f>
        <v>1</v>
      </c>
      <c r="AC25" s="1340">
        <f>D25/J25</f>
        <v>1</v>
      </c>
    </row>
    <row r="26" spans="1:29" ht="28.5">
      <c r="A26" s="407" t="s">
        <v>1693</v>
      </c>
      <c r="B26" s="63" t="s">
        <v>1837</v>
      </c>
      <c r="C26" s="1954"/>
      <c r="D26" s="408">
        <v>100</v>
      </c>
      <c r="E26" s="1954"/>
      <c r="F26" s="605">
        <f>SUMIF(77:77,E26,78:78)-SUMIF(77:77,C26,78:78)+100</f>
        <v>100</v>
      </c>
      <c r="G26" s="1954"/>
      <c r="H26" s="408">
        <f>SUMIF(77:77,G26,78:78)-SUMIF(77:77,C26,78:78)+100</f>
        <v>100</v>
      </c>
      <c r="I26" s="1954"/>
      <c r="J26" s="408">
        <f>SUMIF(77:77,I26,78:78)-SUMIF(77:77,C26,78:78)+100</f>
        <v>100</v>
      </c>
      <c r="K26" s="551"/>
      <c r="L26" s="2707"/>
      <c r="M26" s="2701"/>
      <c r="N26" s="2701"/>
      <c r="O26" s="2758"/>
      <c r="P26" s="3792" t="s">
        <v>1695</v>
      </c>
      <c r="Q26" s="1339" t="str">
        <f t="shared" si="11"/>
        <v>公共部分装修</v>
      </c>
      <c r="R26" s="692" t="s">
        <v>14</v>
      </c>
      <c r="S26" s="693">
        <f t="shared" ref="S26:S34" si="12">F26</f>
        <v>100</v>
      </c>
      <c r="T26" s="692" t="s">
        <v>14</v>
      </c>
      <c r="U26" s="693">
        <f t="shared" ref="U26:U34" si="13">H26</f>
        <v>100</v>
      </c>
      <c r="V26" s="692" t="s">
        <v>14</v>
      </c>
      <c r="W26" s="693">
        <f t="shared" ref="W26:W34" si="14">J26</f>
        <v>100</v>
      </c>
      <c r="X26" s="1342"/>
      <c r="Y26" s="3712" t="s">
        <v>1695</v>
      </c>
      <c r="Z26" s="1343" t="str">
        <f t="shared" ref="Z26:Z34" si="15">Q26</f>
        <v>公共部分装修</v>
      </c>
      <c r="AA26" s="1340">
        <f t="shared" si="3"/>
        <v>1</v>
      </c>
      <c r="AB26" s="1340">
        <f t="shared" si="4"/>
        <v>1</v>
      </c>
      <c r="AC26" s="1340">
        <f t="shared" si="5"/>
        <v>1</v>
      </c>
    </row>
    <row r="27" spans="1:29" s="412" customFormat="1" ht="15">
      <c r="A27" s="409"/>
      <c r="B27" s="365" t="s">
        <v>1838</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6"/>
      <c r="M27" s="2708"/>
      <c r="N27" s="2708"/>
      <c r="O27" s="2759"/>
      <c r="P27" s="3712"/>
      <c r="Q27" s="694" t="str">
        <f t="shared" si="11"/>
        <v>成新率</v>
      </c>
      <c r="R27" s="695" t="s">
        <v>14</v>
      </c>
      <c r="S27" s="696" t="e">
        <f t="shared" si="12"/>
        <v>#N/A</v>
      </c>
      <c r="T27" s="695" t="s">
        <v>14</v>
      </c>
      <c r="U27" s="696" t="e">
        <f t="shared" si="13"/>
        <v>#N/A</v>
      </c>
      <c r="V27" s="695" t="s">
        <v>14</v>
      </c>
      <c r="W27" s="696" t="e">
        <f t="shared" si="14"/>
        <v>#N/A</v>
      </c>
      <c r="X27" s="697"/>
      <c r="Y27" s="3712"/>
      <c r="Z27" s="698" t="str">
        <f t="shared" si="15"/>
        <v>成新率</v>
      </c>
      <c r="AA27" s="1340" t="e">
        <f t="shared" si="3"/>
        <v>#N/A</v>
      </c>
      <c r="AB27" s="1340" t="e">
        <f t="shared" si="4"/>
        <v>#N/A</v>
      </c>
      <c r="AC27" s="1340" t="e">
        <f t="shared" si="5"/>
        <v>#N/A</v>
      </c>
    </row>
    <row r="28" spans="1:29" ht="15">
      <c r="A28" s="413"/>
      <c r="B28" s="365" t="s">
        <v>1839</v>
      </c>
      <c r="C28" s="401"/>
      <c r="D28" s="376">
        <v>100</v>
      </c>
      <c r="E28" s="401"/>
      <c r="F28" s="402">
        <f>SUMIF(82:82,E28,83:83)-SUMIF(82:82,C28,83:83)+100</f>
        <v>100</v>
      </c>
      <c r="G28" s="401"/>
      <c r="H28" s="376">
        <f>SUMIF(82:82,G28,83:83)-SUMIF(82:82,C28,83:83)+100</f>
        <v>100</v>
      </c>
      <c r="I28" s="401"/>
      <c r="J28" s="376">
        <f>SUMIF(82:82,I28,83:83)-SUMIF(82:82,C28,83:83)+100</f>
        <v>100</v>
      </c>
      <c r="K28" s="551"/>
      <c r="L28" s="2707"/>
      <c r="M28" s="2701"/>
      <c r="N28" s="2701"/>
      <c r="O28" s="2758"/>
      <c r="P28" s="3712"/>
      <c r="Q28" s="1339" t="str">
        <f t="shared" si="11"/>
        <v>物业等级</v>
      </c>
      <c r="R28" s="692" t="s">
        <v>14</v>
      </c>
      <c r="S28" s="693">
        <f t="shared" si="12"/>
        <v>100</v>
      </c>
      <c r="T28" s="692" t="s">
        <v>14</v>
      </c>
      <c r="U28" s="693">
        <f t="shared" si="13"/>
        <v>100</v>
      </c>
      <c r="V28" s="692" t="s">
        <v>14</v>
      </c>
      <c r="W28" s="693">
        <f t="shared" si="14"/>
        <v>100</v>
      </c>
      <c r="X28" s="1342"/>
      <c r="Y28" s="3712"/>
      <c r="Z28" s="1343" t="str">
        <f t="shared" si="15"/>
        <v>物业等级</v>
      </c>
      <c r="AA28" s="1340">
        <f t="shared" si="3"/>
        <v>1</v>
      </c>
      <c r="AB28" s="1340">
        <f t="shared" si="4"/>
        <v>1</v>
      </c>
      <c r="AC28" s="1340">
        <f t="shared" si="5"/>
        <v>1</v>
      </c>
    </row>
    <row r="29" spans="1:29" ht="15">
      <c r="A29" s="413"/>
      <c r="B29" s="365" t="s">
        <v>1859</v>
      </c>
      <c r="C29" s="595"/>
      <c r="D29" s="376">
        <v>100</v>
      </c>
      <c r="E29" s="595"/>
      <c r="F29" s="402">
        <f>SUMIF(84:84,E29,85:85)-SUMIF(84:84,C29,85:85)+100</f>
        <v>100</v>
      </c>
      <c r="G29" s="595"/>
      <c r="H29" s="376">
        <f>SUMIF(84:84,G29,85:85)-SUMIF(84:84,C29,85:85)+100</f>
        <v>100</v>
      </c>
      <c r="I29" s="595"/>
      <c r="J29" s="376">
        <f>SUMIF(84:84,I29,85:85)-SUMIF(84:84,C29,85:85)+100</f>
        <v>100</v>
      </c>
      <c r="K29" s="551"/>
      <c r="L29" s="2707"/>
      <c r="M29" s="2701"/>
      <c r="N29" s="2701"/>
      <c r="O29" s="2758"/>
      <c r="P29" s="3712"/>
      <c r="Q29" s="1339" t="str">
        <f t="shared" si="11"/>
        <v>有无电梯</v>
      </c>
      <c r="R29" s="692" t="s">
        <v>14</v>
      </c>
      <c r="S29" s="693">
        <f t="shared" si="12"/>
        <v>100</v>
      </c>
      <c r="T29" s="692" t="s">
        <v>14</v>
      </c>
      <c r="U29" s="693">
        <f t="shared" si="13"/>
        <v>100</v>
      </c>
      <c r="V29" s="692" t="s">
        <v>14</v>
      </c>
      <c r="W29" s="693">
        <f t="shared" si="14"/>
        <v>100</v>
      </c>
      <c r="X29" s="1342"/>
      <c r="Y29" s="3712"/>
      <c r="Z29" s="1343" t="str">
        <f t="shared" si="15"/>
        <v>有无电梯</v>
      </c>
      <c r="AA29" s="1340">
        <f t="shared" si="3"/>
        <v>1</v>
      </c>
      <c r="AB29" s="1340">
        <f t="shared" si="4"/>
        <v>1</v>
      </c>
      <c r="AC29" s="1340">
        <f t="shared" si="5"/>
        <v>1</v>
      </c>
    </row>
    <row r="30" spans="1:29" ht="15">
      <c r="A30" s="413"/>
      <c r="B30" s="365" t="s">
        <v>1860</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7"/>
      <c r="M30" s="2701"/>
      <c r="N30" s="2701"/>
      <c r="O30" s="2758"/>
      <c r="P30" s="3712"/>
      <c r="Q30" s="1339" t="str">
        <f t="shared" si="11"/>
        <v>建筑面积</v>
      </c>
      <c r="R30" s="692" t="s">
        <v>14</v>
      </c>
      <c r="S30" s="693" t="e">
        <f t="shared" si="12"/>
        <v>#N/A</v>
      </c>
      <c r="T30" s="692" t="s">
        <v>14</v>
      </c>
      <c r="U30" s="693" t="e">
        <f t="shared" si="13"/>
        <v>#N/A</v>
      </c>
      <c r="V30" s="692" t="s">
        <v>14</v>
      </c>
      <c r="W30" s="693" t="e">
        <f t="shared" si="14"/>
        <v>#N/A</v>
      </c>
      <c r="X30" s="1342"/>
      <c r="Y30" s="3712"/>
      <c r="Z30" s="1343" t="str">
        <f t="shared" si="15"/>
        <v>建筑面积</v>
      </c>
      <c r="AA30" s="1340" t="e">
        <f t="shared" si="3"/>
        <v>#N/A</v>
      </c>
      <c r="AB30" s="1340" t="e">
        <f t="shared" si="4"/>
        <v>#N/A</v>
      </c>
      <c r="AC30" s="1340" t="e">
        <f t="shared" si="5"/>
        <v>#N/A</v>
      </c>
    </row>
    <row r="31" spans="1:29" s="105" customFormat="1" ht="15">
      <c r="A31" s="414"/>
      <c r="B31" s="365" t="s">
        <v>1861</v>
      </c>
      <c r="C31" s="595"/>
      <c r="D31" s="117">
        <v>100</v>
      </c>
      <c r="E31" s="595"/>
      <c r="F31" s="402">
        <f>SUMIF(89:89,E31,90:90)-SUMIF(89:89,C31,90:90)+100</f>
        <v>100</v>
      </c>
      <c r="G31" s="595"/>
      <c r="H31" s="376">
        <f>SUMIF(89:89,G31,90:90)-SUMIF(89:89,C31,90:90)+100</f>
        <v>100</v>
      </c>
      <c r="I31" s="595"/>
      <c r="J31" s="376">
        <f>SUMIF(89:89,I31,90:90)-SUMIF(89:89,C31,90:90)+100</f>
        <v>100</v>
      </c>
      <c r="K31" s="551"/>
      <c r="L31" s="2702"/>
      <c r="M31" s="2703"/>
      <c r="N31" s="2703"/>
      <c r="O31" s="2756"/>
      <c r="P31" s="3712"/>
      <c r="Q31" s="1330" t="str">
        <f t="shared" si="11"/>
        <v>是否封闭</v>
      </c>
      <c r="R31" s="688" t="s">
        <v>14</v>
      </c>
      <c r="S31" s="689">
        <f t="shared" si="12"/>
        <v>100</v>
      </c>
      <c r="T31" s="688" t="s">
        <v>14</v>
      </c>
      <c r="U31" s="689">
        <f t="shared" si="13"/>
        <v>100</v>
      </c>
      <c r="V31" s="688" t="s">
        <v>14</v>
      </c>
      <c r="W31" s="689">
        <f t="shared" si="14"/>
        <v>100</v>
      </c>
      <c r="X31" s="690"/>
      <c r="Y31" s="3712"/>
      <c r="Z31" s="52" t="str">
        <f t="shared" si="15"/>
        <v>是否封闭</v>
      </c>
      <c r="AA31" s="691">
        <f t="shared" si="3"/>
        <v>1</v>
      </c>
      <c r="AB31" s="691">
        <f t="shared" si="4"/>
        <v>1</v>
      </c>
      <c r="AC31" s="691">
        <f t="shared" si="5"/>
        <v>1</v>
      </c>
    </row>
    <row r="32" spans="1:29" ht="15">
      <c r="A32" s="413"/>
      <c r="B32" s="1880">
        <v>111</v>
      </c>
      <c r="C32" s="373"/>
      <c r="D32" s="376">
        <v>100</v>
      </c>
      <c r="E32" s="410"/>
      <c r="F32" s="402">
        <f>SUMIF(91:91,E32,92:92)-SUMIF(91:91,C32,92:92)+100</f>
        <v>100</v>
      </c>
      <c r="G32" s="410"/>
      <c r="H32" s="376">
        <f>SUMIF(91:91,G32,92:92)-SUMIF(91:91,C32,92:92)+100</f>
        <v>100</v>
      </c>
      <c r="I32" s="410"/>
      <c r="J32" s="376">
        <f>SUMIF(91:91,I32,92:92)-SUMIF(91:91,C32,92:92)+100</f>
        <v>100</v>
      </c>
      <c r="K32" s="552"/>
      <c r="L32" s="2707"/>
      <c r="M32" s="2701"/>
      <c r="N32" s="2701"/>
      <c r="O32" s="2758"/>
      <c r="P32" s="3712" t="s">
        <v>1695</v>
      </c>
      <c r="Q32" s="1339">
        <f t="shared" si="11"/>
        <v>111</v>
      </c>
      <c r="R32" s="692" t="s">
        <v>14</v>
      </c>
      <c r="S32" s="693">
        <f t="shared" si="12"/>
        <v>100</v>
      </c>
      <c r="T32" s="692" t="s">
        <v>14</v>
      </c>
      <c r="U32" s="693">
        <f t="shared" si="13"/>
        <v>100</v>
      </c>
      <c r="V32" s="692" t="s">
        <v>14</v>
      </c>
      <c r="W32" s="693">
        <f t="shared" si="14"/>
        <v>100</v>
      </c>
      <c r="X32" s="1342"/>
      <c r="Y32" s="3712" t="s">
        <v>1695</v>
      </c>
      <c r="Z32" s="1343">
        <f t="shared" si="15"/>
        <v>111</v>
      </c>
      <c r="AA32" s="1340">
        <f t="shared" si="3"/>
        <v>1</v>
      </c>
      <c r="AB32" s="1340">
        <f t="shared" si="4"/>
        <v>1</v>
      </c>
      <c r="AC32" s="1340">
        <f t="shared" si="5"/>
        <v>1</v>
      </c>
    </row>
    <row r="33" spans="1:30" ht="15">
      <c r="A33" s="413"/>
      <c r="B33" s="1880">
        <v>111</v>
      </c>
      <c r="C33" s="373"/>
      <c r="D33" s="376">
        <v>100</v>
      </c>
      <c r="E33" s="410"/>
      <c r="F33" s="402">
        <f>SUMIF(93:93,E33,94:94)-SUMIF(93:93,C33,94:94)+100</f>
        <v>100</v>
      </c>
      <c r="G33" s="410"/>
      <c r="H33" s="376">
        <f>SUMIF(93:93,G33,94:94)-SUMIF(93:93,C33,94:94)+100</f>
        <v>100</v>
      </c>
      <c r="I33" s="410"/>
      <c r="J33" s="376">
        <f>SUMIF(93:93,I33,94:94)-SUMIF(93:93,C33,94:94)+100</f>
        <v>100</v>
      </c>
      <c r="K33" s="552"/>
      <c r="L33" s="2707"/>
      <c r="M33" s="2701"/>
      <c r="N33" s="2701"/>
      <c r="O33" s="2758"/>
      <c r="P33" s="3712"/>
      <c r="Q33" s="1339">
        <f t="shared" si="11"/>
        <v>111</v>
      </c>
      <c r="R33" s="692" t="s">
        <v>14</v>
      </c>
      <c r="S33" s="693">
        <f t="shared" si="12"/>
        <v>100</v>
      </c>
      <c r="T33" s="692" t="s">
        <v>14</v>
      </c>
      <c r="U33" s="693">
        <f t="shared" si="13"/>
        <v>100</v>
      </c>
      <c r="V33" s="692" t="s">
        <v>14</v>
      </c>
      <c r="W33" s="693">
        <f t="shared" si="14"/>
        <v>100</v>
      </c>
      <c r="X33" s="1342"/>
      <c r="Y33" s="3712"/>
      <c r="Z33" s="1343">
        <f t="shared" si="15"/>
        <v>111</v>
      </c>
      <c r="AA33" s="1340">
        <f t="shared" si="3"/>
        <v>1</v>
      </c>
      <c r="AB33" s="1340">
        <f t="shared" si="4"/>
        <v>1</v>
      </c>
      <c r="AC33" s="1340">
        <f t="shared" si="5"/>
        <v>1</v>
      </c>
    </row>
    <row r="34" spans="1:30" ht="15.75" thickBot="1">
      <c r="A34" s="419"/>
      <c r="B34" s="1882">
        <v>111</v>
      </c>
      <c r="C34" s="378"/>
      <c r="D34" s="379">
        <v>100</v>
      </c>
      <c r="E34" s="1962"/>
      <c r="F34" s="380">
        <f>SUMIF(95:95,E34,96:96)-SUMIF(95:95,C34,96:96)+100</f>
        <v>100</v>
      </c>
      <c r="G34" s="1962"/>
      <c r="H34" s="379">
        <f>SUMIF(95:95,G34,96:96)-SUMIF(95:95,C34,96:96)+100</f>
        <v>100</v>
      </c>
      <c r="I34" s="1962"/>
      <c r="J34" s="379">
        <f>SUMIF(95:95,I34,96:96)-SUMIF(95:95,C34,96:96)+100</f>
        <v>100</v>
      </c>
      <c r="K34" s="552"/>
      <c r="L34" s="2707"/>
      <c r="M34" s="2701"/>
      <c r="N34" s="2701"/>
      <c r="O34" s="2758"/>
      <c r="P34" s="3712"/>
      <c r="Q34" s="1339">
        <f t="shared" si="11"/>
        <v>111</v>
      </c>
      <c r="R34" s="692" t="s">
        <v>14</v>
      </c>
      <c r="S34" s="693">
        <f t="shared" si="12"/>
        <v>100</v>
      </c>
      <c r="T34" s="692" t="s">
        <v>14</v>
      </c>
      <c r="U34" s="693">
        <f t="shared" si="13"/>
        <v>100</v>
      </c>
      <c r="V34" s="692" t="s">
        <v>14</v>
      </c>
      <c r="W34" s="693">
        <f t="shared" si="14"/>
        <v>100</v>
      </c>
      <c r="X34" s="1342"/>
      <c r="Y34" s="3712"/>
      <c r="Z34" s="1343">
        <f t="shared" si="15"/>
        <v>111</v>
      </c>
      <c r="AA34" s="1340">
        <f t="shared" si="3"/>
        <v>1</v>
      </c>
      <c r="AB34" s="1340">
        <f t="shared" si="4"/>
        <v>1</v>
      </c>
      <c r="AC34" s="1340">
        <f t="shared" si="5"/>
        <v>1</v>
      </c>
    </row>
    <row r="35" spans="1:30" ht="15">
      <c r="A35" s="420" t="s">
        <v>1707</v>
      </c>
      <c r="B35" s="421"/>
      <c r="C35" s="1141" t="s">
        <v>0</v>
      </c>
      <c r="D35" s="1142"/>
      <c r="E35" s="1143"/>
      <c r="F35" s="1144"/>
      <c r="G35" s="1145"/>
      <c r="H35" s="1146"/>
      <c r="I35" s="1143"/>
      <c r="J35" s="1146"/>
      <c r="K35" s="701"/>
      <c r="L35" s="2709"/>
      <c r="M35" s="2710"/>
      <c r="N35" s="2701"/>
      <c r="O35" s="2710"/>
      <c r="P35" s="3700" t="str">
        <f>A35</f>
        <v>成交单价（元/平方米）</v>
      </c>
      <c r="Q35" s="3700"/>
      <c r="R35" s="3701">
        <f>E35</f>
        <v>0</v>
      </c>
      <c r="S35" s="3701"/>
      <c r="T35" s="3701">
        <f>G35</f>
        <v>0</v>
      </c>
      <c r="U35" s="3701"/>
      <c r="V35" s="3701">
        <f>I35</f>
        <v>0</v>
      </c>
      <c r="W35" s="3701"/>
      <c r="X35" s="677"/>
      <c r="Y35" s="699"/>
      <c r="Z35" s="677"/>
      <c r="AA35" s="677"/>
      <c r="AB35" s="677"/>
      <c r="AC35" s="677"/>
    </row>
    <row r="36" spans="1:30" ht="15.75" thickBot="1">
      <c r="A36" s="427" t="s">
        <v>1792</v>
      </c>
      <c r="B36" s="428"/>
      <c r="C36" s="1147" t="e">
        <f>R37</f>
        <v>#DIV/0!</v>
      </c>
      <c r="D36" s="2304" t="s">
        <v>2137</v>
      </c>
      <c r="E36" s="1148" t="e">
        <f>R36</f>
        <v>#DIV/0!</v>
      </c>
      <c r="F36" s="2305"/>
      <c r="G36" s="1147" t="e">
        <f>T36</f>
        <v>#DIV/0!</v>
      </c>
      <c r="H36" s="2305"/>
      <c r="I36" s="1148" t="e">
        <f>V36</f>
        <v>#DIV/0!</v>
      </c>
      <c r="J36" s="2305"/>
      <c r="K36" s="2307">
        <f>F36+H36+J36</f>
        <v>0</v>
      </c>
      <c r="L36" s="2709"/>
      <c r="M36" s="2710"/>
      <c r="N36" s="2701"/>
      <c r="O36" s="2710"/>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77"/>
      <c r="Y36" s="677"/>
      <c r="Z36" s="677"/>
      <c r="AA36" s="677"/>
      <c r="AB36" s="677"/>
      <c r="AC36" s="677"/>
    </row>
    <row r="37" spans="1:30" ht="15.75" thickBot="1">
      <c r="A37" s="431" t="s">
        <v>1793</v>
      </c>
      <c r="B37" s="432"/>
      <c r="C37" s="1150" t="e">
        <f>R37</f>
        <v>#DIV/0!</v>
      </c>
      <c r="D37" s="1150"/>
      <c r="E37" s="1150"/>
      <c r="F37" s="1150"/>
      <c r="G37" s="1150"/>
      <c r="H37" s="1150"/>
      <c r="I37" s="1150"/>
      <c r="J37" s="1150"/>
      <c r="K37" s="702"/>
      <c r="L37" s="2709"/>
      <c r="M37" s="2710"/>
      <c r="N37" s="2710"/>
      <c r="O37" s="2710"/>
      <c r="P37" s="3702" t="str">
        <f>A37</f>
        <v>估价对象XX用房的比较价值（楼面单价，元/平方米）</v>
      </c>
      <c r="Q37" s="3703"/>
      <c r="R37" s="3793" t="e">
        <f>IF(F1="售价",ROUND(IF(D36="简单平均",AVERAGE(R36:W36),R36*F36+T36*H36+V36*J36),0),ROUND(IF(D36="简单平均",AVERAGE(R36:V36),R36*F36+T36*H36+V36*J36),1))</f>
        <v>#DIV/0!</v>
      </c>
      <c r="S37" s="3793"/>
      <c r="T37" s="3793"/>
      <c r="U37" s="3793"/>
      <c r="V37" s="3793"/>
      <c r="W37" s="3793"/>
      <c r="X37" s="677"/>
      <c r="Y37" s="677"/>
      <c r="Z37" s="677"/>
      <c r="AA37" s="677"/>
      <c r="AB37" s="677"/>
      <c r="AC37" s="677"/>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36" t="s">
        <v>1794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36" t="s">
        <v>1795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41" customFormat="1" ht="13.5" customHeight="1">
      <c r="A42" s="2713"/>
      <c r="B42" s="2713"/>
      <c r="C42" s="436" t="s">
        <v>1796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4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81" t="s">
        <v>1797</v>
      </c>
      <c r="B45" s="677"/>
      <c r="C45" s="682"/>
      <c r="D45" s="682"/>
      <c r="E45" s="682"/>
      <c r="F45" s="683"/>
      <c r="G45" s="683"/>
      <c r="H45" s="682"/>
      <c r="I45" s="682"/>
      <c r="J45" s="682"/>
      <c r="K45" s="684"/>
      <c r="L45" s="685"/>
      <c r="M45" s="682"/>
      <c r="N45" s="2753"/>
      <c r="O45" s="2753"/>
      <c r="P45" s="2753"/>
      <c r="Q45" s="2724"/>
      <c r="R45" s="2710"/>
      <c r="S45" s="2710"/>
      <c r="T45" s="2710"/>
      <c r="U45" s="2710"/>
      <c r="V45" s="2710"/>
      <c r="W45" s="2710"/>
      <c r="X45" s="2710"/>
      <c r="Y45" s="2710"/>
      <c r="Z45" s="2710"/>
      <c r="AA45" s="2710"/>
      <c r="AB45" s="2710"/>
      <c r="AC45" s="2710"/>
      <c r="AD45" s="2710"/>
    </row>
    <row r="46" spans="1:30" s="447" customFormat="1" ht="15">
      <c r="A46" s="444" t="s">
        <v>1678</v>
      </c>
      <c r="B46" s="445"/>
      <c r="C46" s="1171" t="str">
        <f>YEAR(C7)&amp;"-"&amp;MONTH(C7)</f>
        <v>2024-3</v>
      </c>
      <c r="D46" s="1172">
        <f>EDATE(C46,-1)</f>
        <v>45323</v>
      </c>
      <c r="E46" s="1172">
        <f t="shared" ref="E46:O46" si="16">EDATE(D46,-1)</f>
        <v>45292</v>
      </c>
      <c r="F46" s="1172">
        <f t="shared" si="16"/>
        <v>45261</v>
      </c>
      <c r="G46" s="1172">
        <f t="shared" si="16"/>
        <v>45231</v>
      </c>
      <c r="H46" s="1172">
        <f t="shared" si="16"/>
        <v>45200</v>
      </c>
      <c r="I46" s="1172">
        <f t="shared" si="16"/>
        <v>45170</v>
      </c>
      <c r="J46" s="1172">
        <f t="shared" si="16"/>
        <v>45139</v>
      </c>
      <c r="K46" s="1172">
        <f t="shared" si="16"/>
        <v>45108</v>
      </c>
      <c r="L46" s="1172">
        <f t="shared" si="16"/>
        <v>45078</v>
      </c>
      <c r="M46" s="1172">
        <f t="shared" si="16"/>
        <v>45047</v>
      </c>
      <c r="N46" s="1172">
        <f t="shared" si="16"/>
        <v>45017</v>
      </c>
      <c r="O46" s="1172">
        <f t="shared" si="16"/>
        <v>44986</v>
      </c>
      <c r="P46" s="2760"/>
      <c r="Q46" s="2725"/>
      <c r="R46" s="2725"/>
      <c r="S46" s="2725"/>
      <c r="T46" s="2725"/>
      <c r="U46" s="2725"/>
      <c r="V46" s="2725"/>
      <c r="W46" s="2725"/>
      <c r="X46" s="2725"/>
      <c r="Y46" s="2725"/>
      <c r="Z46" s="2725"/>
      <c r="AA46" s="2725"/>
      <c r="AB46" s="2725"/>
      <c r="AC46" s="2725"/>
      <c r="AD46" s="2725"/>
    </row>
    <row r="47" spans="1:30" s="105" customFormat="1" ht="15">
      <c r="A47" s="448"/>
      <c r="B47" s="449"/>
      <c r="C47" s="1170">
        <v>100</v>
      </c>
      <c r="D47" s="451"/>
      <c r="E47" s="451"/>
      <c r="F47" s="451"/>
      <c r="G47" s="451"/>
      <c r="H47" s="451"/>
      <c r="I47" s="451"/>
      <c r="J47" s="451"/>
      <c r="K47" s="451"/>
      <c r="L47" s="451"/>
      <c r="M47" s="452"/>
      <c r="N47" s="451"/>
      <c r="O47" s="453"/>
      <c r="P47" s="2724"/>
      <c r="Q47" s="2647"/>
      <c r="R47" s="2647"/>
      <c r="S47" s="2647"/>
      <c r="T47" s="2647"/>
      <c r="U47" s="2647"/>
      <c r="V47" s="2647"/>
      <c r="W47" s="2647"/>
      <c r="X47" s="2647"/>
      <c r="Y47" s="2647"/>
      <c r="Z47" s="2647"/>
      <c r="AA47" s="2647"/>
      <c r="AB47" s="2647"/>
      <c r="AC47" s="2647"/>
      <c r="AD47" s="2647"/>
    </row>
    <row r="48" spans="1:30" s="105" customFormat="1" ht="15.75" thickBot="1">
      <c r="A48" s="454" t="s">
        <v>1715</v>
      </c>
      <c r="B48" s="455"/>
      <c r="C48" s="456"/>
      <c r="D48" s="457"/>
      <c r="E48" s="457"/>
      <c r="F48" s="457"/>
      <c r="G48" s="457"/>
      <c r="H48" s="457"/>
      <c r="I48" s="457"/>
      <c r="J48" s="457"/>
      <c r="K48" s="457"/>
      <c r="L48" s="457"/>
      <c r="M48" s="458"/>
      <c r="N48" s="457"/>
      <c r="O48" s="459"/>
      <c r="P48" s="2724"/>
      <c r="Q48" s="2724"/>
      <c r="R48" s="2647"/>
      <c r="S48" s="2647"/>
      <c r="T48" s="2647"/>
      <c r="U48" s="2647"/>
      <c r="V48" s="2647"/>
      <c r="W48" s="2647"/>
      <c r="X48" s="2647"/>
      <c r="Y48" s="2647"/>
      <c r="Z48" s="2647"/>
      <c r="AA48" s="2647"/>
      <c r="AB48" s="2647"/>
      <c r="AC48" s="2647"/>
      <c r="AD48" s="2647"/>
    </row>
    <row r="49" spans="1:30" s="105" customFormat="1" ht="15">
      <c r="A49" s="460" t="s">
        <v>1680</v>
      </c>
      <c r="B49" s="449"/>
      <c r="C49" s="461" t="s">
        <v>1775</v>
      </c>
      <c r="D49" s="462"/>
      <c r="E49" s="462"/>
      <c r="F49" s="462"/>
      <c r="G49" s="462"/>
      <c r="H49" s="462"/>
      <c r="I49" s="462"/>
      <c r="J49" s="462"/>
      <c r="K49" s="462"/>
      <c r="L49" s="463"/>
      <c r="M49" s="464"/>
      <c r="N49" s="2736"/>
      <c r="O49" s="2736"/>
      <c r="P49" s="2761"/>
      <c r="Q49" s="2724"/>
      <c r="R49" s="2647"/>
      <c r="S49" s="2647"/>
      <c r="T49" s="2647"/>
      <c r="U49" s="2647"/>
      <c r="V49" s="2647"/>
      <c r="W49" s="2647"/>
      <c r="X49" s="2647"/>
      <c r="Y49" s="2647"/>
      <c r="Z49" s="2647"/>
      <c r="AA49" s="2647"/>
      <c r="AB49" s="2647"/>
      <c r="AC49" s="2647"/>
      <c r="AD49" s="2647"/>
    </row>
    <row r="50" spans="1:30" s="105" customFormat="1" ht="15.75" thickBot="1">
      <c r="A50" s="460"/>
      <c r="B50" s="449"/>
      <c r="C50" s="577">
        <v>100</v>
      </c>
      <c r="D50" s="451"/>
      <c r="E50" s="451"/>
      <c r="F50" s="451"/>
      <c r="G50" s="451"/>
      <c r="H50" s="451"/>
      <c r="I50" s="451"/>
      <c r="J50" s="451"/>
      <c r="K50" s="451"/>
      <c r="L50" s="451"/>
      <c r="M50" s="453"/>
      <c r="N50" s="2736"/>
      <c r="O50" s="2736"/>
      <c r="P50" s="2724"/>
      <c r="Q50" s="2724"/>
      <c r="R50" s="2647"/>
      <c r="S50" s="2647"/>
      <c r="T50" s="2647"/>
      <c r="U50" s="2647"/>
      <c r="V50" s="2647"/>
      <c r="W50" s="2647"/>
      <c r="X50" s="2647"/>
      <c r="Y50" s="2647"/>
      <c r="Z50" s="2647"/>
      <c r="AA50" s="2647"/>
      <c r="AB50" s="2647"/>
      <c r="AC50" s="2647"/>
      <c r="AD50" s="2647"/>
    </row>
    <row r="51" spans="1:30">
      <c r="A51" s="466" t="s">
        <v>1718</v>
      </c>
      <c r="B51" s="467" t="s">
        <v>1684</v>
      </c>
      <c r="C51" s="468">
        <f>C9</f>
        <v>0</v>
      </c>
      <c r="D51" s="469"/>
      <c r="E51" s="469"/>
      <c r="F51" s="469"/>
      <c r="G51" s="469"/>
      <c r="H51" s="469"/>
      <c r="I51" s="469"/>
      <c r="J51" s="469"/>
      <c r="K51" s="470"/>
      <c r="L51" s="471"/>
      <c r="M51" s="472"/>
      <c r="N51" s="2737"/>
      <c r="O51" s="2737"/>
      <c r="P51" s="2762"/>
      <c r="Q51" s="2724"/>
      <c r="R51" s="2710"/>
      <c r="S51" s="2710"/>
      <c r="T51" s="2710"/>
      <c r="U51" s="2710"/>
      <c r="V51" s="2710"/>
      <c r="W51" s="2710"/>
      <c r="X51" s="2710"/>
      <c r="Y51" s="2710"/>
      <c r="Z51" s="2710"/>
      <c r="AA51" s="2710"/>
      <c r="AB51" s="2710"/>
      <c r="AC51" s="2710"/>
      <c r="AD51" s="2710"/>
    </row>
    <row r="52" spans="1:30" ht="15.75" thickBot="1">
      <c r="A52" s="473"/>
      <c r="B52" s="474"/>
      <c r="C52" s="475">
        <v>100</v>
      </c>
      <c r="D52" s="475"/>
      <c r="E52" s="475"/>
      <c r="F52" s="475"/>
      <c r="G52" s="475"/>
      <c r="H52" s="475"/>
      <c r="I52" s="475"/>
      <c r="J52" s="475"/>
      <c r="K52" s="475"/>
      <c r="L52" s="475"/>
      <c r="M52" s="476"/>
      <c r="N52" s="2738"/>
      <c r="O52" s="2738"/>
      <c r="P52" s="2762"/>
      <c r="Q52" s="2724"/>
      <c r="R52" s="2710"/>
      <c r="S52" s="2710"/>
      <c r="T52" s="2710"/>
      <c r="U52" s="2710"/>
      <c r="V52" s="2710"/>
      <c r="W52" s="2710"/>
      <c r="X52" s="2710"/>
      <c r="Y52" s="2710"/>
      <c r="Z52" s="2710"/>
      <c r="AA52" s="2710"/>
      <c r="AB52" s="2710"/>
      <c r="AC52" s="2710"/>
      <c r="AD52" s="2710"/>
    </row>
    <row r="53" spans="1:30" ht="27.75" thickTop="1">
      <c r="A53" s="473"/>
      <c r="B53" s="477" t="s">
        <v>1687</v>
      </c>
      <c r="C53" s="522"/>
      <c r="D53" s="522"/>
      <c r="E53" s="522"/>
      <c r="F53" s="522"/>
      <c r="G53" s="522"/>
      <c r="H53" s="522"/>
      <c r="I53" s="522"/>
      <c r="J53" s="522"/>
      <c r="K53" s="523"/>
      <c r="L53" s="524"/>
      <c r="M53" s="525"/>
      <c r="N53" s="2737"/>
      <c r="O53" s="2737"/>
      <c r="P53" s="2762"/>
      <c r="Q53" s="2724"/>
      <c r="R53" s="2710"/>
      <c r="S53" s="2710"/>
      <c r="T53" s="2710"/>
      <c r="U53" s="2710"/>
      <c r="V53" s="2710"/>
      <c r="W53" s="2710"/>
      <c r="X53" s="2710"/>
      <c r="Y53" s="2710"/>
      <c r="Z53" s="2710"/>
      <c r="AA53" s="2710"/>
      <c r="AB53" s="2710"/>
      <c r="AC53" s="2710"/>
      <c r="AD53" s="2710"/>
    </row>
    <row r="54" spans="1:30" ht="15.75" thickBot="1">
      <c r="A54" s="473"/>
      <c r="B54" s="482"/>
      <c r="C54" s="475"/>
      <c r="D54" s="475"/>
      <c r="E54" s="475"/>
      <c r="F54" s="475"/>
      <c r="G54" s="475"/>
      <c r="H54" s="475"/>
      <c r="I54" s="475"/>
      <c r="J54" s="475"/>
      <c r="K54" s="475"/>
      <c r="L54" s="475"/>
      <c r="M54" s="476"/>
      <c r="N54" s="2738"/>
      <c r="O54" s="2738"/>
      <c r="P54" s="2762"/>
      <c r="Q54" s="2724"/>
      <c r="R54" s="2710"/>
      <c r="S54" s="2710"/>
      <c r="T54" s="2710"/>
      <c r="U54" s="2710"/>
      <c r="V54" s="2710"/>
      <c r="W54" s="2710"/>
      <c r="X54" s="2710"/>
      <c r="Y54" s="2710"/>
      <c r="Z54" s="2710"/>
      <c r="AA54" s="2710"/>
      <c r="AB54" s="2710"/>
      <c r="AC54" s="2710"/>
      <c r="AD54" s="2710"/>
    </row>
    <row r="55" spans="1:30" ht="15.75" thickTop="1">
      <c r="A55" s="473"/>
      <c r="B55" s="598">
        <f>B11</f>
        <v>111</v>
      </c>
      <c r="C55" s="488"/>
      <c r="D55" s="488"/>
      <c r="E55" s="488"/>
      <c r="F55" s="488"/>
      <c r="G55" s="488"/>
      <c r="H55" s="488"/>
      <c r="I55" s="488"/>
      <c r="J55" s="488"/>
      <c r="K55" s="489"/>
      <c r="L55" s="490"/>
      <c r="M55" s="491"/>
      <c r="N55" s="2737"/>
      <c r="O55" s="2737"/>
      <c r="P55" s="2762"/>
      <c r="Q55" s="2724"/>
      <c r="R55" s="2710"/>
      <c r="S55" s="2710"/>
      <c r="T55" s="2710"/>
      <c r="U55" s="2710"/>
      <c r="V55" s="2710"/>
      <c r="W55" s="2710"/>
      <c r="X55" s="2710"/>
      <c r="Y55" s="2710"/>
      <c r="Z55" s="2710"/>
      <c r="AA55" s="2710"/>
      <c r="AB55" s="2710"/>
      <c r="AC55" s="2710"/>
      <c r="AD55" s="2710"/>
    </row>
    <row r="56" spans="1:30" ht="15.75" thickBot="1">
      <c r="A56" s="473"/>
      <c r="B56" s="474"/>
      <c r="C56" s="499"/>
      <c r="D56" s="475"/>
      <c r="E56" s="475"/>
      <c r="F56" s="475"/>
      <c r="G56" s="475"/>
      <c r="H56" s="475"/>
      <c r="I56" s="475"/>
      <c r="J56" s="475"/>
      <c r="K56" s="475"/>
      <c r="L56" s="475"/>
      <c r="M56" s="476"/>
      <c r="N56" s="2738"/>
      <c r="O56" s="2738"/>
      <c r="P56" s="2762"/>
      <c r="Q56" s="2724"/>
      <c r="R56" s="2710"/>
      <c r="S56" s="2710"/>
      <c r="T56" s="2710"/>
      <c r="U56" s="2710"/>
      <c r="V56" s="2710"/>
      <c r="W56" s="2710"/>
      <c r="X56" s="2710"/>
      <c r="Y56" s="2710"/>
      <c r="Z56" s="2710"/>
      <c r="AA56" s="2710"/>
      <c r="AB56" s="2710"/>
      <c r="AC56" s="2710"/>
      <c r="AD56" s="2710"/>
    </row>
    <row r="57" spans="1:30" s="412" customFormat="1" ht="15.75" thickTop="1">
      <c r="A57" s="492"/>
      <c r="B57" s="477">
        <f>B12</f>
        <v>111</v>
      </c>
      <c r="C57" s="488"/>
      <c r="D57" s="488"/>
      <c r="E57" s="488"/>
      <c r="F57" s="488"/>
      <c r="G57" s="493"/>
      <c r="H57" s="494"/>
      <c r="I57" s="494"/>
      <c r="J57" s="494"/>
      <c r="K57" s="494"/>
      <c r="L57" s="495"/>
      <c r="M57" s="496"/>
      <c r="N57" s="2739"/>
      <c r="O57" s="2739"/>
      <c r="P57" s="2763"/>
      <c r="Q57" s="2730"/>
      <c r="R57" s="2731"/>
      <c r="S57" s="2731"/>
      <c r="T57" s="2731"/>
      <c r="U57" s="2731"/>
      <c r="V57" s="2731"/>
      <c r="W57" s="2731"/>
      <c r="X57" s="2731"/>
      <c r="Y57" s="2731"/>
      <c r="Z57" s="2731"/>
      <c r="AA57" s="2731"/>
      <c r="AB57" s="2731"/>
      <c r="AC57" s="2731"/>
      <c r="AD57" s="2731"/>
    </row>
    <row r="58" spans="1:30" s="412" customFormat="1" ht="15.75" thickBot="1">
      <c r="A58" s="492"/>
      <c r="B58" s="482"/>
      <c r="C58" s="499"/>
      <c r="D58" s="475"/>
      <c r="E58" s="475"/>
      <c r="F58" s="475"/>
      <c r="G58" s="475"/>
      <c r="H58" s="475"/>
      <c r="I58" s="475"/>
      <c r="J58" s="475"/>
      <c r="K58" s="475"/>
      <c r="L58" s="475"/>
      <c r="M58" s="476"/>
      <c r="N58" s="2738"/>
      <c r="O58" s="2738"/>
      <c r="P58" s="2763"/>
      <c r="Q58" s="2730"/>
      <c r="R58" s="2731"/>
      <c r="S58" s="2731"/>
      <c r="T58" s="2731"/>
      <c r="U58" s="2731"/>
      <c r="V58" s="2731"/>
      <c r="W58" s="2731"/>
      <c r="X58" s="2731"/>
      <c r="Y58" s="2731"/>
      <c r="Z58" s="2731"/>
      <c r="AA58" s="2731"/>
      <c r="AB58" s="2731"/>
      <c r="AC58" s="2731"/>
      <c r="AD58" s="2731"/>
    </row>
    <row r="59" spans="1:30" s="412" customFormat="1" ht="15.75" thickTop="1">
      <c r="A59" s="492"/>
      <c r="B59" s="477">
        <f>B13</f>
        <v>111</v>
      </c>
      <c r="C59" s="488"/>
      <c r="D59" s="488"/>
      <c r="E59" s="488"/>
      <c r="F59" s="488"/>
      <c r="G59" s="493"/>
      <c r="H59" s="494"/>
      <c r="I59" s="494"/>
      <c r="J59" s="494"/>
      <c r="K59" s="494"/>
      <c r="L59" s="495"/>
      <c r="M59" s="496"/>
      <c r="N59" s="2739"/>
      <c r="O59" s="2739"/>
      <c r="P59" s="2708"/>
      <c r="Q59" s="2733"/>
      <c r="R59" s="2731"/>
      <c r="S59" s="2731"/>
      <c r="T59" s="2731"/>
      <c r="U59" s="2731"/>
      <c r="V59" s="2731"/>
      <c r="W59" s="2731"/>
      <c r="X59" s="2731"/>
      <c r="Y59" s="2731"/>
      <c r="Z59" s="2731"/>
      <c r="AA59" s="2731"/>
      <c r="AB59" s="2731"/>
      <c r="AC59" s="2731"/>
      <c r="AD59" s="2731"/>
    </row>
    <row r="60" spans="1:30" s="412" customFormat="1" ht="15.75" thickBot="1">
      <c r="A60" s="492"/>
      <c r="B60" s="482"/>
      <c r="C60" s="499"/>
      <c r="D60" s="499"/>
      <c r="E60" s="499"/>
      <c r="F60" s="499"/>
      <c r="G60" s="499"/>
      <c r="H60" s="501"/>
      <c r="I60" s="501"/>
      <c r="J60" s="501"/>
      <c r="K60" s="501"/>
      <c r="L60" s="501"/>
      <c r="M60" s="502"/>
      <c r="N60" s="2739"/>
      <c r="O60" s="2739"/>
      <c r="P60" s="2763"/>
      <c r="Q60" s="2730"/>
      <c r="R60" s="2731"/>
      <c r="S60" s="2731"/>
      <c r="T60" s="2731"/>
      <c r="U60" s="2731"/>
      <c r="V60" s="2731"/>
      <c r="W60" s="2731"/>
      <c r="X60" s="2731"/>
      <c r="Y60" s="2731"/>
      <c r="Z60" s="2731"/>
      <c r="AA60" s="2731"/>
      <c r="AB60" s="2731"/>
      <c r="AC60" s="2731"/>
      <c r="AD60" s="2731"/>
    </row>
    <row r="61" spans="1:30" ht="15" thickTop="1">
      <c r="A61" s="466" t="s">
        <v>1689</v>
      </c>
      <c r="B61" s="467" t="s">
        <v>1725</v>
      </c>
      <c r="C61" s="512" t="s">
        <v>1720</v>
      </c>
      <c r="D61" s="512" t="s">
        <v>1721</v>
      </c>
      <c r="E61" s="512" t="s">
        <v>1722</v>
      </c>
      <c r="F61" s="512" t="s">
        <v>1723</v>
      </c>
      <c r="G61" s="512" t="s">
        <v>1724</v>
      </c>
      <c r="H61" s="468"/>
      <c r="I61" s="468"/>
      <c r="J61" s="468"/>
      <c r="K61" s="513"/>
      <c r="L61" s="514"/>
      <c r="M61" s="515"/>
      <c r="N61" s="2737"/>
      <c r="O61" s="2737"/>
      <c r="P61" s="2764"/>
      <c r="Q61" s="2724"/>
      <c r="R61" s="2710"/>
      <c r="S61" s="2710"/>
      <c r="T61" s="2710"/>
      <c r="U61" s="2710"/>
      <c r="V61" s="2710"/>
      <c r="W61" s="2710"/>
      <c r="X61" s="2710"/>
      <c r="Y61" s="2710"/>
      <c r="Z61" s="2710"/>
      <c r="AA61" s="2710"/>
      <c r="AB61" s="2710"/>
      <c r="AC61" s="2710"/>
      <c r="AD61" s="2710"/>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8"/>
      <c r="O62" s="2738"/>
      <c r="P62" s="2762"/>
      <c r="Q62" s="2724"/>
      <c r="R62" s="2710"/>
      <c r="S62" s="2710"/>
      <c r="T62" s="2710"/>
      <c r="U62" s="2710"/>
      <c r="V62" s="2710"/>
      <c r="W62" s="2710"/>
      <c r="X62" s="2710"/>
      <c r="Y62" s="2710"/>
      <c r="Z62" s="2710"/>
      <c r="AA62" s="2710"/>
      <c r="AB62" s="2710"/>
      <c r="AC62" s="2710"/>
      <c r="AD62" s="2710"/>
    </row>
    <row r="63" spans="1:30" ht="27.75" thickTop="1">
      <c r="A63" s="473"/>
      <c r="B63" s="477" t="s">
        <v>1862</v>
      </c>
      <c r="C63" s="517" t="s">
        <v>1720</v>
      </c>
      <c r="D63" s="517" t="s">
        <v>1721</v>
      </c>
      <c r="E63" s="517" t="s">
        <v>1722</v>
      </c>
      <c r="F63" s="517" t="s">
        <v>1723</v>
      </c>
      <c r="G63" s="517" t="s">
        <v>1724</v>
      </c>
      <c r="H63" s="478"/>
      <c r="I63" s="478"/>
      <c r="J63" s="478"/>
      <c r="K63" s="479"/>
      <c r="L63" s="480"/>
      <c r="M63" s="481"/>
      <c r="N63" s="2737"/>
      <c r="O63" s="2737"/>
      <c r="P63" s="2762"/>
      <c r="Q63" s="2724"/>
      <c r="R63" s="2710"/>
      <c r="S63" s="2710"/>
      <c r="T63" s="2710"/>
      <c r="U63" s="2710"/>
      <c r="V63" s="2710"/>
      <c r="W63" s="2710"/>
      <c r="X63" s="2710"/>
      <c r="Y63" s="2710"/>
      <c r="Z63" s="2710"/>
      <c r="AA63" s="2710"/>
      <c r="AB63" s="2710"/>
      <c r="AC63" s="2710"/>
      <c r="AD63" s="2710"/>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8"/>
      <c r="O64" s="2738"/>
      <c r="P64" s="2762"/>
      <c r="Q64" s="2724"/>
      <c r="R64" s="2710"/>
      <c r="S64" s="2710"/>
      <c r="T64" s="2710"/>
      <c r="U64" s="2710"/>
      <c r="V64" s="2710"/>
      <c r="W64" s="2710"/>
      <c r="X64" s="2710"/>
      <c r="Y64" s="2710"/>
      <c r="Z64" s="2710"/>
      <c r="AA64" s="2710"/>
      <c r="AB64" s="2710"/>
      <c r="AC64" s="2710"/>
      <c r="AD64" s="2710"/>
    </row>
    <row r="65" spans="1:30" ht="15.75" thickTop="1">
      <c r="A65" s="473"/>
      <c r="B65" s="485" t="s">
        <v>1812</v>
      </c>
      <c r="C65" s="598" t="s">
        <v>1798</v>
      </c>
      <c r="D65" s="598" t="s">
        <v>1799</v>
      </c>
      <c r="E65" s="598" t="s">
        <v>1800</v>
      </c>
      <c r="F65" s="598" t="s">
        <v>1801</v>
      </c>
      <c r="G65" s="598" t="s">
        <v>1802</v>
      </c>
      <c r="H65" s="478"/>
      <c r="I65" s="478"/>
      <c r="J65" s="478"/>
      <c r="K65" s="478"/>
      <c r="L65" s="478"/>
      <c r="M65" s="1116"/>
      <c r="N65" s="2738"/>
      <c r="O65" s="2738"/>
      <c r="P65" s="2762"/>
      <c r="Q65" s="2724"/>
      <c r="R65" s="2710"/>
      <c r="S65" s="2710"/>
      <c r="T65" s="2710"/>
      <c r="U65" s="2710"/>
      <c r="V65" s="2710"/>
      <c r="W65" s="2710"/>
      <c r="X65" s="2710"/>
      <c r="Y65" s="2710"/>
      <c r="Z65" s="2710"/>
      <c r="AA65" s="2710"/>
      <c r="AB65" s="2710"/>
      <c r="AC65" s="2710"/>
      <c r="AD65" s="2710"/>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8"/>
      <c r="O66" s="2738"/>
      <c r="P66" s="2762"/>
      <c r="Q66" s="2724"/>
      <c r="R66" s="2710"/>
      <c r="S66" s="2710"/>
      <c r="T66" s="2710"/>
      <c r="U66" s="2710"/>
      <c r="V66" s="2710"/>
      <c r="W66" s="2710"/>
      <c r="X66" s="2710"/>
      <c r="Y66" s="2710"/>
      <c r="Z66" s="2710"/>
      <c r="AA66" s="2710"/>
      <c r="AB66" s="2710"/>
      <c r="AC66" s="2710"/>
      <c r="AD66" s="2710"/>
    </row>
    <row r="67" spans="1:30" ht="15.75" thickTop="1">
      <c r="A67" s="473"/>
      <c r="B67" s="477" t="s">
        <v>1732</v>
      </c>
      <c r="C67" s="517" t="s">
        <v>1720</v>
      </c>
      <c r="D67" s="517" t="s">
        <v>1721</v>
      </c>
      <c r="E67" s="517" t="s">
        <v>1722</v>
      </c>
      <c r="F67" s="517" t="s">
        <v>1723</v>
      </c>
      <c r="G67" s="517" t="s">
        <v>1724</v>
      </c>
      <c r="H67" s="478"/>
      <c r="I67" s="478"/>
      <c r="J67" s="478"/>
      <c r="K67" s="479"/>
      <c r="L67" s="480"/>
      <c r="M67" s="481"/>
      <c r="N67" s="2737"/>
      <c r="O67" s="2737"/>
      <c r="P67" s="2762"/>
      <c r="Q67" s="2724"/>
      <c r="R67" s="2710"/>
      <c r="S67" s="2710"/>
      <c r="T67" s="2710"/>
      <c r="U67" s="2710"/>
      <c r="V67" s="2710"/>
      <c r="W67" s="2710"/>
      <c r="X67" s="2710"/>
      <c r="Y67" s="2710"/>
      <c r="Z67" s="2710"/>
      <c r="AA67" s="2710"/>
      <c r="AB67" s="2710"/>
      <c r="AC67" s="2710"/>
      <c r="AD67" s="2710"/>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8"/>
      <c r="O68" s="2738"/>
      <c r="P68" s="2762"/>
      <c r="Q68" s="2724"/>
      <c r="R68" s="2710"/>
      <c r="S68" s="2710"/>
      <c r="T68" s="2710"/>
      <c r="U68" s="2710"/>
      <c r="V68" s="2710"/>
      <c r="W68" s="2710"/>
      <c r="X68" s="2710"/>
      <c r="Y68" s="2710"/>
      <c r="Z68" s="2710"/>
      <c r="AA68" s="2710"/>
      <c r="AB68" s="2710"/>
      <c r="AC68" s="2710"/>
      <c r="AD68" s="2710"/>
    </row>
    <row r="69" spans="1:30" ht="15.75" thickTop="1">
      <c r="A69" s="473"/>
      <c r="B69" s="477" t="s">
        <v>1851</v>
      </c>
      <c r="C69" s="493"/>
      <c r="D69" s="493"/>
      <c r="E69" s="493"/>
      <c r="F69" s="493"/>
      <c r="G69" s="493"/>
      <c r="H69" s="522"/>
      <c r="I69" s="522"/>
      <c r="J69" s="522"/>
      <c r="K69" s="523"/>
      <c r="L69" s="524"/>
      <c r="M69" s="525"/>
      <c r="N69" s="2737"/>
      <c r="O69" s="2737"/>
      <c r="P69" s="2762"/>
      <c r="Q69" s="2724"/>
      <c r="R69" s="2710"/>
      <c r="S69" s="2710"/>
      <c r="T69" s="2710"/>
      <c r="U69" s="2710"/>
      <c r="V69" s="2710"/>
      <c r="W69" s="2710"/>
      <c r="X69" s="2710"/>
      <c r="Y69" s="2710"/>
      <c r="Z69" s="2710"/>
      <c r="AA69" s="2710"/>
      <c r="AB69" s="2710"/>
      <c r="AC69" s="2710"/>
      <c r="AD69" s="2710"/>
    </row>
    <row r="70" spans="1:30" ht="15.75" thickBot="1">
      <c r="A70" s="473"/>
      <c r="B70" s="482"/>
      <c r="C70" s="483">
        <v>100</v>
      </c>
      <c r="D70" s="483">
        <f>C70-$K22</f>
        <v>100</v>
      </c>
      <c r="E70" s="483"/>
      <c r="F70" s="483"/>
      <c r="G70" s="483"/>
      <c r="H70" s="483"/>
      <c r="I70" s="483"/>
      <c r="J70" s="483"/>
      <c r="K70" s="483"/>
      <c r="L70" s="483"/>
      <c r="M70" s="484"/>
      <c r="N70" s="2738"/>
      <c r="O70" s="2738"/>
      <c r="P70" s="2762"/>
      <c r="Q70" s="2724"/>
      <c r="R70" s="2710"/>
      <c r="S70" s="2710"/>
      <c r="T70" s="2710"/>
      <c r="U70" s="2710"/>
      <c r="V70" s="2710"/>
      <c r="W70" s="2710"/>
      <c r="X70" s="2710"/>
      <c r="Y70" s="2710"/>
      <c r="Z70" s="2710"/>
      <c r="AA70" s="2710"/>
      <c r="AB70" s="2710"/>
      <c r="AC70" s="2710"/>
      <c r="AD70" s="2710"/>
    </row>
    <row r="71" spans="1:30" s="105" customFormat="1" ht="15.75" thickTop="1">
      <c r="A71" s="518"/>
      <c r="B71" s="477">
        <f>B23</f>
        <v>111</v>
      </c>
      <c r="C71" s="488"/>
      <c r="D71" s="488"/>
      <c r="E71" s="488"/>
      <c r="F71" s="488"/>
      <c r="G71" s="493"/>
      <c r="H71" s="493"/>
      <c r="I71" s="493"/>
      <c r="J71" s="493"/>
      <c r="K71" s="493"/>
      <c r="L71" s="519"/>
      <c r="M71" s="520"/>
      <c r="N71" s="2736"/>
      <c r="O71" s="2736"/>
      <c r="P71" s="2762"/>
      <c r="Q71" s="2724"/>
      <c r="R71" s="2647"/>
      <c r="S71" s="2647"/>
      <c r="T71" s="2647"/>
      <c r="U71" s="2647"/>
      <c r="V71" s="2647"/>
      <c r="W71" s="2647"/>
      <c r="X71" s="2647"/>
      <c r="Y71" s="2647"/>
      <c r="Z71" s="2647"/>
      <c r="AA71" s="2647"/>
      <c r="AB71" s="2647"/>
      <c r="AC71" s="2647"/>
      <c r="AD71" s="2647"/>
    </row>
    <row r="72" spans="1:30" s="105" customFormat="1" ht="15.75" thickBot="1">
      <c r="A72" s="518"/>
      <c r="B72" s="482"/>
      <c r="C72" s="499"/>
      <c r="D72" s="475"/>
      <c r="E72" s="475"/>
      <c r="F72" s="475"/>
      <c r="G72" s="475"/>
      <c r="H72" s="475"/>
      <c r="I72" s="475"/>
      <c r="J72" s="475"/>
      <c r="K72" s="475"/>
      <c r="L72" s="475"/>
      <c r="M72" s="476"/>
      <c r="N72" s="2738"/>
      <c r="O72" s="2738"/>
      <c r="P72" s="2762"/>
      <c r="Q72" s="2724"/>
      <c r="R72" s="2647"/>
      <c r="S72" s="2647"/>
      <c r="T72" s="2647"/>
      <c r="U72" s="2647"/>
      <c r="V72" s="2647"/>
      <c r="W72" s="2647"/>
      <c r="X72" s="2647"/>
      <c r="Y72" s="2647"/>
      <c r="Z72" s="2647"/>
      <c r="AA72" s="2647"/>
      <c r="AB72" s="2647"/>
      <c r="AC72" s="2647"/>
      <c r="AD72" s="2647"/>
    </row>
    <row r="73" spans="1:30" s="105" customFormat="1" ht="15.75" thickTop="1">
      <c r="A73" s="518"/>
      <c r="B73" s="477">
        <f>B24</f>
        <v>111</v>
      </c>
      <c r="C73" s="488"/>
      <c r="D73" s="488"/>
      <c r="E73" s="488"/>
      <c r="F73" s="488"/>
      <c r="G73" s="493"/>
      <c r="H73" s="493"/>
      <c r="I73" s="493"/>
      <c r="J73" s="493"/>
      <c r="K73" s="493"/>
      <c r="L73" s="493"/>
      <c r="M73" s="520"/>
      <c r="N73" s="2736"/>
      <c r="O73" s="2736"/>
      <c r="P73" s="2762"/>
      <c r="Q73" s="2724"/>
      <c r="R73" s="2647"/>
      <c r="S73" s="2647"/>
      <c r="T73" s="2647"/>
      <c r="U73" s="2647"/>
      <c r="V73" s="2647"/>
      <c r="W73" s="2647"/>
      <c r="X73" s="2647"/>
      <c r="Y73" s="2647"/>
      <c r="Z73" s="2647"/>
      <c r="AA73" s="2647"/>
      <c r="AB73" s="2647"/>
      <c r="AC73" s="2647"/>
      <c r="AD73" s="2647"/>
    </row>
    <row r="74" spans="1:30" s="105" customFormat="1" ht="15.75" thickBot="1">
      <c r="A74" s="518"/>
      <c r="B74" s="482"/>
      <c r="C74" s="499"/>
      <c r="D74" s="475"/>
      <c r="E74" s="475"/>
      <c r="F74" s="475"/>
      <c r="G74" s="475"/>
      <c r="H74" s="475"/>
      <c r="I74" s="475"/>
      <c r="J74" s="475"/>
      <c r="K74" s="475"/>
      <c r="L74" s="475"/>
      <c r="M74" s="476"/>
      <c r="N74" s="2738"/>
      <c r="O74" s="2738"/>
      <c r="P74" s="2762"/>
      <c r="Q74" s="2724"/>
      <c r="R74" s="2647"/>
      <c r="S74" s="2647"/>
      <c r="T74" s="2647"/>
      <c r="U74" s="2647"/>
      <c r="V74" s="2647"/>
      <c r="W74" s="2647"/>
      <c r="X74" s="2647"/>
      <c r="Y74" s="2647"/>
      <c r="Z74" s="2647"/>
      <c r="AA74" s="2647"/>
      <c r="AB74" s="2647"/>
      <c r="AC74" s="2647"/>
      <c r="AD74" s="2647"/>
    </row>
    <row r="75" spans="1:30" s="412" customFormat="1" ht="15.75" thickTop="1">
      <c r="A75" s="492"/>
      <c r="B75" s="477">
        <f>B25</f>
        <v>111</v>
      </c>
      <c r="C75" s="488"/>
      <c r="D75" s="488"/>
      <c r="E75" s="488"/>
      <c r="F75" s="488"/>
      <c r="G75" s="493"/>
      <c r="H75" s="494"/>
      <c r="I75" s="494"/>
      <c r="J75" s="494"/>
      <c r="K75" s="494"/>
      <c r="L75" s="495"/>
      <c r="M75" s="496"/>
      <c r="N75" s="2739"/>
      <c r="O75" s="2739"/>
      <c r="P75" s="2763"/>
      <c r="Q75" s="2730"/>
      <c r="R75" s="2731"/>
      <c r="S75" s="2731"/>
      <c r="T75" s="2731"/>
      <c r="U75" s="2731"/>
      <c r="V75" s="2731"/>
      <c r="W75" s="2731"/>
      <c r="X75" s="2731"/>
      <c r="Y75" s="2731"/>
      <c r="Z75" s="2731"/>
      <c r="AA75" s="2731"/>
      <c r="AB75" s="2731"/>
      <c r="AC75" s="2731"/>
      <c r="AD75" s="2731"/>
    </row>
    <row r="76" spans="1:30" s="412" customFormat="1" ht="15.75" thickBot="1">
      <c r="A76" s="492"/>
      <c r="B76" s="482"/>
      <c r="C76" s="499"/>
      <c r="D76" s="499"/>
      <c r="E76" s="499"/>
      <c r="F76" s="499"/>
      <c r="G76" s="475"/>
      <c r="H76" s="475"/>
      <c r="I76" s="475"/>
      <c r="J76" s="475"/>
      <c r="K76" s="475"/>
      <c r="L76" s="475"/>
      <c r="M76" s="476"/>
      <c r="N76" s="2739"/>
      <c r="O76" s="2739"/>
      <c r="P76" s="2763"/>
      <c r="Q76" s="2730"/>
      <c r="R76" s="2731"/>
      <c r="S76" s="2731"/>
      <c r="T76" s="2731"/>
      <c r="U76" s="2731"/>
      <c r="V76" s="2731"/>
      <c r="W76" s="2731"/>
      <c r="X76" s="2731"/>
      <c r="Y76" s="2731"/>
      <c r="Z76" s="2731"/>
      <c r="AA76" s="2731"/>
      <c r="AB76" s="2731"/>
      <c r="AC76" s="2731"/>
      <c r="AD76" s="2731"/>
    </row>
    <row r="77" spans="1:30" ht="15" thickTop="1">
      <c r="A77" s="466" t="s">
        <v>1693</v>
      </c>
      <c r="B77" s="467" t="s">
        <v>1739</v>
      </c>
      <c r="C77" s="493"/>
      <c r="D77" s="493"/>
      <c r="E77" s="469"/>
      <c r="F77" s="469"/>
      <c r="G77" s="469"/>
      <c r="H77" s="469"/>
      <c r="I77" s="469"/>
      <c r="J77" s="469"/>
      <c r="K77" s="470"/>
      <c r="L77" s="471"/>
      <c r="M77" s="472"/>
      <c r="N77" s="2737"/>
      <c r="O77" s="2737"/>
      <c r="P77" s="2762"/>
      <c r="Q77" s="2724"/>
      <c r="R77" s="2710"/>
      <c r="S77" s="2710"/>
      <c r="T77" s="2710"/>
      <c r="U77" s="2710"/>
      <c r="V77" s="2710"/>
      <c r="W77" s="2710"/>
      <c r="X77" s="2710"/>
      <c r="Y77" s="2710"/>
      <c r="Z77" s="2710"/>
      <c r="AA77" s="2710"/>
      <c r="AB77" s="2710"/>
      <c r="AC77" s="2710"/>
      <c r="AD77" s="2710"/>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8"/>
      <c r="O78" s="2738"/>
      <c r="P78" s="2762"/>
      <c r="Q78" s="2724"/>
      <c r="R78" s="2710"/>
      <c r="S78" s="2710"/>
      <c r="T78" s="2710"/>
      <c r="U78" s="2710"/>
      <c r="V78" s="2710"/>
      <c r="W78" s="2710"/>
      <c r="X78" s="2710"/>
      <c r="Y78" s="2710"/>
      <c r="Z78" s="2710"/>
      <c r="AA78" s="2710"/>
      <c r="AB78" s="2710"/>
      <c r="AC78" s="2710"/>
      <c r="AD78" s="2710"/>
    </row>
    <row r="79" spans="1:30" ht="15.75" thickTop="1">
      <c r="A79" s="473"/>
      <c r="B79" s="477" t="s">
        <v>1854</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6"/>
      <c r="O79" s="2736"/>
      <c r="P79" s="2762"/>
      <c r="Q79" s="2724"/>
      <c r="R79" s="2710"/>
      <c r="S79" s="2710"/>
      <c r="T79" s="2710"/>
      <c r="U79" s="2710"/>
      <c r="V79" s="2710"/>
      <c r="W79" s="2710"/>
      <c r="X79" s="2710"/>
      <c r="Y79" s="2710"/>
      <c r="Z79" s="2710"/>
      <c r="AA79" s="2710"/>
      <c r="AB79" s="2710"/>
      <c r="AC79" s="2710"/>
      <c r="AD79" s="2710"/>
    </row>
    <row r="80" spans="1:30" ht="15">
      <c r="A80" s="473"/>
      <c r="B80" s="485"/>
      <c r="C80" s="542">
        <v>0.5</v>
      </c>
      <c r="D80" s="542">
        <v>0.6</v>
      </c>
      <c r="E80" s="542">
        <v>0.7</v>
      </c>
      <c r="F80" s="542">
        <v>0.8</v>
      </c>
      <c r="G80" s="542">
        <v>0.9</v>
      </c>
      <c r="H80" s="542">
        <v>1.0001</v>
      </c>
      <c r="I80" s="598"/>
      <c r="J80" s="598"/>
      <c r="K80" s="606"/>
      <c r="L80" s="607"/>
      <c r="M80" s="608"/>
      <c r="N80" s="2736"/>
      <c r="O80" s="2736"/>
      <c r="P80" s="2762"/>
      <c r="Q80" s="2724"/>
      <c r="R80" s="2710"/>
      <c r="S80" s="2710"/>
      <c r="T80" s="2710"/>
      <c r="U80" s="2710"/>
      <c r="V80" s="2710"/>
      <c r="W80" s="2710"/>
      <c r="X80" s="2710"/>
      <c r="Y80" s="2710"/>
      <c r="Z80" s="2710"/>
      <c r="AA80" s="2710"/>
      <c r="AB80" s="2710"/>
      <c r="AC80" s="2710"/>
      <c r="AD80" s="2710"/>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8"/>
      <c r="O81" s="2738"/>
      <c r="P81" s="2763"/>
      <c r="Q81" s="2730"/>
      <c r="R81" s="2731"/>
      <c r="S81" s="2731"/>
      <c r="T81" s="2731"/>
      <c r="U81" s="2731"/>
      <c r="V81" s="2731"/>
      <c r="W81" s="2731"/>
      <c r="X81" s="2731"/>
      <c r="Y81" s="2731"/>
      <c r="Z81" s="2731"/>
      <c r="AA81" s="2731"/>
      <c r="AB81" s="2731"/>
      <c r="AC81" s="2731"/>
      <c r="AD81" s="2731"/>
    </row>
    <row r="82" spans="1:30" ht="15" thickTop="1">
      <c r="A82" s="538"/>
      <c r="B82" s="485" t="s">
        <v>1855</v>
      </c>
      <c r="C82" s="493"/>
      <c r="D82" s="493"/>
      <c r="E82" s="522"/>
      <c r="F82" s="522"/>
      <c r="G82" s="522"/>
      <c r="H82" s="522"/>
      <c r="I82" s="522"/>
      <c r="J82" s="522"/>
      <c r="K82" s="523"/>
      <c r="L82" s="524"/>
      <c r="M82" s="525"/>
      <c r="N82" s="2737"/>
      <c r="O82" s="2737"/>
      <c r="P82" s="2762"/>
      <c r="Q82" s="2724"/>
      <c r="R82" s="2710"/>
      <c r="S82" s="2710"/>
      <c r="T82" s="2710"/>
      <c r="U82" s="2710"/>
      <c r="V82" s="2710"/>
      <c r="W82" s="2710"/>
      <c r="X82" s="2710"/>
      <c r="Y82" s="2710"/>
      <c r="Z82" s="2710"/>
      <c r="AA82" s="2710"/>
      <c r="AB82" s="2710"/>
      <c r="AC82" s="2710"/>
      <c r="AD82" s="2710"/>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8"/>
      <c r="O83" s="2738"/>
      <c r="P83" s="2762"/>
      <c r="Q83" s="2724"/>
      <c r="R83" s="2710"/>
      <c r="S83" s="2710"/>
      <c r="T83" s="2710"/>
      <c r="U83" s="2710"/>
      <c r="V83" s="2710"/>
      <c r="W83" s="2710"/>
      <c r="X83" s="2710"/>
      <c r="Y83" s="2710"/>
      <c r="Z83" s="2710"/>
      <c r="AA83" s="2710"/>
      <c r="AB83" s="2710"/>
      <c r="AC83" s="2710"/>
      <c r="AD83" s="2710"/>
    </row>
    <row r="84" spans="1:30" ht="15" thickTop="1">
      <c r="A84" s="538"/>
      <c r="B84" s="477" t="s">
        <v>1863</v>
      </c>
      <c r="C84" s="493"/>
      <c r="D84" s="493"/>
      <c r="E84" s="493"/>
      <c r="F84" s="493"/>
      <c r="G84" s="493"/>
      <c r="H84" s="493"/>
      <c r="I84" s="522"/>
      <c r="J84" s="522"/>
      <c r="K84" s="523"/>
      <c r="L84" s="524"/>
      <c r="M84" s="525"/>
      <c r="N84" s="2737"/>
      <c r="O84" s="2737"/>
      <c r="P84" s="2762"/>
      <c r="Q84" s="2724"/>
      <c r="R84" s="2710"/>
      <c r="S84" s="2710"/>
      <c r="T84" s="2710"/>
      <c r="U84" s="2710"/>
      <c r="V84" s="2710"/>
      <c r="W84" s="2710"/>
      <c r="X84" s="2710"/>
      <c r="Y84" s="2710"/>
      <c r="Z84" s="2710"/>
      <c r="AA84" s="2710"/>
      <c r="AB84" s="2710"/>
      <c r="AC84" s="2710"/>
      <c r="AD84" s="2710"/>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8"/>
      <c r="O85" s="2738"/>
      <c r="P85" s="2762"/>
      <c r="Q85" s="2724"/>
      <c r="R85" s="2710"/>
      <c r="S85" s="2710"/>
      <c r="T85" s="2710"/>
      <c r="U85" s="2710"/>
      <c r="V85" s="2710"/>
      <c r="W85" s="2710"/>
      <c r="X85" s="2710"/>
      <c r="Y85" s="2710"/>
      <c r="Z85" s="2710"/>
      <c r="AA85" s="2710"/>
      <c r="AB85" s="2710"/>
      <c r="AC85" s="2710"/>
      <c r="AD85" s="2710"/>
    </row>
    <row r="86" spans="1:30" ht="15" thickTop="1">
      <c r="A86" s="538"/>
      <c r="B86" s="485" t="s">
        <v>1864</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7"/>
      <c r="O86" s="2737"/>
      <c r="P86" s="2762"/>
      <c r="Q86" s="2724"/>
      <c r="R86" s="2710"/>
      <c r="S86" s="2710"/>
      <c r="T86" s="2710"/>
      <c r="U86" s="2710"/>
      <c r="V86" s="2710"/>
      <c r="W86" s="2710"/>
      <c r="X86" s="2710"/>
      <c r="Y86" s="2710"/>
      <c r="Z86" s="2710"/>
      <c r="AA86" s="2710"/>
      <c r="AB86" s="2710"/>
      <c r="AC86" s="2710"/>
      <c r="AD86" s="2710"/>
    </row>
    <row r="87" spans="1:30">
      <c r="A87" s="538"/>
      <c r="B87" s="485"/>
      <c r="C87" s="534"/>
      <c r="D87" s="534"/>
      <c r="E87" s="534"/>
      <c r="F87" s="534"/>
      <c r="G87" s="534"/>
      <c r="H87" s="534"/>
      <c r="I87" s="534"/>
      <c r="J87" s="535"/>
      <c r="K87" s="535"/>
      <c r="L87" s="536"/>
      <c r="M87" s="537"/>
      <c r="N87" s="2737"/>
      <c r="O87" s="2737"/>
      <c r="P87" s="2762"/>
      <c r="Q87" s="2724"/>
      <c r="R87" s="2710"/>
      <c r="S87" s="2710"/>
      <c r="T87" s="2710"/>
      <c r="U87" s="2710"/>
      <c r="V87" s="2710"/>
      <c r="W87" s="2710"/>
      <c r="X87" s="2710"/>
      <c r="Y87" s="2710"/>
      <c r="Z87" s="2710"/>
      <c r="AA87" s="2710"/>
      <c r="AB87" s="2710"/>
      <c r="AC87" s="2710"/>
      <c r="AD87" s="2710"/>
    </row>
    <row r="88" spans="1:30" ht="15.75" thickBot="1">
      <c r="A88" s="473"/>
      <c r="B88" s="482"/>
      <c r="C88" s="499"/>
      <c r="D88" s="475"/>
      <c r="E88" s="475"/>
      <c r="F88" s="475"/>
      <c r="G88" s="475"/>
      <c r="H88" s="475"/>
      <c r="I88" s="475"/>
      <c r="J88" s="475"/>
      <c r="K88" s="475"/>
      <c r="L88" s="475"/>
      <c r="M88" s="475"/>
      <c r="N88" s="2738"/>
      <c r="O88" s="2738"/>
      <c r="P88" s="2762"/>
      <c r="Q88" s="2724"/>
      <c r="R88" s="2710"/>
      <c r="S88" s="2710"/>
      <c r="T88" s="2710"/>
      <c r="U88" s="2710"/>
      <c r="V88" s="2710"/>
      <c r="W88" s="2710"/>
      <c r="X88" s="2710"/>
      <c r="Y88" s="2710"/>
      <c r="Z88" s="2710"/>
      <c r="AA88" s="2710"/>
      <c r="AB88" s="2710"/>
      <c r="AC88" s="2710"/>
      <c r="AD88" s="2710"/>
    </row>
    <row r="89" spans="1:30" s="412" customFormat="1" ht="15" thickTop="1">
      <c r="A89" s="532"/>
      <c r="B89" s="477" t="s">
        <v>1865</v>
      </c>
      <c r="C89" s="493"/>
      <c r="D89" s="493"/>
      <c r="E89" s="493"/>
      <c r="F89" s="493"/>
      <c r="G89" s="493"/>
      <c r="H89" s="493"/>
      <c r="I89" s="493"/>
      <c r="J89" s="493"/>
      <c r="K89" s="493"/>
      <c r="L89" s="493"/>
      <c r="M89" s="520"/>
      <c r="N89" s="2739"/>
      <c r="O89" s="2739"/>
      <c r="P89" s="2763"/>
      <c r="Q89" s="2730"/>
      <c r="R89" s="2731"/>
      <c r="S89" s="2731"/>
      <c r="T89" s="2731"/>
      <c r="U89" s="2731"/>
      <c r="V89" s="2731"/>
      <c r="W89" s="2731"/>
      <c r="X89" s="2731"/>
      <c r="Y89" s="2731"/>
      <c r="Z89" s="2731"/>
      <c r="AA89" s="2731"/>
      <c r="AB89" s="2731"/>
      <c r="AC89" s="2731"/>
      <c r="AD89" s="2731"/>
    </row>
    <row r="90" spans="1:30" s="412" customFormat="1" ht="15.75" thickBot="1">
      <c r="A90" s="492"/>
      <c r="B90" s="482"/>
      <c r="C90" s="499"/>
      <c r="D90" s="475"/>
      <c r="E90" s="475"/>
      <c r="F90" s="475"/>
      <c r="G90" s="475"/>
      <c r="H90" s="475"/>
      <c r="I90" s="475"/>
      <c r="J90" s="475"/>
      <c r="K90" s="475"/>
      <c r="L90" s="475"/>
      <c r="M90" s="476"/>
      <c r="N90" s="2739"/>
      <c r="O90" s="2739"/>
      <c r="P90" s="2763"/>
      <c r="Q90" s="2730"/>
      <c r="R90" s="2731"/>
      <c r="S90" s="2731"/>
      <c r="T90" s="2731"/>
      <c r="U90" s="2731"/>
      <c r="V90" s="2731"/>
      <c r="W90" s="2731"/>
      <c r="X90" s="2731"/>
      <c r="Y90" s="2731"/>
      <c r="Z90" s="2731"/>
      <c r="AA90" s="2731"/>
      <c r="AB90" s="2731"/>
      <c r="AC90" s="2731"/>
      <c r="AD90" s="2731"/>
    </row>
    <row r="91" spans="1:30" ht="15" thickTop="1">
      <c r="A91" s="538"/>
      <c r="B91" s="477">
        <f>B32</f>
        <v>111</v>
      </c>
      <c r="C91" s="488"/>
      <c r="D91" s="488"/>
      <c r="E91" s="488"/>
      <c r="F91" s="488"/>
      <c r="G91" s="493"/>
      <c r="H91" s="494"/>
      <c r="I91" s="494"/>
      <c r="J91" s="494"/>
      <c r="K91" s="494"/>
      <c r="L91" s="495"/>
      <c r="M91" s="496"/>
      <c r="N91" s="2737"/>
      <c r="O91" s="2737"/>
      <c r="P91" s="2762"/>
      <c r="Q91" s="2724"/>
      <c r="R91" s="2710"/>
      <c r="S91" s="2710"/>
      <c r="T91" s="2710"/>
      <c r="U91" s="2710"/>
      <c r="V91" s="2710"/>
      <c r="W91" s="2710"/>
      <c r="X91" s="2710"/>
      <c r="Y91" s="2710"/>
      <c r="Z91" s="2710"/>
      <c r="AA91" s="2710"/>
      <c r="AB91" s="2710"/>
      <c r="AC91" s="2710"/>
      <c r="AD91" s="2710"/>
    </row>
    <row r="92" spans="1:30" ht="15.75" thickBot="1">
      <c r="A92" s="473"/>
      <c r="B92" s="482"/>
      <c r="C92" s="499"/>
      <c r="D92" s="475"/>
      <c r="E92" s="475"/>
      <c r="F92" s="475"/>
      <c r="G92" s="499"/>
      <c r="H92" s="501"/>
      <c r="I92" s="501"/>
      <c r="J92" s="501"/>
      <c r="K92" s="501"/>
      <c r="L92" s="501"/>
      <c r="M92" s="502"/>
      <c r="N92" s="2738"/>
      <c r="O92" s="2738"/>
      <c r="P92" s="2762"/>
      <c r="Q92" s="2724"/>
      <c r="R92" s="2710"/>
      <c r="S92" s="2710"/>
      <c r="T92" s="2710"/>
      <c r="U92" s="2710"/>
      <c r="V92" s="2710"/>
      <c r="W92" s="2710"/>
      <c r="X92" s="2710"/>
      <c r="Y92" s="2710"/>
      <c r="Z92" s="2710"/>
      <c r="AA92" s="2710"/>
      <c r="AB92" s="2710"/>
      <c r="AC92" s="2710"/>
      <c r="AD92" s="2710"/>
    </row>
    <row r="93" spans="1:30" ht="15" thickTop="1">
      <c r="A93" s="538"/>
      <c r="B93" s="477">
        <f>B33</f>
        <v>111</v>
      </c>
      <c r="C93" s="488"/>
      <c r="D93" s="488"/>
      <c r="E93" s="488"/>
      <c r="F93" s="488"/>
      <c r="G93" s="493"/>
      <c r="H93" s="494"/>
      <c r="I93" s="494"/>
      <c r="J93" s="494"/>
      <c r="K93" s="494"/>
      <c r="L93" s="495"/>
      <c r="M93" s="496"/>
      <c r="N93" s="2737"/>
      <c r="O93" s="2737"/>
      <c r="P93" s="2762"/>
      <c r="Q93" s="2724"/>
      <c r="R93" s="2710"/>
      <c r="S93" s="2710"/>
      <c r="T93" s="2710"/>
      <c r="U93" s="2710"/>
      <c r="V93" s="2710"/>
      <c r="W93" s="2710"/>
      <c r="X93" s="2710"/>
      <c r="Y93" s="2710"/>
      <c r="Z93" s="2710"/>
      <c r="AA93" s="2710"/>
      <c r="AB93" s="2710"/>
      <c r="AC93" s="2710"/>
      <c r="AD93" s="2710"/>
    </row>
    <row r="94" spans="1:30" ht="15.75" thickBot="1">
      <c r="A94" s="473"/>
      <c r="B94" s="482"/>
      <c r="C94" s="499"/>
      <c r="D94" s="475"/>
      <c r="E94" s="475"/>
      <c r="F94" s="475"/>
      <c r="G94" s="499"/>
      <c r="H94" s="501"/>
      <c r="I94" s="501"/>
      <c r="J94" s="501"/>
      <c r="K94" s="501"/>
      <c r="L94" s="501"/>
      <c r="M94" s="502"/>
      <c r="N94" s="2738"/>
      <c r="O94" s="2738"/>
      <c r="P94" s="2762"/>
      <c r="Q94" s="2724"/>
      <c r="R94" s="2710"/>
      <c r="S94" s="2710"/>
      <c r="T94" s="2710"/>
      <c r="U94" s="2710"/>
      <c r="V94" s="2710"/>
      <c r="W94" s="2710"/>
      <c r="X94" s="2710"/>
      <c r="Y94" s="2710"/>
      <c r="Z94" s="2710"/>
      <c r="AA94" s="2710"/>
      <c r="AB94" s="2710"/>
      <c r="AC94" s="2710"/>
      <c r="AD94" s="2710"/>
    </row>
    <row r="95" spans="1:30" ht="15" thickTop="1">
      <c r="A95" s="538"/>
      <c r="B95" s="574">
        <f>B34</f>
        <v>111</v>
      </c>
      <c r="C95" s="488"/>
      <c r="D95" s="488"/>
      <c r="E95" s="488"/>
      <c r="F95" s="488"/>
      <c r="G95" s="493"/>
      <c r="H95" s="494"/>
      <c r="I95" s="494"/>
      <c r="J95" s="494"/>
      <c r="K95" s="494"/>
      <c r="L95" s="495"/>
      <c r="M95" s="496"/>
      <c r="N95" s="2738"/>
      <c r="O95" s="2738"/>
      <c r="P95" s="2765"/>
      <c r="Q95" s="2752"/>
      <c r="R95" s="2710"/>
      <c r="S95" s="2710"/>
      <c r="T95" s="2710"/>
      <c r="U95" s="2710"/>
      <c r="V95" s="2710"/>
      <c r="W95" s="2710"/>
      <c r="X95" s="2710"/>
      <c r="Y95" s="2710"/>
      <c r="Z95" s="2710"/>
      <c r="AA95" s="2710"/>
      <c r="AB95" s="2710"/>
      <c r="AC95" s="2710"/>
      <c r="AD95" s="2710"/>
    </row>
    <row r="96" spans="1:30" ht="15.75" thickBot="1">
      <c r="A96" s="473"/>
      <c r="B96" s="482"/>
      <c r="C96" s="499"/>
      <c r="D96" s="499"/>
      <c r="E96" s="499"/>
      <c r="F96" s="499"/>
      <c r="G96" s="499"/>
      <c r="H96" s="501"/>
      <c r="I96" s="501"/>
      <c r="J96" s="501"/>
      <c r="K96" s="501"/>
      <c r="L96" s="501"/>
      <c r="M96" s="502"/>
      <c r="N96" s="2738"/>
      <c r="O96" s="2738"/>
      <c r="P96" s="2762"/>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3"/>
      <c r="B98" s="923"/>
      <c r="C98" s="923"/>
      <c r="D98" s="923"/>
      <c r="E98" s="923"/>
      <c r="F98" s="923"/>
      <c r="G98" s="923"/>
      <c r="H98" s="923"/>
      <c r="I98" s="923"/>
      <c r="J98" s="923"/>
      <c r="K98" s="924"/>
      <c r="L98" s="925"/>
      <c r="M98" s="923"/>
      <c r="N98" s="2710"/>
      <c r="O98" s="2710"/>
      <c r="P98" s="2710"/>
      <c r="Q98" s="2710"/>
      <c r="R98" s="2710"/>
      <c r="S98" s="2710"/>
      <c r="T98" s="2710"/>
      <c r="U98" s="2710"/>
      <c r="V98" s="2710"/>
      <c r="W98" s="2710"/>
      <c r="X98" s="2710"/>
      <c r="Y98" s="2710"/>
      <c r="Z98" s="2710"/>
      <c r="AA98" s="2710"/>
      <c r="AB98" s="2710"/>
      <c r="AC98" s="2710"/>
      <c r="AD98" s="2710"/>
    </row>
    <row r="99" spans="1:30">
      <c r="A99" s="923"/>
      <c r="B99" s="923"/>
      <c r="C99" s="923"/>
      <c r="D99" s="923"/>
      <c r="E99" s="923"/>
      <c r="F99" s="923"/>
      <c r="G99" s="923"/>
      <c r="H99" s="923"/>
      <c r="I99" s="923"/>
      <c r="J99" s="923"/>
      <c r="K99" s="924"/>
      <c r="L99" s="925"/>
      <c r="M99" s="923"/>
      <c r="N99" s="2710"/>
      <c r="O99" s="2710"/>
      <c r="P99" s="2710"/>
      <c r="Q99" s="2710"/>
      <c r="R99" s="2710"/>
      <c r="S99" s="2710"/>
      <c r="T99" s="2710"/>
      <c r="U99" s="2710"/>
      <c r="V99" s="2710"/>
      <c r="W99" s="2710"/>
      <c r="X99" s="2710"/>
      <c r="Y99" s="2710"/>
      <c r="Z99" s="2710"/>
      <c r="AA99" s="2710"/>
      <c r="AB99" s="2710"/>
      <c r="AC99" s="2710"/>
      <c r="AD99" s="2710"/>
    </row>
    <row r="100" spans="1:30">
      <c r="A100" s="923"/>
      <c r="B100" s="923"/>
      <c r="C100" s="923"/>
      <c r="D100" s="923"/>
      <c r="E100" s="923"/>
      <c r="F100" s="923"/>
      <c r="G100" s="923"/>
      <c r="H100" s="923"/>
      <c r="I100" s="923"/>
      <c r="J100" s="923"/>
      <c r="K100" s="924"/>
      <c r="L100" s="925"/>
      <c r="M100" s="923"/>
      <c r="N100" s="2710"/>
      <c r="O100" s="2710"/>
      <c r="P100" s="2710"/>
      <c r="Q100" s="2710"/>
      <c r="R100" s="2710"/>
      <c r="S100" s="2710"/>
      <c r="T100" s="2710"/>
      <c r="U100" s="2710"/>
      <c r="V100" s="2710"/>
      <c r="W100" s="2710"/>
      <c r="X100" s="2710"/>
      <c r="Y100" s="2710"/>
      <c r="Z100" s="2710"/>
      <c r="AA100" s="2710"/>
      <c r="AB100" s="2710"/>
      <c r="AC100" s="2710"/>
      <c r="AD100" s="2710"/>
    </row>
    <row r="101" spans="1:30">
      <c r="A101" s="923"/>
      <c r="B101" s="923"/>
      <c r="C101" s="923"/>
      <c r="D101" s="923"/>
      <c r="E101" s="923"/>
      <c r="F101" s="923"/>
      <c r="G101" s="923"/>
      <c r="H101" s="923"/>
      <c r="I101" s="923"/>
      <c r="J101" s="923"/>
      <c r="K101" s="924"/>
      <c r="L101" s="925"/>
      <c r="M101" s="923"/>
      <c r="N101" s="2710"/>
      <c r="O101" s="2710"/>
      <c r="P101" s="2710"/>
      <c r="Q101" s="2710"/>
      <c r="R101" s="2710"/>
      <c r="S101" s="2710"/>
      <c r="T101" s="2710"/>
      <c r="U101" s="2710"/>
      <c r="V101" s="2710"/>
      <c r="W101" s="2710"/>
      <c r="X101" s="2710"/>
      <c r="Y101" s="2710"/>
      <c r="Z101" s="2710"/>
      <c r="AA101" s="2710"/>
      <c r="AB101" s="2710"/>
      <c r="AC101" s="2710"/>
      <c r="AD101" s="2710"/>
    </row>
    <row r="102" spans="1:30">
      <c r="A102" s="923"/>
      <c r="B102" s="923"/>
      <c r="C102" s="923"/>
      <c r="D102" s="923"/>
      <c r="E102" s="923"/>
      <c r="F102" s="923"/>
      <c r="G102" s="923"/>
      <c r="H102" s="923"/>
      <c r="I102" s="923"/>
      <c r="J102" s="923"/>
      <c r="K102" s="924"/>
      <c r="L102" s="925"/>
      <c r="M102" s="923"/>
      <c r="N102" s="2710"/>
      <c r="O102" s="2710"/>
      <c r="P102" s="2710"/>
      <c r="Q102" s="2710"/>
      <c r="R102" s="2710"/>
      <c r="S102" s="2710"/>
      <c r="T102" s="2710"/>
      <c r="U102" s="2710"/>
      <c r="V102" s="2710"/>
      <c r="W102" s="2710"/>
      <c r="X102" s="2710"/>
      <c r="Y102" s="2710"/>
      <c r="Z102" s="2710"/>
      <c r="AA102" s="2710"/>
      <c r="AB102" s="2710"/>
      <c r="AC102" s="2710"/>
      <c r="AD102" s="2710"/>
    </row>
    <row r="103" spans="1:30">
      <c r="A103" s="923"/>
      <c r="B103" s="923"/>
      <c r="C103" s="923"/>
      <c r="D103" s="923"/>
      <c r="E103" s="923"/>
      <c r="F103" s="923"/>
      <c r="G103" s="923"/>
      <c r="H103" s="923"/>
      <c r="I103" s="923"/>
      <c r="J103" s="923"/>
      <c r="K103" s="924"/>
      <c r="L103" s="925"/>
      <c r="M103" s="923"/>
      <c r="N103" s="923"/>
      <c r="O103" s="923"/>
      <c r="P103" s="2710"/>
      <c r="Q103" s="2710"/>
      <c r="R103" s="2710"/>
      <c r="S103" s="2710"/>
      <c r="T103" s="2710"/>
      <c r="U103" s="2710"/>
      <c r="V103" s="2710"/>
      <c r="W103" s="2710"/>
      <c r="X103" s="2710"/>
      <c r="Y103" s="2710"/>
      <c r="Z103" s="2710"/>
      <c r="AA103" s="2710"/>
      <c r="AB103" s="2710"/>
      <c r="AC103" s="2710"/>
      <c r="AD103" s="2710"/>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1866</v>
      </c>
      <c r="B1" s="339"/>
      <c r="C1" s="340" t="s">
        <v>1917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1461</v>
      </c>
      <c r="B2" s="609" t="e">
        <f>F61</f>
        <v>#DIV/0!</v>
      </c>
      <c r="C2" s="895"/>
      <c r="D2" s="895"/>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ROUND(IF(D3="",B2*10000/'数据-汇总表'!E3,B2*10000/D3),0)</f>
        <v>#DIV/0!</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19" t="s">
        <v>1769</v>
      </c>
      <c r="D4" s="3720"/>
      <c r="E4" s="3721" t="s">
        <v>1770</v>
      </c>
      <c r="F4" s="3722"/>
      <c r="G4" s="3719" t="s">
        <v>1771</v>
      </c>
      <c r="H4" s="3720"/>
      <c r="I4" s="3719" t="s">
        <v>1772</v>
      </c>
      <c r="J4" s="3720"/>
      <c r="K4" s="549" t="s">
        <v>1773</v>
      </c>
      <c r="L4" s="2700"/>
      <c r="M4" s="2701"/>
      <c r="N4" s="2701"/>
      <c r="O4" s="2701"/>
      <c r="P4" s="3723" t="s">
        <v>1774</v>
      </c>
      <c r="Q4" s="3724"/>
      <c r="R4" s="3729" t="s">
        <v>1770</v>
      </c>
      <c r="S4" s="3730"/>
      <c r="T4" s="3729" t="s">
        <v>1771</v>
      </c>
      <c r="U4" s="3730"/>
      <c r="V4" s="3714" t="s">
        <v>1772</v>
      </c>
      <c r="W4" s="3714"/>
      <c r="X4" s="1342"/>
      <c r="Y4" s="3729" t="s">
        <v>1774</v>
      </c>
      <c r="Z4" s="3730"/>
      <c r="AA4" s="3716" t="s">
        <v>1770</v>
      </c>
      <c r="AB4" s="3717" t="s">
        <v>1771</v>
      </c>
      <c r="AC4" s="3716" t="s">
        <v>1772</v>
      </c>
    </row>
    <row r="5" spans="1:29" ht="15">
      <c r="A5" s="348"/>
      <c r="B5" s="349"/>
      <c r="C5" s="3737" t="s">
        <v>1672</v>
      </c>
      <c r="D5" s="3738"/>
      <c r="E5" s="3776" t="s">
        <v>1673</v>
      </c>
      <c r="F5" s="3746"/>
      <c r="G5" s="3737" t="s">
        <v>1674</v>
      </c>
      <c r="H5" s="3738"/>
      <c r="I5" s="3737" t="s">
        <v>1675</v>
      </c>
      <c r="J5" s="3738"/>
      <c r="K5" s="549"/>
      <c r="L5" s="2700"/>
      <c r="M5" s="2701"/>
      <c r="N5" s="2701"/>
      <c r="O5" s="2701"/>
      <c r="P5" s="3725"/>
      <c r="Q5" s="3726"/>
      <c r="R5" s="3731"/>
      <c r="S5" s="3732"/>
      <c r="T5" s="3731"/>
      <c r="U5" s="3732"/>
      <c r="V5" s="3714"/>
      <c r="W5" s="3714"/>
      <c r="X5" s="1342"/>
      <c r="Y5" s="3731"/>
      <c r="Z5" s="3732"/>
      <c r="AA5" s="3717"/>
      <c r="AB5" s="3717"/>
      <c r="AC5" s="3717"/>
    </row>
    <row r="6" spans="1:29" ht="15.75" thickBot="1">
      <c r="A6" s="350"/>
      <c r="B6" s="351"/>
      <c r="C6" s="3795" t="s">
        <v>1918</v>
      </c>
      <c r="D6" s="3796"/>
      <c r="E6" s="3797" t="s">
        <v>1918</v>
      </c>
      <c r="F6" s="3798"/>
      <c r="G6" s="3795" t="s">
        <v>1918</v>
      </c>
      <c r="H6" s="3796"/>
      <c r="I6" s="3795" t="s">
        <v>1918</v>
      </c>
      <c r="J6" s="3796"/>
      <c r="K6" s="549" t="s">
        <v>1677</v>
      </c>
      <c r="L6" s="2700"/>
      <c r="M6" s="2701"/>
      <c r="N6" s="2701"/>
      <c r="O6" s="2701"/>
      <c r="P6" s="3727"/>
      <c r="Q6" s="3728"/>
      <c r="R6" s="3731"/>
      <c r="S6" s="3732"/>
      <c r="T6" s="3733"/>
      <c r="U6" s="3734"/>
      <c r="V6" s="3714"/>
      <c r="W6" s="3714"/>
      <c r="X6" s="1342"/>
      <c r="Y6" s="3733"/>
      <c r="Z6" s="3734"/>
      <c r="AA6" s="3718"/>
      <c r="AB6" s="3718"/>
      <c r="AC6" s="3718"/>
    </row>
    <row r="7" spans="1:29" s="105" customFormat="1" ht="15.75" thickBot="1">
      <c r="A7" s="352" t="s">
        <v>1678</v>
      </c>
      <c r="B7" s="353"/>
      <c r="C7" s="354">
        <f>'数据-取费表'!B2</f>
        <v>45373</v>
      </c>
      <c r="D7" s="355">
        <v>100</v>
      </c>
      <c r="E7" s="356"/>
      <c r="F7" s="357">
        <f>SUMIF(65:65,YEAR(E7)&amp;"-"&amp;INT((MONTH(E7)+2)/3),66:66)</f>
        <v>0</v>
      </c>
      <c r="G7" s="1961"/>
      <c r="H7" s="355">
        <f>SUMIF(65:65,YEAR(G7)&amp;"-"&amp;INT((MONTH(G7)+2)/3),66:66)</f>
        <v>0</v>
      </c>
      <c r="I7" s="1961"/>
      <c r="J7" s="355">
        <f>SUMIF(65:65,YEAR(I7)&amp;"-"&amp;INT((MONTH(I7)+2)/3),66:66)</f>
        <v>0</v>
      </c>
      <c r="K7" s="550"/>
      <c r="L7" s="2702"/>
      <c r="M7" s="2703"/>
      <c r="N7" s="2703"/>
      <c r="O7" s="2703"/>
      <c r="P7" s="3739" t="s">
        <v>1679</v>
      </c>
      <c r="Q7" s="3741"/>
      <c r="R7" s="688" t="s">
        <v>14</v>
      </c>
      <c r="S7" s="689">
        <f t="shared" ref="S7:S15" si="0">F7</f>
        <v>0</v>
      </c>
      <c r="T7" s="688" t="s">
        <v>14</v>
      </c>
      <c r="U7" s="689">
        <f t="shared" ref="U7:U15" si="1">H7</f>
        <v>0</v>
      </c>
      <c r="V7" s="688" t="s">
        <v>14</v>
      </c>
      <c r="W7" s="689">
        <f t="shared" ref="W7:W15" si="2">J7</f>
        <v>0</v>
      </c>
      <c r="X7" s="690"/>
      <c r="Y7" s="3739" t="s">
        <v>1679</v>
      </c>
      <c r="Z7" s="3740"/>
      <c r="AA7" s="691" t="e">
        <f>D7/F7</f>
        <v>#DIV/0!</v>
      </c>
      <c r="AB7" s="691" t="e">
        <f>D7/H7</f>
        <v>#DIV/0!</v>
      </c>
      <c r="AC7" s="691" t="e">
        <f>D7/J7</f>
        <v>#DIV/0!</v>
      </c>
    </row>
    <row r="8" spans="1:29" s="105"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550"/>
      <c r="L8" s="2702"/>
      <c r="M8" s="2703"/>
      <c r="N8" s="2703"/>
      <c r="O8" s="2703"/>
      <c r="P8" s="3739" t="s">
        <v>1682</v>
      </c>
      <c r="Q8" s="3740"/>
      <c r="R8" s="688" t="s">
        <v>14</v>
      </c>
      <c r="S8" s="689">
        <f t="shared" si="0"/>
        <v>0</v>
      </c>
      <c r="T8" s="688" t="s">
        <v>14</v>
      </c>
      <c r="U8" s="689">
        <f t="shared" si="1"/>
        <v>0</v>
      </c>
      <c r="V8" s="688" t="s">
        <v>14</v>
      </c>
      <c r="W8" s="689">
        <f t="shared" si="2"/>
        <v>0</v>
      </c>
      <c r="X8" s="690"/>
      <c r="Y8" s="3739" t="s">
        <v>1682</v>
      </c>
      <c r="Z8" s="3740"/>
      <c r="AA8" s="691" t="e">
        <f t="shared" ref="AA8:AA40" si="3">D8/F8</f>
        <v>#DIV/0!</v>
      </c>
      <c r="AB8" s="691" t="e">
        <f t="shared" ref="AB8:AB40" si="4">D8/H8</f>
        <v>#DIV/0!</v>
      </c>
      <c r="AC8" s="691" t="e">
        <f t="shared" ref="AC8:AC40" si="5">D8/J8</f>
        <v>#DIV/0!</v>
      </c>
    </row>
    <row r="9" spans="1:29" s="105" customFormat="1">
      <c r="A9" s="359" t="s">
        <v>1683</v>
      </c>
      <c r="B9" s="63" t="s">
        <v>1684</v>
      </c>
      <c r="C9" s="1964"/>
      <c r="D9" s="116">
        <v>100</v>
      </c>
      <c r="E9" s="1964"/>
      <c r="F9" s="116">
        <f>SUMIF(70:70,E9,71:71)-SUMIF(70:70,C9,71:71)+100</f>
        <v>100</v>
      </c>
      <c r="G9" s="1964"/>
      <c r="H9" s="116">
        <f>SUMIF(70:70,G9,71:71)-SUMIF(70:70,C9,71:71)+100</f>
        <v>100</v>
      </c>
      <c r="I9" s="1964"/>
      <c r="J9" s="116">
        <f>SUMIF(70:70,I9,71:71)-SUMIF(70:70,C9,71:71)+100</f>
        <v>100</v>
      </c>
      <c r="K9" s="550"/>
      <c r="L9" s="2702"/>
      <c r="M9" s="2703"/>
      <c r="N9" s="2703"/>
      <c r="O9" s="2756"/>
      <c r="P9" s="3700" t="s">
        <v>1685</v>
      </c>
      <c r="Q9" s="1330" t="str">
        <f t="shared" ref="Q9:Q15" si="6">B9</f>
        <v>用途</v>
      </c>
      <c r="R9" s="688" t="s">
        <v>14</v>
      </c>
      <c r="S9" s="689">
        <f t="shared" si="0"/>
        <v>100</v>
      </c>
      <c r="T9" s="688" t="s">
        <v>14</v>
      </c>
      <c r="U9" s="689">
        <f t="shared" si="1"/>
        <v>100</v>
      </c>
      <c r="V9" s="688" t="s">
        <v>14</v>
      </c>
      <c r="W9" s="689">
        <f t="shared" si="2"/>
        <v>100</v>
      </c>
      <c r="X9" s="690"/>
      <c r="Y9" s="3607" t="s">
        <v>1686</v>
      </c>
      <c r="Z9" s="52" t="str">
        <f t="shared" ref="Z9:Z15" si="7">Q9</f>
        <v>用途</v>
      </c>
      <c r="AA9" s="691">
        <f t="shared" si="3"/>
        <v>1</v>
      </c>
      <c r="AB9" s="691">
        <f t="shared" si="4"/>
        <v>1</v>
      </c>
      <c r="AC9" s="691">
        <f t="shared" si="5"/>
        <v>1</v>
      </c>
    </row>
    <row r="10" spans="1:29" s="368" customFormat="1" ht="27">
      <c r="A10" s="364"/>
      <c r="B10" s="365" t="s">
        <v>1687</v>
      </c>
      <c r="C10" s="373"/>
      <c r="D10" s="117">
        <v>100</v>
      </c>
      <c r="E10" s="373"/>
      <c r="F10" s="117">
        <f>ROUND(100/'数据-取费表'!G16,0)</f>
        <v>153</v>
      </c>
      <c r="G10" s="373"/>
      <c r="H10" s="117">
        <f>ROUND(100/'数据-取费表'!G16,0)</f>
        <v>153</v>
      </c>
      <c r="I10" s="373"/>
      <c r="J10" s="117">
        <f>ROUND(100/'数据-取费表'!G16,0)</f>
        <v>153</v>
      </c>
      <c r="K10" s="610"/>
      <c r="L10" s="2704"/>
      <c r="M10" s="2705"/>
      <c r="N10" s="2705"/>
      <c r="O10" s="2757"/>
      <c r="P10" s="3700"/>
      <c r="Q10" s="1330" t="str">
        <f t="shared" si="6"/>
        <v>土地使用年限（年）</v>
      </c>
      <c r="R10" s="688" t="s">
        <v>14</v>
      </c>
      <c r="S10" s="689">
        <f t="shared" si="0"/>
        <v>153</v>
      </c>
      <c r="T10" s="688" t="s">
        <v>14</v>
      </c>
      <c r="U10" s="689">
        <f t="shared" si="1"/>
        <v>153</v>
      </c>
      <c r="V10" s="688" t="s">
        <v>14</v>
      </c>
      <c r="W10" s="689">
        <f t="shared" si="2"/>
        <v>153</v>
      </c>
      <c r="X10" s="690"/>
      <c r="Y10" s="3607"/>
      <c r="Z10" s="52" t="str">
        <f t="shared" si="7"/>
        <v>土地使用年限（年）</v>
      </c>
      <c r="AA10" s="691">
        <f t="shared" si="3"/>
        <v>0.65359477124183007</v>
      </c>
      <c r="AB10" s="691">
        <f t="shared" si="4"/>
        <v>0.65359477124183007</v>
      </c>
      <c r="AC10" s="691">
        <f t="shared" si="5"/>
        <v>0.65359477124183007</v>
      </c>
    </row>
    <row r="11" spans="1:29" ht="15">
      <c r="A11" s="369"/>
      <c r="B11" s="365" t="s">
        <v>1688</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6"/>
      <c r="M11" s="2701"/>
      <c r="N11" s="2701"/>
      <c r="O11" s="2758"/>
      <c r="P11" s="3700"/>
      <c r="Q11" s="1330" t="str">
        <f t="shared" si="6"/>
        <v>容积率</v>
      </c>
      <c r="R11" s="688" t="s">
        <v>14</v>
      </c>
      <c r="S11" s="689" t="e">
        <f t="shared" si="0"/>
        <v>#N/A</v>
      </c>
      <c r="T11" s="688" t="s">
        <v>14</v>
      </c>
      <c r="U11" s="689" t="e">
        <f t="shared" si="1"/>
        <v>#N/A</v>
      </c>
      <c r="V11" s="688" t="s">
        <v>14</v>
      </c>
      <c r="W11" s="689" t="e">
        <f t="shared" si="2"/>
        <v>#N/A</v>
      </c>
      <c r="X11" s="690"/>
      <c r="Y11" s="3607"/>
      <c r="Z11" s="52" t="str">
        <f t="shared" si="7"/>
        <v>容积率</v>
      </c>
      <c r="AA11" s="691" t="e">
        <f t="shared" si="3"/>
        <v>#N/A</v>
      </c>
      <c r="AB11" s="691" t="e">
        <f t="shared" si="4"/>
        <v>#N/A</v>
      </c>
      <c r="AC11" s="691" t="e">
        <f t="shared" si="5"/>
        <v>#N/A</v>
      </c>
    </row>
    <row r="12" spans="1:29" s="105" customFormat="1" ht="15">
      <c r="A12" s="372"/>
      <c r="B12" s="1880">
        <v>111</v>
      </c>
      <c r="C12" s="373"/>
      <c r="D12" s="374">
        <v>100</v>
      </c>
      <c r="E12" s="488"/>
      <c r="F12" s="117">
        <f>SUMIF(77:77,E12,78:78)-SUMIF(77:77,C12,78:78)+100</f>
        <v>100</v>
      </c>
      <c r="G12" s="612"/>
      <c r="H12" s="117">
        <f>SUMIF(77:77,G12,78:78)-SUMIF(77:77,C12,78:78)+100</f>
        <v>100</v>
      </c>
      <c r="I12" s="488"/>
      <c r="J12" s="117">
        <f>SUMIF(77:77,I12,78:78)-SUMIF(77:77,C12,78:78)+100</f>
        <v>100</v>
      </c>
      <c r="K12" s="610"/>
      <c r="L12" s="2702"/>
      <c r="M12" s="2703"/>
      <c r="N12" s="2703"/>
      <c r="O12" s="2756"/>
      <c r="P12" s="3700"/>
      <c r="Q12" s="1330">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
      <c r="A13" s="369"/>
      <c r="B13" s="1880">
        <v>111</v>
      </c>
      <c r="C13" s="375"/>
      <c r="D13" s="376">
        <v>100</v>
      </c>
      <c r="E13" s="488"/>
      <c r="F13" s="117">
        <f>SUMIF(79:79,E13,80:80)-SUMIF(79:79,C13,80:80)+100</f>
        <v>100</v>
      </c>
      <c r="G13" s="612"/>
      <c r="H13" s="376">
        <f>SUMIF(79:79,G13,80:80)-SUMIF(79:79,C13,80:80)+100</f>
        <v>100</v>
      </c>
      <c r="I13" s="488"/>
      <c r="J13" s="376">
        <f>SUMIF(79:79,I13,80:80)-SUMIF(79:79,C13,80:80)+100</f>
        <v>100</v>
      </c>
      <c r="K13" s="610"/>
      <c r="L13" s="2707"/>
      <c r="M13" s="2701"/>
      <c r="N13" s="2701"/>
      <c r="O13" s="2758"/>
      <c r="P13" s="3700"/>
      <c r="Q13" s="1330">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5.75" thickBot="1">
      <c r="A14" s="377"/>
      <c r="B14" s="1882">
        <v>111</v>
      </c>
      <c r="C14" s="378"/>
      <c r="D14" s="379">
        <v>100</v>
      </c>
      <c r="E14" s="488"/>
      <c r="F14" s="379">
        <f>SUMIF(81:81,E14,82:82)-SUMIF(81:81,C14,82:82)+100</f>
        <v>100</v>
      </c>
      <c r="G14" s="612"/>
      <c r="H14" s="379">
        <f>SUMIF(81:81,G14,82:82)-SUMIF(81:81,C14,82:82)+100</f>
        <v>100</v>
      </c>
      <c r="I14" s="488"/>
      <c r="J14" s="379">
        <f>SUMIF(81:81,I14,82:82)-SUMIF(81:81,C14,82:82)+100</f>
        <v>100</v>
      </c>
      <c r="K14" s="610"/>
      <c r="L14" s="2707"/>
      <c r="M14" s="2701"/>
      <c r="N14" s="2701"/>
      <c r="O14" s="2758"/>
      <c r="P14" s="3700"/>
      <c r="Q14" s="1330">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691">
        <f t="shared" si="5"/>
        <v>1</v>
      </c>
    </row>
    <row r="15" spans="1:29" ht="57">
      <c r="A15" s="381" t="s">
        <v>1689</v>
      </c>
      <c r="B15" s="567" t="s">
        <v>1919</v>
      </c>
      <c r="C15" s="1958"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7"/>
      <c r="M15" s="2701"/>
      <c r="N15" s="2701"/>
      <c r="O15" s="2758"/>
      <c r="P15" s="3707" t="s">
        <v>1690</v>
      </c>
      <c r="Q15" s="1339" t="str">
        <f t="shared" si="6"/>
        <v>产业集聚程度</v>
      </c>
      <c r="R15" s="692" t="s">
        <v>14</v>
      </c>
      <c r="S15" s="693">
        <f t="shared" si="0"/>
        <v>100</v>
      </c>
      <c r="T15" s="692" t="s">
        <v>14</v>
      </c>
      <c r="U15" s="693">
        <f t="shared" si="1"/>
        <v>100</v>
      </c>
      <c r="V15" s="692" t="s">
        <v>14</v>
      </c>
      <c r="W15" s="693">
        <f t="shared" si="2"/>
        <v>100</v>
      </c>
      <c r="X15" s="1342"/>
      <c r="Y15" s="3707" t="s">
        <v>1690</v>
      </c>
      <c r="Z15" s="1343" t="str">
        <f t="shared" si="7"/>
        <v>产业集聚程度</v>
      </c>
      <c r="AA15" s="1340">
        <f t="shared" si="3"/>
        <v>1</v>
      </c>
      <c r="AB15" s="1340">
        <f t="shared" si="4"/>
        <v>1</v>
      </c>
      <c r="AC15" s="1340">
        <f t="shared" si="5"/>
        <v>1</v>
      </c>
    </row>
    <row r="16" spans="1:29" ht="15">
      <c r="A16" s="369"/>
      <c r="B16" s="568"/>
      <c r="C16" s="388"/>
      <c r="D16" s="389"/>
      <c r="E16" s="1891"/>
      <c r="F16" s="389"/>
      <c r="G16" s="1891"/>
      <c r="H16" s="391"/>
      <c r="I16" s="1891"/>
      <c r="J16" s="389"/>
      <c r="K16" s="610"/>
      <c r="L16" s="2707"/>
      <c r="M16" s="2701"/>
      <c r="N16" s="2701"/>
      <c r="O16" s="2758"/>
      <c r="P16" s="3708"/>
      <c r="Q16" s="1339"/>
      <c r="R16" s="692"/>
      <c r="S16" s="693"/>
      <c r="T16" s="692"/>
      <c r="U16" s="693"/>
      <c r="V16" s="692"/>
      <c r="W16" s="693"/>
      <c r="X16" s="1342"/>
      <c r="Y16" s="3708"/>
      <c r="Z16" s="1343"/>
      <c r="AA16" s="1340">
        <v>1</v>
      </c>
      <c r="AB16" s="1340">
        <v>1</v>
      </c>
      <c r="AC16" s="1340">
        <v>1</v>
      </c>
    </row>
    <row r="17" spans="1:29" ht="85.5">
      <c r="A17" s="369"/>
      <c r="B17" s="569" t="s">
        <v>1832</v>
      </c>
      <c r="C17" s="1887"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7"/>
      <c r="M17" s="2701"/>
      <c r="N17" s="2701"/>
      <c r="O17" s="2758"/>
      <c r="P17" s="3708"/>
      <c r="Q17" s="1339" t="str">
        <f>B17</f>
        <v>交通便捷度</v>
      </c>
      <c r="R17" s="692" t="s">
        <v>14</v>
      </c>
      <c r="S17" s="693">
        <f>F17</f>
        <v>100</v>
      </c>
      <c r="T17" s="692" t="s">
        <v>14</v>
      </c>
      <c r="U17" s="693">
        <f>H17</f>
        <v>100</v>
      </c>
      <c r="V17" s="692" t="s">
        <v>14</v>
      </c>
      <c r="W17" s="693">
        <f>J17</f>
        <v>100</v>
      </c>
      <c r="X17" s="1342"/>
      <c r="Y17" s="3708"/>
      <c r="Z17" s="1343" t="str">
        <f>Q17</f>
        <v>交通便捷度</v>
      </c>
      <c r="AA17" s="1340">
        <f t="shared" si="3"/>
        <v>1</v>
      </c>
      <c r="AB17" s="1340">
        <f t="shared" si="4"/>
        <v>1</v>
      </c>
      <c r="AC17" s="1340">
        <f t="shared" si="5"/>
        <v>1</v>
      </c>
    </row>
    <row r="18" spans="1:29" ht="15">
      <c r="A18" s="369"/>
      <c r="B18" s="570"/>
      <c r="C18" s="388"/>
      <c r="D18" s="389"/>
      <c r="E18" s="1885"/>
      <c r="F18" s="389"/>
      <c r="G18" s="1885"/>
      <c r="H18" s="389"/>
      <c r="I18" s="1884"/>
      <c r="J18" s="389"/>
      <c r="K18" s="610"/>
      <c r="L18" s="2707"/>
      <c r="M18" s="2701"/>
      <c r="N18" s="2701"/>
      <c r="O18" s="2758"/>
      <c r="P18" s="3708"/>
      <c r="Q18" s="1339"/>
      <c r="R18" s="692"/>
      <c r="S18" s="693"/>
      <c r="T18" s="692"/>
      <c r="U18" s="693"/>
      <c r="V18" s="692"/>
      <c r="W18" s="693"/>
      <c r="X18" s="1342"/>
      <c r="Y18" s="3708"/>
      <c r="Z18" s="1343"/>
      <c r="AA18" s="1340">
        <v>1</v>
      </c>
      <c r="AB18" s="1340">
        <v>1</v>
      </c>
      <c r="AC18" s="1340">
        <v>1</v>
      </c>
    </row>
    <row r="19" spans="1:29" ht="15">
      <c r="A19" s="369"/>
      <c r="B19" s="569" t="s">
        <v>1870</v>
      </c>
      <c r="C19" s="1887">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7"/>
      <c r="M19" s="2701"/>
      <c r="N19" s="2701"/>
      <c r="O19" s="2758"/>
      <c r="P19" s="3708"/>
      <c r="Q19" s="1339" t="str">
        <f t="shared" ref="Q19:Q33" si="8">B19</f>
        <v>区域土地利用方向</v>
      </c>
      <c r="R19" s="692" t="s">
        <v>14</v>
      </c>
      <c r="S19" s="693">
        <f>F19</f>
        <v>100</v>
      </c>
      <c r="T19" s="692" t="s">
        <v>14</v>
      </c>
      <c r="U19" s="693">
        <f>H19</f>
        <v>100</v>
      </c>
      <c r="V19" s="692" t="s">
        <v>14</v>
      </c>
      <c r="W19" s="693">
        <f>J19</f>
        <v>100</v>
      </c>
      <c r="X19" s="1342"/>
      <c r="Y19" s="3708"/>
      <c r="Z19" s="1343" t="str">
        <f>Q19</f>
        <v>区域土地利用方向</v>
      </c>
      <c r="AA19" s="1340">
        <f t="shared" si="3"/>
        <v>1</v>
      </c>
      <c r="AB19" s="1340">
        <f t="shared" si="4"/>
        <v>1</v>
      </c>
      <c r="AC19" s="1340">
        <f t="shared" si="5"/>
        <v>1</v>
      </c>
    </row>
    <row r="20" spans="1:29" ht="15">
      <c r="A20" s="348"/>
      <c r="B20" s="570"/>
      <c r="C20" s="388"/>
      <c r="D20" s="389"/>
      <c r="E20" s="1885"/>
      <c r="F20" s="389"/>
      <c r="G20" s="1885"/>
      <c r="H20" s="389"/>
      <c r="I20" s="1885"/>
      <c r="J20" s="389"/>
      <c r="K20" s="727"/>
      <c r="L20" s="2707"/>
      <c r="M20" s="2701"/>
      <c r="N20" s="2701"/>
      <c r="O20" s="2758"/>
      <c r="P20" s="3708"/>
      <c r="Q20" s="1339"/>
      <c r="R20" s="692"/>
      <c r="S20" s="693"/>
      <c r="T20" s="692"/>
      <c r="U20" s="693"/>
      <c r="V20" s="692"/>
      <c r="W20" s="693"/>
      <c r="X20" s="1342"/>
      <c r="Y20" s="3708"/>
      <c r="Z20" s="1343"/>
      <c r="AA20" s="1340"/>
      <c r="AB20" s="1340"/>
      <c r="AC20" s="1340"/>
    </row>
    <row r="21" spans="1:29" ht="71.25">
      <c r="A21" s="348"/>
      <c r="B21" s="569" t="s">
        <v>1920</v>
      </c>
      <c r="C21" s="1887"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7"/>
      <c r="M21" s="2701"/>
      <c r="N21" s="2701"/>
      <c r="O21" s="2758"/>
      <c r="P21" s="3708"/>
      <c r="Q21" s="1339" t="str">
        <f t="shared" si="8"/>
        <v>环境状况</v>
      </c>
      <c r="R21" s="692" t="s">
        <v>14</v>
      </c>
      <c r="S21" s="693">
        <f>F21</f>
        <v>100</v>
      </c>
      <c r="T21" s="692" t="s">
        <v>14</v>
      </c>
      <c r="U21" s="693">
        <f>H21</f>
        <v>100</v>
      </c>
      <c r="V21" s="692" t="s">
        <v>14</v>
      </c>
      <c r="W21" s="693">
        <f>J21</f>
        <v>100</v>
      </c>
      <c r="X21" s="1342"/>
      <c r="Y21" s="3708"/>
      <c r="Z21" s="1343" t="str">
        <f>Q21</f>
        <v>环境状况</v>
      </c>
      <c r="AA21" s="1340">
        <f t="shared" si="3"/>
        <v>1</v>
      </c>
      <c r="AB21" s="1340">
        <f t="shared" si="4"/>
        <v>1</v>
      </c>
      <c r="AC21" s="1340">
        <f t="shared" si="5"/>
        <v>1</v>
      </c>
    </row>
    <row r="22" spans="1:29" ht="15">
      <c r="A22" s="348"/>
      <c r="B22" s="570"/>
      <c r="C22" s="388"/>
      <c r="D22" s="389"/>
      <c r="E22" s="1891"/>
      <c r="F22" s="389"/>
      <c r="G22" s="1891"/>
      <c r="H22" s="389"/>
      <c r="I22" s="388"/>
      <c r="J22" s="389"/>
      <c r="K22" s="610"/>
      <c r="L22" s="2707"/>
      <c r="M22" s="2701"/>
      <c r="N22" s="2701"/>
      <c r="O22" s="2758"/>
      <c r="P22" s="3708"/>
      <c r="Q22" s="1339"/>
      <c r="R22" s="692"/>
      <c r="S22" s="693"/>
      <c r="T22" s="692"/>
      <c r="U22" s="693"/>
      <c r="V22" s="692"/>
      <c r="W22" s="693"/>
      <c r="X22" s="1342"/>
      <c r="Y22" s="3708"/>
      <c r="Z22" s="1343"/>
      <c r="AA22" s="1340">
        <v>1</v>
      </c>
      <c r="AB22" s="1340">
        <v>1</v>
      </c>
      <c r="AC22" s="1340">
        <v>1</v>
      </c>
    </row>
    <row r="23" spans="1:29" s="105" customFormat="1" ht="42.75">
      <c r="A23" s="587"/>
      <c r="B23" s="571" t="s">
        <v>1777</v>
      </c>
      <c r="C23" s="1887"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702"/>
      <c r="M23" s="2703"/>
      <c r="N23" s="2703"/>
      <c r="O23" s="2756"/>
      <c r="P23" s="3708"/>
      <c r="Q23" s="1330" t="str">
        <f t="shared" si="8"/>
        <v>公共配套设施</v>
      </c>
      <c r="R23" s="688" t="s">
        <v>14</v>
      </c>
      <c r="S23" s="689">
        <f>F23</f>
        <v>100</v>
      </c>
      <c r="T23" s="688" t="s">
        <v>14</v>
      </c>
      <c r="U23" s="689">
        <f>H23</f>
        <v>100</v>
      </c>
      <c r="V23" s="688" t="s">
        <v>14</v>
      </c>
      <c r="W23" s="689">
        <f>J23</f>
        <v>100</v>
      </c>
      <c r="X23" s="690"/>
      <c r="Y23" s="3708"/>
      <c r="Z23" s="52" t="str">
        <f>Q23</f>
        <v>公共配套设施</v>
      </c>
      <c r="AA23" s="1340">
        <f>D23/F23</f>
        <v>1</v>
      </c>
      <c r="AB23" s="1340">
        <f>D23/H23</f>
        <v>1</v>
      </c>
      <c r="AC23" s="1340">
        <f>D23/J23</f>
        <v>1</v>
      </c>
    </row>
    <row r="24" spans="1:29" s="105" customFormat="1" ht="15">
      <c r="A24" s="587"/>
      <c r="B24" s="570"/>
      <c r="C24" s="1965"/>
      <c r="D24" s="389"/>
      <c r="E24" s="1891"/>
      <c r="F24" s="389"/>
      <c r="G24" s="1891"/>
      <c r="H24" s="389"/>
      <c r="I24" s="388"/>
      <c r="J24" s="389"/>
      <c r="K24" s="610"/>
      <c r="L24" s="2702"/>
      <c r="M24" s="2703"/>
      <c r="N24" s="2703"/>
      <c r="O24" s="2756"/>
      <c r="P24" s="3708"/>
      <c r="Q24" s="1330"/>
      <c r="R24" s="688"/>
      <c r="S24" s="689"/>
      <c r="T24" s="688"/>
      <c r="U24" s="689"/>
      <c r="V24" s="688"/>
      <c r="W24" s="689"/>
      <c r="X24" s="690"/>
      <c r="Y24" s="3708"/>
      <c r="Z24" s="52"/>
      <c r="AA24" s="691">
        <v>1</v>
      </c>
      <c r="AB24" s="691">
        <v>1</v>
      </c>
      <c r="AC24" s="691">
        <v>1</v>
      </c>
    </row>
    <row r="25" spans="1:29" s="105" customFormat="1" ht="28.5">
      <c r="A25" s="587"/>
      <c r="B25" s="571" t="s">
        <v>1778</v>
      </c>
      <c r="C25" s="1887"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702"/>
      <c r="M25" s="2703"/>
      <c r="N25" s="2703"/>
      <c r="O25" s="2756"/>
      <c r="P25" s="3708"/>
      <c r="Q25" s="1330" t="str">
        <f t="shared" ref="Q25" si="9">B25</f>
        <v>基础设施水平</v>
      </c>
      <c r="R25" s="688" t="s">
        <v>14</v>
      </c>
      <c r="S25" s="689">
        <f>F25</f>
        <v>100</v>
      </c>
      <c r="T25" s="688" t="s">
        <v>14</v>
      </c>
      <c r="U25" s="689">
        <f>H25</f>
        <v>100</v>
      </c>
      <c r="V25" s="688" t="s">
        <v>14</v>
      </c>
      <c r="W25" s="689">
        <f>J25</f>
        <v>100</v>
      </c>
      <c r="X25" s="690"/>
      <c r="Y25" s="3708"/>
      <c r="Z25" s="52" t="str">
        <f>Q25</f>
        <v>基础设施水平</v>
      </c>
      <c r="AA25" s="1340">
        <f>D25/F25</f>
        <v>1</v>
      </c>
      <c r="AB25" s="1340">
        <f>D25/H25</f>
        <v>1</v>
      </c>
      <c r="AC25" s="1340">
        <f>D25/J25</f>
        <v>1</v>
      </c>
    </row>
    <row r="26" spans="1:29" s="105" customFormat="1" ht="15">
      <c r="A26" s="587"/>
      <c r="B26" s="570"/>
      <c r="C26" s="1965"/>
      <c r="D26" s="389"/>
      <c r="E26" s="1966"/>
      <c r="F26" s="389"/>
      <c r="G26" s="1966"/>
      <c r="H26" s="389"/>
      <c r="I26" s="1966"/>
      <c r="J26" s="389"/>
      <c r="K26" s="610"/>
      <c r="L26" s="2702"/>
      <c r="M26" s="2703"/>
      <c r="N26" s="2703"/>
      <c r="O26" s="2756"/>
      <c r="P26" s="3708"/>
      <c r="Q26" s="1330"/>
      <c r="R26" s="688"/>
      <c r="S26" s="689"/>
      <c r="T26" s="688"/>
      <c r="U26" s="689"/>
      <c r="V26" s="688"/>
      <c r="W26" s="689"/>
      <c r="X26" s="690"/>
      <c r="Y26" s="3708"/>
      <c r="Z26" s="52"/>
      <c r="AA26" s="691">
        <v>1</v>
      </c>
      <c r="AB26" s="691">
        <v>1</v>
      </c>
      <c r="AC26" s="691">
        <v>1</v>
      </c>
    </row>
    <row r="27" spans="1:29" ht="15">
      <c r="A27" s="369"/>
      <c r="B27" s="570" t="s">
        <v>1779</v>
      </c>
      <c r="C27" s="555"/>
      <c r="D27" s="376">
        <v>100</v>
      </c>
      <c r="E27" s="572"/>
      <c r="F27" s="376">
        <f>SUMIF(95:95,E27,96:96)-SUMIF(95:95,C27,96:96)+100</f>
        <v>100</v>
      </c>
      <c r="G27" s="572"/>
      <c r="H27" s="376">
        <f>SUMIF(95:95,G27,96:96)-SUMIF(95:95,C27,96:96)+100</f>
        <v>100</v>
      </c>
      <c r="I27" s="572"/>
      <c r="J27" s="376">
        <f>SUMIF(95:95,I27,96:96)-SUMIF(95:95,C27,96:96)+100</f>
        <v>100</v>
      </c>
      <c r="K27" s="611"/>
      <c r="L27" s="2707"/>
      <c r="M27" s="2701"/>
      <c r="N27" s="2701"/>
      <c r="O27" s="2758"/>
      <c r="P27" s="3708"/>
      <c r="Q27" s="1339" t="str">
        <f t="shared" si="8"/>
        <v>临街状况</v>
      </c>
      <c r="R27" s="692" t="s">
        <v>14</v>
      </c>
      <c r="S27" s="693">
        <f t="shared" ref="S27:S40" si="10">F27</f>
        <v>100</v>
      </c>
      <c r="T27" s="692" t="s">
        <v>14</v>
      </c>
      <c r="U27" s="693">
        <f t="shared" ref="U27:U40" si="11">H27</f>
        <v>100</v>
      </c>
      <c r="V27" s="692" t="s">
        <v>14</v>
      </c>
      <c r="W27" s="693">
        <f t="shared" ref="W27:W40" si="12">J27</f>
        <v>100</v>
      </c>
      <c r="X27" s="1342"/>
      <c r="Y27" s="3708"/>
      <c r="Z27" s="1343" t="str">
        <f t="shared" ref="Z27:Z40" si="13">Q27</f>
        <v>临街状况</v>
      </c>
      <c r="AA27" s="1340">
        <f t="shared" si="3"/>
        <v>1</v>
      </c>
      <c r="AB27" s="1340">
        <f t="shared" si="4"/>
        <v>1</v>
      </c>
      <c r="AC27" s="1340">
        <f t="shared" si="5"/>
        <v>1</v>
      </c>
    </row>
    <row r="28" spans="1:29" ht="27">
      <c r="A28" s="369"/>
      <c r="B28" s="571" t="s">
        <v>1814</v>
      </c>
      <c r="C28" s="1978">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7"/>
      <c r="M28" s="2701"/>
      <c r="N28" s="2701"/>
      <c r="O28" s="2758"/>
      <c r="P28" s="3708"/>
      <c r="Q28" s="1339" t="str">
        <f t="shared" si="8"/>
        <v>毗邻道路的类型与等级</v>
      </c>
      <c r="R28" s="692" t="s">
        <v>14</v>
      </c>
      <c r="S28" s="693">
        <f t="shared" si="10"/>
        <v>100</v>
      </c>
      <c r="T28" s="692" t="s">
        <v>14</v>
      </c>
      <c r="U28" s="693">
        <f t="shared" si="11"/>
        <v>100</v>
      </c>
      <c r="V28" s="692" t="s">
        <v>14</v>
      </c>
      <c r="W28" s="693">
        <f t="shared" si="12"/>
        <v>100</v>
      </c>
      <c r="X28" s="1342"/>
      <c r="Y28" s="3708"/>
      <c r="Z28" s="1343" t="str">
        <f t="shared" si="13"/>
        <v>毗邻道路的类型与等级</v>
      </c>
      <c r="AA28" s="1340">
        <f t="shared" si="3"/>
        <v>1</v>
      </c>
      <c r="AB28" s="1340">
        <f t="shared" si="4"/>
        <v>1</v>
      </c>
      <c r="AC28" s="1340">
        <f t="shared" si="5"/>
        <v>1</v>
      </c>
    </row>
    <row r="29" spans="1:29" ht="15">
      <c r="A29" s="369"/>
      <c r="B29" s="570"/>
      <c r="C29" s="388"/>
      <c r="D29" s="389"/>
      <c r="E29" s="1891"/>
      <c r="F29" s="389"/>
      <c r="G29" s="1891"/>
      <c r="H29" s="389"/>
      <c r="I29" s="1891"/>
      <c r="J29" s="389"/>
      <c r="K29" s="552"/>
      <c r="L29" s="2707"/>
      <c r="M29" s="2701"/>
      <c r="N29" s="2701"/>
      <c r="O29" s="2758"/>
      <c r="P29" s="3708"/>
      <c r="Q29" s="1339"/>
      <c r="R29" s="692"/>
      <c r="S29" s="693"/>
      <c r="T29" s="692"/>
      <c r="U29" s="693"/>
      <c r="V29" s="692"/>
      <c r="W29" s="693"/>
      <c r="X29" s="1342"/>
      <c r="Y29" s="3708"/>
      <c r="Z29" s="1343"/>
      <c r="AA29" s="1340">
        <v>1</v>
      </c>
      <c r="AB29" s="1340">
        <v>1</v>
      </c>
      <c r="AC29" s="1340">
        <v>1</v>
      </c>
    </row>
    <row r="30" spans="1:29" ht="15">
      <c r="A30" s="369"/>
      <c r="B30" s="592" t="s">
        <v>1872</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7"/>
      <c r="M30" s="2701"/>
      <c r="N30" s="2701"/>
      <c r="O30" s="2758"/>
      <c r="P30" s="3708"/>
      <c r="Q30" s="1339" t="str">
        <f t="shared" si="8"/>
        <v>土地级别</v>
      </c>
      <c r="R30" s="692" t="s">
        <v>14</v>
      </c>
      <c r="S30" s="693">
        <f t="shared" si="10"/>
        <v>100</v>
      </c>
      <c r="T30" s="692" t="s">
        <v>14</v>
      </c>
      <c r="U30" s="693">
        <f t="shared" si="11"/>
        <v>100</v>
      </c>
      <c r="V30" s="692" t="s">
        <v>14</v>
      </c>
      <c r="W30" s="693">
        <f t="shared" si="12"/>
        <v>100</v>
      </c>
      <c r="X30" s="1342"/>
      <c r="Y30" s="3708"/>
      <c r="Z30" s="1343" t="str">
        <f t="shared" si="13"/>
        <v>土地级别</v>
      </c>
      <c r="AA30" s="1340">
        <f t="shared" si="3"/>
        <v>1</v>
      </c>
      <c r="AB30" s="1340">
        <f t="shared" si="4"/>
        <v>1</v>
      </c>
      <c r="AC30" s="1340">
        <f t="shared" si="5"/>
        <v>1</v>
      </c>
    </row>
    <row r="31" spans="1:29" ht="15">
      <c r="A31" s="348"/>
      <c r="B31" s="1953">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7"/>
      <c r="M31" s="2701"/>
      <c r="N31" s="2701"/>
      <c r="O31" s="2758"/>
      <c r="P31" s="3708"/>
      <c r="Q31" s="1339">
        <f t="shared" si="8"/>
        <v>111</v>
      </c>
      <c r="R31" s="692" t="s">
        <v>14</v>
      </c>
      <c r="S31" s="693">
        <f t="shared" si="10"/>
        <v>100</v>
      </c>
      <c r="T31" s="692" t="s">
        <v>14</v>
      </c>
      <c r="U31" s="693">
        <f t="shared" si="11"/>
        <v>100</v>
      </c>
      <c r="V31" s="692" t="s">
        <v>14</v>
      </c>
      <c r="W31" s="693">
        <f t="shared" si="12"/>
        <v>100</v>
      </c>
      <c r="X31" s="1342"/>
      <c r="Y31" s="3708"/>
      <c r="Z31" s="1343">
        <f t="shared" si="13"/>
        <v>111</v>
      </c>
      <c r="AA31" s="1340">
        <f t="shared" si="3"/>
        <v>1</v>
      </c>
      <c r="AB31" s="1340">
        <f t="shared" si="4"/>
        <v>1</v>
      </c>
      <c r="AC31" s="1340">
        <f t="shared" si="5"/>
        <v>1</v>
      </c>
    </row>
    <row r="32" spans="1:29" ht="15">
      <c r="A32" s="613"/>
      <c r="B32" s="1979">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7"/>
      <c r="M32" s="2701"/>
      <c r="N32" s="2701"/>
      <c r="O32" s="2758"/>
      <c r="P32" s="3792" t="s">
        <v>1695</v>
      </c>
      <c r="Q32" s="1339">
        <f t="shared" si="8"/>
        <v>111</v>
      </c>
      <c r="R32" s="692" t="s">
        <v>14</v>
      </c>
      <c r="S32" s="693">
        <f t="shared" si="10"/>
        <v>100</v>
      </c>
      <c r="T32" s="692" t="s">
        <v>14</v>
      </c>
      <c r="U32" s="693">
        <f t="shared" si="11"/>
        <v>100</v>
      </c>
      <c r="V32" s="692" t="s">
        <v>14</v>
      </c>
      <c r="W32" s="693">
        <f t="shared" si="12"/>
        <v>100</v>
      </c>
      <c r="X32" s="1342"/>
      <c r="Y32" s="3712" t="s">
        <v>1695</v>
      </c>
      <c r="Z32" s="1343">
        <f t="shared" si="13"/>
        <v>111</v>
      </c>
      <c r="AA32" s="1340">
        <f t="shared" si="3"/>
        <v>1</v>
      </c>
      <c r="AB32" s="1340">
        <f t="shared" si="4"/>
        <v>1</v>
      </c>
      <c r="AC32" s="1340">
        <f t="shared" si="5"/>
        <v>1</v>
      </c>
    </row>
    <row r="33" spans="1:31" s="412" customFormat="1" ht="15.75" thickBot="1">
      <c r="A33" s="614"/>
      <c r="B33" s="1980">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6"/>
      <c r="M33" s="2708"/>
      <c r="N33" s="2708"/>
      <c r="O33" s="2759"/>
      <c r="P33" s="3712"/>
      <c r="Q33" s="1339">
        <f t="shared" si="8"/>
        <v>111</v>
      </c>
      <c r="R33" s="695" t="s">
        <v>14</v>
      </c>
      <c r="S33" s="696">
        <f t="shared" si="10"/>
        <v>100</v>
      </c>
      <c r="T33" s="695" t="s">
        <v>14</v>
      </c>
      <c r="U33" s="696">
        <f t="shared" si="11"/>
        <v>100</v>
      </c>
      <c r="V33" s="695" t="s">
        <v>14</v>
      </c>
      <c r="W33" s="696">
        <f t="shared" si="12"/>
        <v>100</v>
      </c>
      <c r="X33" s="697"/>
      <c r="Y33" s="3712"/>
      <c r="Z33" s="698">
        <f t="shared" si="13"/>
        <v>111</v>
      </c>
      <c r="AA33" s="1340">
        <f t="shared" si="3"/>
        <v>1</v>
      </c>
      <c r="AB33" s="1340">
        <f t="shared" si="4"/>
        <v>1</v>
      </c>
      <c r="AC33" s="1340">
        <f t="shared" si="5"/>
        <v>1</v>
      </c>
    </row>
    <row r="34" spans="1:31" ht="15">
      <c r="A34" s="381" t="s">
        <v>1693</v>
      </c>
      <c r="B34" s="397" t="s">
        <v>1873</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7"/>
      <c r="M34" s="2701"/>
      <c r="N34" s="2701"/>
      <c r="O34" s="2758"/>
      <c r="P34" s="3712"/>
      <c r="Q34" s="1339" t="str">
        <f>B34</f>
        <v>宗地面积</v>
      </c>
      <c r="R34" s="692" t="s">
        <v>14</v>
      </c>
      <c r="S34" s="693" t="e">
        <f t="shared" si="10"/>
        <v>#N/A</v>
      </c>
      <c r="T34" s="692" t="s">
        <v>14</v>
      </c>
      <c r="U34" s="693" t="e">
        <f t="shared" si="11"/>
        <v>#N/A</v>
      </c>
      <c r="V34" s="692" t="s">
        <v>14</v>
      </c>
      <c r="W34" s="693" t="e">
        <f t="shared" si="12"/>
        <v>#N/A</v>
      </c>
      <c r="X34" s="1342"/>
      <c r="Y34" s="3712"/>
      <c r="Z34" s="1343" t="str">
        <f t="shared" si="13"/>
        <v>宗地面积</v>
      </c>
      <c r="AA34" s="1340" t="e">
        <f t="shared" si="3"/>
        <v>#N/A</v>
      </c>
      <c r="AB34" s="1340" t="e">
        <f t="shared" si="4"/>
        <v>#N/A</v>
      </c>
      <c r="AC34" s="1340" t="e">
        <f t="shared" si="5"/>
        <v>#N/A</v>
      </c>
    </row>
    <row r="35" spans="1:31" ht="15">
      <c r="A35" s="413"/>
      <c r="B35" s="365" t="s">
        <v>1874</v>
      </c>
      <c r="C35" s="1893"/>
      <c r="D35" s="376">
        <v>100</v>
      </c>
      <c r="E35" s="1893"/>
      <c r="F35" s="376">
        <f>SUMIF(110:110,E35,111:111)-SUMIF(110:110,C35,111:111)+100</f>
        <v>100</v>
      </c>
      <c r="G35" s="1893"/>
      <c r="H35" s="376">
        <f>SUMIF(110:110,G35,111:111)-SUMIF(110:110,C35,111:111)+100</f>
        <v>100</v>
      </c>
      <c r="I35" s="1893"/>
      <c r="J35" s="376">
        <f>SUMIF(110:110,I35,111:111)-SUMIF(110:110,C35,111:111)+100</f>
        <v>100</v>
      </c>
      <c r="K35" s="551"/>
      <c r="L35" s="2707"/>
      <c r="M35" s="2701"/>
      <c r="N35" s="2701"/>
      <c r="O35" s="2758"/>
      <c r="P35" s="3712"/>
      <c r="Q35" s="1339" t="str">
        <f t="shared" ref="Q35:Q40" si="14">B35</f>
        <v>宗地形状</v>
      </c>
      <c r="R35" s="692" t="s">
        <v>14</v>
      </c>
      <c r="S35" s="693">
        <f t="shared" si="10"/>
        <v>100</v>
      </c>
      <c r="T35" s="692" t="s">
        <v>14</v>
      </c>
      <c r="U35" s="693">
        <f t="shared" si="11"/>
        <v>100</v>
      </c>
      <c r="V35" s="692" t="s">
        <v>14</v>
      </c>
      <c r="W35" s="693">
        <f t="shared" si="12"/>
        <v>100</v>
      </c>
      <c r="X35" s="1342"/>
      <c r="Y35" s="3712"/>
      <c r="Z35" s="1343" t="str">
        <f t="shared" si="13"/>
        <v>宗地形状</v>
      </c>
      <c r="AA35" s="1340">
        <f t="shared" si="3"/>
        <v>1</v>
      </c>
      <c r="AB35" s="1340">
        <f t="shared" si="4"/>
        <v>1</v>
      </c>
      <c r="AC35" s="1340">
        <f t="shared" si="5"/>
        <v>1</v>
      </c>
    </row>
    <row r="36" spans="1:31" s="105" customFormat="1" ht="15">
      <c r="A36" s="414"/>
      <c r="B36" s="365" t="s">
        <v>1876</v>
      </c>
      <c r="C36" s="1967"/>
      <c r="D36" s="117">
        <v>100</v>
      </c>
      <c r="E36" s="1967"/>
      <c r="F36" s="376">
        <f>SUMIF(112:112,E36,113:113)-SUMIF(112:112,C36,113:113)+100</f>
        <v>100</v>
      </c>
      <c r="G36" s="1967"/>
      <c r="H36" s="376">
        <f>SUMIF(112:112,G36,113:113)-SUMIF(112:112,C36,113:113)+100</f>
        <v>100</v>
      </c>
      <c r="I36" s="1967"/>
      <c r="J36" s="376">
        <f>SUMIF(112:112,I36,113:113)-SUMIF(112:112,C36,113:113)+100</f>
        <v>100</v>
      </c>
      <c r="K36" s="551"/>
      <c r="L36" s="2702"/>
      <c r="M36" s="2703"/>
      <c r="N36" s="2703"/>
      <c r="O36" s="2756"/>
      <c r="P36" s="3712"/>
      <c r="Q36" s="1339" t="str">
        <f t="shared" si="14"/>
        <v>宗地开发程度</v>
      </c>
      <c r="R36" s="688" t="s">
        <v>14</v>
      </c>
      <c r="S36" s="689">
        <f t="shared" si="10"/>
        <v>100</v>
      </c>
      <c r="T36" s="688" t="s">
        <v>14</v>
      </c>
      <c r="U36" s="689">
        <f t="shared" si="11"/>
        <v>100</v>
      </c>
      <c r="V36" s="688" t="s">
        <v>14</v>
      </c>
      <c r="W36" s="689">
        <f t="shared" si="12"/>
        <v>100</v>
      </c>
      <c r="X36" s="690"/>
      <c r="Y36" s="3712"/>
      <c r="Z36" s="52" t="str">
        <f t="shared" si="13"/>
        <v>宗地开发程度</v>
      </c>
      <c r="AA36" s="691">
        <f t="shared" si="3"/>
        <v>1</v>
      </c>
      <c r="AB36" s="691">
        <f t="shared" si="4"/>
        <v>1</v>
      </c>
      <c r="AC36" s="691">
        <f t="shared" si="5"/>
        <v>1</v>
      </c>
    </row>
    <row r="37" spans="1:31" ht="15">
      <c r="A37" s="413"/>
      <c r="B37" s="365" t="s">
        <v>1877</v>
      </c>
      <c r="C37" s="1893"/>
      <c r="D37" s="376">
        <v>100</v>
      </c>
      <c r="E37" s="1893"/>
      <c r="F37" s="376">
        <f>SUMIF(114:114,E37,115:115)-SUMIF(114:114,C37,115:115)+100</f>
        <v>100</v>
      </c>
      <c r="G37" s="1893"/>
      <c r="H37" s="376">
        <f>SUMIF(114:114,G37,115:115)-SUMIF(114:114,C37,115:115)+100</f>
        <v>100</v>
      </c>
      <c r="I37" s="1893"/>
      <c r="J37" s="376">
        <f>SUMIF(114:114,I37,115:115)-SUMIF(114:114,C37,115:115)+100</f>
        <v>100</v>
      </c>
      <c r="K37" s="551"/>
      <c r="L37" s="2707"/>
      <c r="M37" s="2701"/>
      <c r="N37" s="2701"/>
      <c r="O37" s="2758"/>
      <c r="P37" s="3712" t="s">
        <v>1695</v>
      </c>
      <c r="Q37" s="1339" t="str">
        <f t="shared" si="14"/>
        <v>工程地质条件</v>
      </c>
      <c r="R37" s="692" t="s">
        <v>14</v>
      </c>
      <c r="S37" s="693">
        <f t="shared" si="10"/>
        <v>100</v>
      </c>
      <c r="T37" s="692" t="s">
        <v>14</v>
      </c>
      <c r="U37" s="693">
        <f t="shared" si="11"/>
        <v>100</v>
      </c>
      <c r="V37" s="692" t="s">
        <v>14</v>
      </c>
      <c r="W37" s="693">
        <f t="shared" si="12"/>
        <v>100</v>
      </c>
      <c r="X37" s="1342"/>
      <c r="Y37" s="3712" t="s">
        <v>1695</v>
      </c>
      <c r="Z37" s="1343" t="str">
        <f t="shared" si="13"/>
        <v>工程地质条件</v>
      </c>
      <c r="AA37" s="1340">
        <f t="shared" si="3"/>
        <v>1</v>
      </c>
      <c r="AB37" s="1340">
        <f t="shared" si="4"/>
        <v>1</v>
      </c>
      <c r="AC37" s="1340">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7"/>
      <c r="M38" s="2701"/>
      <c r="N38" s="2701"/>
      <c r="O38" s="2758"/>
      <c r="P38" s="3712"/>
      <c r="Q38" s="1339">
        <f t="shared" si="14"/>
        <v>111</v>
      </c>
      <c r="R38" s="692" t="s">
        <v>14</v>
      </c>
      <c r="S38" s="693">
        <f t="shared" si="10"/>
        <v>100</v>
      </c>
      <c r="T38" s="692" t="s">
        <v>14</v>
      </c>
      <c r="U38" s="693">
        <f t="shared" si="11"/>
        <v>100</v>
      </c>
      <c r="V38" s="692" t="s">
        <v>14</v>
      </c>
      <c r="W38" s="693">
        <f t="shared" si="12"/>
        <v>100</v>
      </c>
      <c r="X38" s="1342"/>
      <c r="Y38" s="3712"/>
      <c r="Z38" s="1343">
        <f t="shared" si="13"/>
        <v>111</v>
      </c>
      <c r="AA38" s="1340">
        <f t="shared" si="3"/>
        <v>1</v>
      </c>
      <c r="AB38" s="1340">
        <f t="shared" si="4"/>
        <v>1</v>
      </c>
      <c r="AC38" s="1340">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7"/>
      <c r="M39" s="2701"/>
      <c r="N39" s="2701"/>
      <c r="O39" s="2758"/>
      <c r="P39" s="3712"/>
      <c r="Q39" s="1339">
        <f t="shared" si="14"/>
        <v>111</v>
      </c>
      <c r="R39" s="692" t="s">
        <v>14</v>
      </c>
      <c r="S39" s="693">
        <f t="shared" si="10"/>
        <v>100</v>
      </c>
      <c r="T39" s="692" t="s">
        <v>14</v>
      </c>
      <c r="U39" s="693">
        <f t="shared" si="11"/>
        <v>100</v>
      </c>
      <c r="V39" s="692" t="s">
        <v>14</v>
      </c>
      <c r="W39" s="693">
        <f t="shared" si="12"/>
        <v>100</v>
      </c>
      <c r="X39" s="1342"/>
      <c r="Y39" s="3712"/>
      <c r="Z39" s="1343">
        <f t="shared" si="13"/>
        <v>111</v>
      </c>
      <c r="AA39" s="1340">
        <f t="shared" si="3"/>
        <v>1</v>
      </c>
      <c r="AB39" s="1340">
        <f t="shared" si="4"/>
        <v>1</v>
      </c>
      <c r="AC39" s="1340">
        <f t="shared" si="5"/>
        <v>1</v>
      </c>
    </row>
    <row r="40" spans="1:31" s="412" customFormat="1" ht="15.75" thickBot="1">
      <c r="A40" s="409"/>
      <c r="B40" s="1121">
        <v>111</v>
      </c>
      <c r="C40" s="1968"/>
      <c r="D40" s="118">
        <v>100</v>
      </c>
      <c r="E40" s="612"/>
      <c r="F40" s="379">
        <f>SUMIF(120:120,E40,121:121)-SUMIF(120:120,C40,121:121)+100</f>
        <v>100</v>
      </c>
      <c r="G40" s="612"/>
      <c r="H40" s="379">
        <f>SUMIF(120:120,G40,121:121)-SUMIF(120:120,C40,121:121)+100</f>
        <v>100</v>
      </c>
      <c r="I40" s="488"/>
      <c r="J40" s="379">
        <f>SUMIF(120:120,I40,121:121)-SUMIF(120:120,C40,121:121)+100</f>
        <v>100</v>
      </c>
      <c r="K40" s="619"/>
      <c r="L40" s="2706"/>
      <c r="M40" s="2708"/>
      <c r="N40" s="2708"/>
      <c r="O40" s="2759"/>
      <c r="P40" s="3712"/>
      <c r="Q40" s="1339">
        <f t="shared" si="14"/>
        <v>111</v>
      </c>
      <c r="R40" s="695" t="s">
        <v>14</v>
      </c>
      <c r="S40" s="696">
        <f t="shared" si="10"/>
        <v>100</v>
      </c>
      <c r="T40" s="695" t="s">
        <v>14</v>
      </c>
      <c r="U40" s="696">
        <f t="shared" si="11"/>
        <v>100</v>
      </c>
      <c r="V40" s="695" t="s">
        <v>14</v>
      </c>
      <c r="W40" s="696">
        <f t="shared" si="12"/>
        <v>100</v>
      </c>
      <c r="X40" s="697"/>
      <c r="Y40" s="3712"/>
      <c r="Z40" s="698">
        <f t="shared" si="13"/>
        <v>111</v>
      </c>
      <c r="AA40" s="1340">
        <f t="shared" si="3"/>
        <v>1</v>
      </c>
      <c r="AB40" s="1340">
        <f t="shared" si="4"/>
        <v>1</v>
      </c>
      <c r="AC40" s="1340">
        <f t="shared" si="5"/>
        <v>1</v>
      </c>
    </row>
    <row r="41" spans="1:31" ht="15">
      <c r="A41" s="420" t="s">
        <v>1843</v>
      </c>
      <c r="B41" s="1969" t="s">
        <v>1921</v>
      </c>
      <c r="C41" s="620" t="s">
        <v>0</v>
      </c>
      <c r="D41" s="422"/>
      <c r="E41" s="423"/>
      <c r="F41" s="424"/>
      <c r="G41" s="425"/>
      <c r="H41" s="426"/>
      <c r="I41" s="423"/>
      <c r="J41" s="426"/>
      <c r="K41" s="701"/>
      <c r="L41" s="2709"/>
      <c r="M41" s="2701"/>
      <c r="N41" s="2701"/>
      <c r="O41" s="2710"/>
      <c r="P41" s="3700" t="str">
        <f>A41</f>
        <v>成交单价</v>
      </c>
      <c r="Q41" s="3700"/>
      <c r="R41" s="3714">
        <f>E41</f>
        <v>0</v>
      </c>
      <c r="S41" s="3714"/>
      <c r="T41" s="3714">
        <f>G41</f>
        <v>0</v>
      </c>
      <c r="U41" s="3714"/>
      <c r="V41" s="3714">
        <f>I41</f>
        <v>0</v>
      </c>
      <c r="W41" s="3714"/>
      <c r="X41" s="677"/>
      <c r="Y41" s="699"/>
      <c r="Z41" s="677"/>
      <c r="AA41" s="677"/>
      <c r="AB41" s="677"/>
      <c r="AC41" s="677"/>
    </row>
    <row r="42" spans="1:31" ht="15.75" thickBot="1">
      <c r="A42" s="427" t="s">
        <v>1792</v>
      </c>
      <c r="B42" s="621"/>
      <c r="C42" s="430" t="e">
        <f>R43</f>
        <v>#DIV/0!</v>
      </c>
      <c r="D42" s="2304" t="s">
        <v>2137</v>
      </c>
      <c r="E42" s="430" t="e">
        <f>R42</f>
        <v>#DIV/0!</v>
      </c>
      <c r="F42" s="2305"/>
      <c r="G42" s="429" t="e">
        <f>T42</f>
        <v>#DIV/0!</v>
      </c>
      <c r="H42" s="2305"/>
      <c r="I42" s="430" t="e">
        <f>V42</f>
        <v>#DIV/0!</v>
      </c>
      <c r="J42" s="2305"/>
      <c r="K42" s="2307">
        <f>F42+H42+J42</f>
        <v>0</v>
      </c>
      <c r="L42" s="2709"/>
      <c r="M42" s="2701"/>
      <c r="N42" s="2701"/>
      <c r="O42" s="2710"/>
      <c r="P42" s="3700" t="str">
        <f>A42</f>
        <v>比较价值（元/平方米）</v>
      </c>
      <c r="Q42" s="3700"/>
      <c r="R42" s="3800" t="e">
        <f>ROUND(PRODUCT(R41,AA7:AA40),0)</f>
        <v>#DIV/0!</v>
      </c>
      <c r="S42" s="3800"/>
      <c r="T42" s="3800" t="e">
        <f>ROUND(PRODUCT(T41,AB7:AB40),0)</f>
        <v>#DIV/0!</v>
      </c>
      <c r="U42" s="3800"/>
      <c r="V42" s="3800" t="e">
        <f>ROUND(PRODUCT(V41,AC7:AC40),0)</f>
        <v>#DIV/0!</v>
      </c>
      <c r="W42" s="3800"/>
      <c r="X42" s="677"/>
      <c r="Y42" s="677"/>
      <c r="Z42" s="677"/>
      <c r="AA42" s="677"/>
      <c r="AB42" s="677"/>
      <c r="AC42" s="677"/>
    </row>
    <row r="43" spans="1:31" ht="15.75" thickBot="1">
      <c r="A43" s="431" t="s">
        <v>1793</v>
      </c>
      <c r="B43" s="432"/>
      <c r="C43" s="433" t="e">
        <f>R43</f>
        <v>#DIV/0!</v>
      </c>
      <c r="D43" s="433"/>
      <c r="E43" s="433"/>
      <c r="F43" s="433"/>
      <c r="G43" s="433"/>
      <c r="H43" s="433"/>
      <c r="I43" s="433"/>
      <c r="J43" s="433"/>
      <c r="K43" s="702"/>
      <c r="L43" s="2709"/>
      <c r="M43" s="2701"/>
      <c r="N43" s="2701"/>
      <c r="O43" s="2710"/>
      <c r="P43" s="3702" t="str">
        <f>A43</f>
        <v>估价对象XX用房的比较价值（楼面单价，元/平方米）</v>
      </c>
      <c r="Q43" s="3703"/>
      <c r="R43" s="3799" t="e">
        <f>ROUND(IF(D42="简单平均",AVERAGE(R42:W42),R42*F42+T42*H42+V42*J42),0)</f>
        <v>#DIV/0!</v>
      </c>
      <c r="S43" s="3799"/>
      <c r="T43" s="3799"/>
      <c r="U43" s="3799"/>
      <c r="V43" s="3799"/>
      <c r="W43" s="3799"/>
      <c r="X43" s="677"/>
      <c r="Y43" s="677"/>
      <c r="Z43" s="677"/>
      <c r="AA43" s="677"/>
      <c r="AB43" s="677"/>
      <c r="AC43" s="677"/>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41" customFormat="1" ht="15" thickBot="1">
      <c r="A49" s="2713"/>
      <c r="B49" s="2716"/>
      <c r="C49" s="680"/>
      <c r="D49" s="678"/>
      <c r="E49" s="678"/>
      <c r="F49" s="678"/>
      <c r="G49" s="678"/>
      <c r="H49" s="678"/>
      <c r="I49" s="678"/>
      <c r="J49" s="678"/>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22" t="s">
        <v>1880</v>
      </c>
      <c r="B50" s="623" t="s">
        <v>1881</v>
      </c>
      <c r="C50" s="1970" t="s">
        <v>1882</v>
      </c>
      <c r="D50" s="1971" t="s">
        <v>1883</v>
      </c>
      <c r="E50" s="624" t="s">
        <v>1884</v>
      </c>
      <c r="F50" s="625" t="s">
        <v>1885</v>
      </c>
      <c r="G50" s="3719" t="s">
        <v>1886</v>
      </c>
      <c r="H50" s="3794"/>
      <c r="I50" s="1343" t="s">
        <v>1922</v>
      </c>
      <c r="J50" s="1343">
        <f>项目基本情况!F35</f>
        <v>0</v>
      </c>
      <c r="K50" s="1973"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30" customFormat="1">
      <c r="A51" s="626" t="s">
        <v>1889</v>
      </c>
      <c r="B51" s="627" t="e">
        <f>C43</f>
        <v>#DIV/0!</v>
      </c>
      <c r="C51" s="628">
        <v>1</v>
      </c>
      <c r="D51" s="931">
        <v>1</v>
      </c>
      <c r="E51" s="628">
        <f>'数据-汇总表'!E8+'数据-汇总表'!E9</f>
        <v>56128.46</v>
      </c>
      <c r="F51" s="629" t="e">
        <f t="shared" ref="F51:F60" si="15">ROUND(B51*E51/10000,0)</f>
        <v>#DIV/0!</v>
      </c>
      <c r="G51" s="3715"/>
      <c r="H51" s="3700"/>
      <c r="I51" s="760">
        <v>1</v>
      </c>
      <c r="J51" s="760">
        <v>1</v>
      </c>
      <c r="K51" s="2713"/>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0" customFormat="1">
      <c r="A52" s="631" t="s">
        <v>1890</v>
      </c>
      <c r="B52" s="208" t="e">
        <f>ROUND($C$43*C52*D52,0)</f>
        <v>#DIV/0!</v>
      </c>
      <c r="C52" s="161">
        <f t="shared" ref="C52:C60" si="16">IF($C$50="北京市系数",I52,J52)</f>
        <v>0.6</v>
      </c>
      <c r="D52" s="932">
        <v>0.25</v>
      </c>
      <c r="E52" s="632"/>
      <c r="F52" s="629" t="e">
        <f t="shared" si="15"/>
        <v>#DIV/0!</v>
      </c>
      <c r="G52" s="2983" t="s">
        <v>1891</v>
      </c>
      <c r="H52" s="874" t="str">
        <f>项目基本情况!B37</f>
        <v>四级</v>
      </c>
      <c r="I52" s="760">
        <f>SUMIF(修正!A57:A68,H52,修正!B57:B68)</f>
        <v>0.6</v>
      </c>
      <c r="J52" s="761"/>
      <c r="K52" s="2710"/>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0" customFormat="1">
      <c r="A53" s="631" t="s">
        <v>1892</v>
      </c>
      <c r="B53" s="208" t="e">
        <f t="shared" ref="B53:B60" si="17">ROUND($C$43*C53*D53,0)</f>
        <v>#DIV/0!</v>
      </c>
      <c r="C53" s="161">
        <f t="shared" si="16"/>
        <v>0.3</v>
      </c>
      <c r="D53" s="932">
        <v>0.25</v>
      </c>
      <c r="E53" s="632"/>
      <c r="F53" s="629" t="e">
        <f t="shared" si="15"/>
        <v>#DIV/0!</v>
      </c>
      <c r="G53" s="2984"/>
      <c r="H53" s="874" t="str">
        <f>项目基本情况!B37</f>
        <v>四级</v>
      </c>
      <c r="I53" s="760">
        <f>SUMIF(修正!A57:A68,H53,修正!C57:C68)</f>
        <v>0.3</v>
      </c>
      <c r="J53" s="761"/>
      <c r="K53" s="2713"/>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0" customFormat="1">
      <c r="A54" s="631" t="s">
        <v>1893</v>
      </c>
      <c r="B54" s="208" t="e">
        <f t="shared" si="17"/>
        <v>#DIV/0!</v>
      </c>
      <c r="C54" s="161">
        <f t="shared" si="16"/>
        <v>0.25</v>
      </c>
      <c r="D54" s="932">
        <v>0.25</v>
      </c>
      <c r="E54" s="632"/>
      <c r="F54" s="629" t="e">
        <f t="shared" si="15"/>
        <v>#DIV/0!</v>
      </c>
      <c r="G54" s="2984"/>
      <c r="H54" s="874" t="str">
        <f>项目基本情况!B37</f>
        <v>四级</v>
      </c>
      <c r="I54" s="760">
        <f>SUMIF(修正!A57:A68,H54,修正!D57:D68)</f>
        <v>0.25</v>
      </c>
      <c r="J54" s="761"/>
      <c r="K54" s="2710"/>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0" customFormat="1" hidden="1">
      <c r="A55" s="631"/>
      <c r="B55" s="208"/>
      <c r="C55" s="161"/>
      <c r="D55" s="932"/>
      <c r="E55" s="632"/>
      <c r="F55" s="629"/>
      <c r="G55" s="2985"/>
      <c r="H55" s="874"/>
      <c r="I55" s="760"/>
      <c r="J55" s="761"/>
      <c r="K55" s="2713"/>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0" customFormat="1">
      <c r="A56" s="631" t="s">
        <v>1894</v>
      </c>
      <c r="B56" s="208" t="e">
        <f t="shared" si="17"/>
        <v>#DIV/0!</v>
      </c>
      <c r="C56" s="161">
        <f t="shared" si="16"/>
        <v>0.25</v>
      </c>
      <c r="D56" s="932">
        <v>0.25</v>
      </c>
      <c r="E56" s="207">
        <f>'数据-汇总表'!E11</f>
        <v>0</v>
      </c>
      <c r="F56" s="629" t="e">
        <f t="shared" si="15"/>
        <v>#DIV/0!</v>
      </c>
      <c r="G56" s="1974" t="s">
        <v>1895</v>
      </c>
      <c r="H56" s="874" t="str">
        <f>项目基本情况!C37</f>
        <v>四级</v>
      </c>
      <c r="I56" s="760">
        <f>SUMIF(修正!A57:A68,H56,修正!E57:E68)</f>
        <v>0.25</v>
      </c>
      <c r="J56" s="761"/>
      <c r="K56" s="2710"/>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0" customFormat="1">
      <c r="A57" s="631" t="s">
        <v>1896</v>
      </c>
      <c r="B57" s="208" t="e">
        <f t="shared" si="17"/>
        <v>#DIV/0!</v>
      </c>
      <c r="C57" s="161">
        <f t="shared" si="16"/>
        <v>0.25</v>
      </c>
      <c r="D57" s="932">
        <v>0.25</v>
      </c>
      <c r="E57" s="207">
        <f>'数据-汇总表'!E12</f>
        <v>0</v>
      </c>
      <c r="F57" s="629" t="e">
        <f t="shared" si="15"/>
        <v>#DIV/0!</v>
      </c>
      <c r="G57" s="879" t="s">
        <v>1897</v>
      </c>
      <c r="H57" s="874" t="str">
        <f>IF(G57="商业",项目基本情况!B37,IF(G57="办公",项目基本情况!C37,IF(G57="住宅",项目基本情况!D37,项目基本情况!E37)))</f>
        <v>四级</v>
      </c>
      <c r="I57" s="760">
        <f>SUMIF(修正!A57:A68,H57,修正!F57:F68)</f>
        <v>0.25</v>
      </c>
      <c r="J57" s="761"/>
      <c r="K57" s="2713"/>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0" customFormat="1">
      <c r="A58" s="631" t="s">
        <v>1898</v>
      </c>
      <c r="B58" s="208" t="e">
        <f t="shared" si="17"/>
        <v>#DIV/0!</v>
      </c>
      <c r="C58" s="161">
        <f t="shared" si="16"/>
        <v>0.15</v>
      </c>
      <c r="D58" s="932">
        <v>0.25</v>
      </c>
      <c r="E58" s="207">
        <f>'数据-汇总表'!E13</f>
        <v>0</v>
      </c>
      <c r="F58" s="629" t="e">
        <f t="shared" si="15"/>
        <v>#DIV/0!</v>
      </c>
      <c r="G58" s="879" t="s">
        <v>1899</v>
      </c>
      <c r="H58" s="874" t="str">
        <f>IF(G58="商业",项目基本情况!B37,IF(G58="办公",项目基本情况!C37,IF(G58="住宅",项目基本情况!D37,项目基本情况!E37)))</f>
        <v>四级</v>
      </c>
      <c r="I58" s="760">
        <f>SUMIF(修正!A57:A68,H58,修正!G57:G68)</f>
        <v>0.15</v>
      </c>
      <c r="J58" s="761"/>
      <c r="K58" s="2710"/>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0" customFormat="1">
      <c r="A59" s="631" t="s">
        <v>1900</v>
      </c>
      <c r="B59" s="208" t="e">
        <f t="shared" si="17"/>
        <v>#DIV/0!</v>
      </c>
      <c r="C59" s="161">
        <f t="shared" si="16"/>
        <v>0.15</v>
      </c>
      <c r="D59" s="932">
        <v>0.25</v>
      </c>
      <c r="E59" s="207">
        <f>'数据-汇总表'!E14</f>
        <v>0</v>
      </c>
      <c r="F59" s="629" t="e">
        <f t="shared" si="15"/>
        <v>#DIV/0!</v>
      </c>
      <c r="G59" s="1974" t="s">
        <v>1891</v>
      </c>
      <c r="H59" s="874" t="str">
        <f>项目基本情况!B37</f>
        <v>四级</v>
      </c>
      <c r="I59" s="760">
        <f>SUMIF(修正!A57:A68,H59,修正!G57:G68)</f>
        <v>0.15</v>
      </c>
      <c r="J59" s="761"/>
      <c r="K59" s="2713"/>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0" customFormat="1" ht="15" thickBot="1">
      <c r="A60" s="631" t="s">
        <v>1901</v>
      </c>
      <c r="B60" s="208" t="e">
        <f t="shared" si="17"/>
        <v>#DIV/0!</v>
      </c>
      <c r="C60" s="161">
        <f t="shared" si="16"/>
        <v>0.15</v>
      </c>
      <c r="D60" s="932">
        <v>0.25</v>
      </c>
      <c r="E60" s="207">
        <f>'数据-汇总表'!E15</f>
        <v>0</v>
      </c>
      <c r="F60" s="629" t="e">
        <f t="shared" si="15"/>
        <v>#DIV/0!</v>
      </c>
      <c r="G60" s="1975" t="s">
        <v>1895</v>
      </c>
      <c r="H60" s="884" t="str">
        <f>项目基本情况!C37</f>
        <v>四级</v>
      </c>
      <c r="I60" s="760">
        <f>SUMIF(修正!A57:A68,H60,修正!G57:G68)</f>
        <v>0.15</v>
      </c>
      <c r="J60" s="761"/>
      <c r="K60" s="2710"/>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0" customFormat="1" ht="15" thickBot="1">
      <c r="A61" s="633" t="s">
        <v>1902</v>
      </c>
      <c r="B61" s="634" t="s">
        <v>22</v>
      </c>
      <c r="C61" s="634" t="s">
        <v>23</v>
      </c>
      <c r="D61" s="634" t="s">
        <v>392</v>
      </c>
      <c r="E61" s="634">
        <f>IF(B41="楼面地价",SUM(E51:E60),'数据-汇总表'!D3)</f>
        <v>28178.74</v>
      </c>
      <c r="F61" s="635" t="e">
        <f>IF(B41="楼面地价",SUM(F51:F60),ROUND(C43*E61/10000,0))</f>
        <v>#DIV/0!</v>
      </c>
      <c r="G61" s="926"/>
      <c r="H61" s="926"/>
      <c r="I61" s="926"/>
      <c r="J61" s="926"/>
      <c r="K61" s="2715"/>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4"/>
      <c r="B62" s="916"/>
      <c r="C62" s="918"/>
      <c r="D62" s="914"/>
      <c r="E62" s="914"/>
      <c r="F62" s="914"/>
      <c r="G62" s="914"/>
      <c r="H62" s="914"/>
      <c r="I62" s="914"/>
      <c r="J62" s="914"/>
      <c r="K62" s="875"/>
      <c r="L62" s="876"/>
      <c r="M62" s="914"/>
      <c r="N62" s="914"/>
      <c r="O62" s="914"/>
      <c r="P62" s="2710"/>
      <c r="Q62" s="2710"/>
      <c r="R62" s="2710"/>
      <c r="S62" s="2710"/>
      <c r="T62" s="2710"/>
      <c r="U62" s="2710"/>
      <c r="V62" s="2710"/>
      <c r="W62" s="2710"/>
      <c r="X62" s="2710"/>
      <c r="Y62" s="2710"/>
      <c r="Z62" s="2710"/>
      <c r="AA62" s="2710"/>
      <c r="AB62" s="2710"/>
      <c r="AC62" s="2710"/>
      <c r="AD62" s="2710"/>
      <c r="AE62" s="2710"/>
    </row>
    <row r="63" spans="1:31">
      <c r="A63" s="914"/>
      <c r="B63" s="916"/>
      <c r="C63" s="679" t="str">
        <f>YEAR(C7)&amp;"-"&amp;MONTH(C7)&amp;"-1"</f>
        <v>2024-3-1</v>
      </c>
      <c r="D63" s="679">
        <f>EDATE(C63,-3)</f>
        <v>45261</v>
      </c>
      <c r="E63" s="679">
        <f>EDATE(D63,-3)</f>
        <v>45170</v>
      </c>
      <c r="F63" s="679">
        <f t="shared" ref="F63:O63" si="18">EDATE(E63,-3)</f>
        <v>45078</v>
      </c>
      <c r="G63" s="679">
        <f t="shared" si="18"/>
        <v>44986</v>
      </c>
      <c r="H63" s="679">
        <f t="shared" si="18"/>
        <v>44896</v>
      </c>
      <c r="I63" s="679">
        <f t="shared" si="18"/>
        <v>44805</v>
      </c>
      <c r="J63" s="679">
        <f t="shared" si="18"/>
        <v>44713</v>
      </c>
      <c r="K63" s="679">
        <f t="shared" si="18"/>
        <v>44621</v>
      </c>
      <c r="L63" s="679">
        <f t="shared" si="18"/>
        <v>44531</v>
      </c>
      <c r="M63" s="679">
        <f t="shared" si="18"/>
        <v>44440</v>
      </c>
      <c r="N63" s="679">
        <f t="shared" si="18"/>
        <v>44348</v>
      </c>
      <c r="O63" s="679">
        <f t="shared" si="18"/>
        <v>44256</v>
      </c>
      <c r="P63" s="2710"/>
      <c r="Q63" s="2710"/>
      <c r="R63" s="2710"/>
      <c r="S63" s="2710"/>
      <c r="T63" s="2710"/>
      <c r="U63" s="2710"/>
      <c r="V63" s="2710"/>
      <c r="W63" s="2710"/>
      <c r="X63" s="2710"/>
      <c r="Y63" s="2710"/>
      <c r="Z63" s="2710"/>
      <c r="AA63" s="2710"/>
      <c r="AB63" s="2710"/>
      <c r="AC63" s="2710"/>
      <c r="AD63" s="2710"/>
      <c r="AE63" s="2710"/>
    </row>
    <row r="64" spans="1:31" ht="21.75" thickBot="1">
      <c r="A64" s="681" t="s">
        <v>1797</v>
      </c>
      <c r="B64" s="677"/>
      <c r="C64" s="682"/>
      <c r="D64" s="682"/>
      <c r="E64" s="682"/>
      <c r="F64" s="683"/>
      <c r="G64" s="683"/>
      <c r="H64" s="682"/>
      <c r="I64" s="682"/>
      <c r="J64" s="682"/>
      <c r="K64" s="684"/>
      <c r="L64" s="685"/>
      <c r="M64" s="682"/>
      <c r="N64" s="682"/>
      <c r="O64" s="927"/>
      <c r="P64" s="2753"/>
      <c r="Q64" s="2724"/>
      <c r="R64" s="2710"/>
      <c r="S64" s="2710"/>
      <c r="T64" s="2710"/>
      <c r="U64" s="2710"/>
      <c r="V64" s="2710"/>
      <c r="W64" s="2710"/>
      <c r="X64" s="2710"/>
      <c r="Y64" s="2710"/>
      <c r="Z64" s="2710"/>
      <c r="AA64" s="2710"/>
      <c r="AB64" s="2710"/>
      <c r="AC64" s="2710"/>
      <c r="AD64" s="2710"/>
      <c r="AE64" s="2710"/>
    </row>
    <row r="65" spans="1:31" s="447" customFormat="1" ht="15">
      <c r="A65" s="1976" t="s">
        <v>1903</v>
      </c>
      <c r="B65" s="1096"/>
      <c r="C65" s="1169" t="str">
        <f>YEAR(C63)&amp;"-"&amp;ROUNDUP(MONTH(C63)/3,0)</f>
        <v>2024-1</v>
      </c>
      <c r="D65" s="1169" t="str">
        <f t="shared" ref="D65:O65" si="19">YEAR(D63)&amp;"-"&amp;ROUNDUP(MONTH(D63)/3,0)</f>
        <v>2023-4</v>
      </c>
      <c r="E65" s="1169" t="str">
        <f t="shared" si="19"/>
        <v>2023-3</v>
      </c>
      <c r="F65" s="1169" t="str">
        <f t="shared" si="19"/>
        <v>2023-2</v>
      </c>
      <c r="G65" s="1169" t="str">
        <f t="shared" si="19"/>
        <v>2023-1</v>
      </c>
      <c r="H65" s="1169" t="str">
        <f t="shared" si="19"/>
        <v>2022-4</v>
      </c>
      <c r="I65" s="1169" t="str">
        <f t="shared" si="19"/>
        <v>2022-3</v>
      </c>
      <c r="J65" s="1169" t="str">
        <f t="shared" si="19"/>
        <v>2022-2</v>
      </c>
      <c r="K65" s="1169" t="str">
        <f t="shared" si="19"/>
        <v>2022-1</v>
      </c>
      <c r="L65" s="1169" t="str">
        <f t="shared" si="19"/>
        <v>2021-4</v>
      </c>
      <c r="M65" s="1169" t="str">
        <f t="shared" si="19"/>
        <v>2021-3</v>
      </c>
      <c r="N65" s="1169" t="str">
        <f t="shared" si="19"/>
        <v>2021-2</v>
      </c>
      <c r="O65" s="1169" t="str">
        <f t="shared" si="19"/>
        <v>2021-1</v>
      </c>
      <c r="P65" s="2760"/>
      <c r="Q65" s="2725"/>
      <c r="R65" s="2725"/>
      <c r="S65" s="2725"/>
      <c r="T65" s="2725"/>
      <c r="U65" s="2725"/>
      <c r="V65" s="2725"/>
      <c r="W65" s="2725"/>
      <c r="X65" s="2725"/>
      <c r="Y65" s="2725"/>
      <c r="Z65" s="2725"/>
      <c r="AA65" s="2725"/>
      <c r="AB65" s="2725"/>
      <c r="AC65" s="2725"/>
      <c r="AD65" s="2725"/>
      <c r="AE65" s="2725"/>
    </row>
    <row r="66" spans="1:31" s="105" customFormat="1" ht="30.75" customHeight="1">
      <c r="A66" s="1981" t="s">
        <v>1923</v>
      </c>
      <c r="B66" s="278" t="str">
        <f>"北京市平均增长率"&amp;TEXT(基准地价修正!P28,"0.00%")</f>
        <v>北京市平均增长率0.00%</v>
      </c>
      <c r="C66" s="542">
        <v>100</v>
      </c>
      <c r="D66" s="534"/>
      <c r="E66" s="534"/>
      <c r="F66" s="534"/>
      <c r="G66" s="534"/>
      <c r="H66" s="534"/>
      <c r="I66" s="534"/>
      <c r="J66" s="534"/>
      <c r="K66" s="534"/>
      <c r="L66" s="534"/>
      <c r="M66" s="1165"/>
      <c r="N66" s="1165"/>
      <c r="O66" s="1167"/>
      <c r="P66" s="2724"/>
      <c r="Q66" s="2647"/>
      <c r="R66" s="2647"/>
      <c r="S66" s="2647"/>
      <c r="T66" s="2647"/>
      <c r="U66" s="2647"/>
      <c r="V66" s="2647"/>
      <c r="W66" s="2647"/>
      <c r="X66" s="2647"/>
      <c r="Y66" s="2647"/>
      <c r="Z66" s="2647"/>
      <c r="AA66" s="2647"/>
      <c r="AB66" s="2647"/>
      <c r="AC66" s="2647"/>
      <c r="AD66" s="2647"/>
      <c r="AE66" s="2647"/>
    </row>
    <row r="67" spans="1:31" s="105" customFormat="1" ht="15.75" thickBot="1">
      <c r="A67" s="454" t="s">
        <v>1715</v>
      </c>
      <c r="B67" s="455"/>
      <c r="C67" s="456"/>
      <c r="D67" s="457"/>
      <c r="E67" s="457"/>
      <c r="F67" s="457"/>
      <c r="G67" s="457"/>
      <c r="H67" s="457"/>
      <c r="I67" s="457"/>
      <c r="J67" s="457"/>
      <c r="K67" s="457"/>
      <c r="L67" s="457"/>
      <c r="M67" s="458"/>
      <c r="N67" s="458"/>
      <c r="O67" s="459"/>
      <c r="P67" s="2724"/>
      <c r="Q67" s="2724"/>
      <c r="R67" s="2647"/>
      <c r="S67" s="2647"/>
      <c r="T67" s="2647"/>
      <c r="U67" s="2647"/>
      <c r="V67" s="2647"/>
      <c r="W67" s="2647"/>
      <c r="X67" s="2647"/>
      <c r="Y67" s="2647"/>
      <c r="Z67" s="2647"/>
      <c r="AA67" s="2647"/>
      <c r="AB67" s="2647"/>
      <c r="AC67" s="2647"/>
      <c r="AD67" s="2647"/>
      <c r="AE67" s="2647"/>
    </row>
    <row r="68" spans="1:31" s="105" customFormat="1" ht="15">
      <c r="A68" s="460" t="s">
        <v>1680</v>
      </c>
      <c r="B68" s="449"/>
      <c r="C68" s="461" t="s">
        <v>1775</v>
      </c>
      <c r="D68" s="462"/>
      <c r="E68" s="462"/>
      <c r="F68" s="462"/>
      <c r="G68" s="462"/>
      <c r="H68" s="462"/>
      <c r="I68" s="462"/>
      <c r="J68" s="462"/>
      <c r="K68" s="462"/>
      <c r="L68" s="463"/>
      <c r="M68" s="464"/>
      <c r="N68" s="2736"/>
      <c r="O68" s="2736"/>
      <c r="P68" s="2761"/>
      <c r="Q68" s="2724"/>
      <c r="R68" s="2647"/>
      <c r="S68" s="2647"/>
      <c r="T68" s="2647"/>
      <c r="U68" s="2647"/>
      <c r="V68" s="2647"/>
      <c r="W68" s="2647"/>
      <c r="X68" s="2647"/>
      <c r="Y68" s="2647"/>
      <c r="Z68" s="2647"/>
      <c r="AA68" s="2647"/>
      <c r="AB68" s="2647"/>
      <c r="AC68" s="2647"/>
      <c r="AD68" s="2647"/>
      <c r="AE68" s="2647"/>
    </row>
    <row r="69" spans="1:31" s="105" customFormat="1" ht="15.75" thickBot="1">
      <c r="A69" s="460"/>
      <c r="B69" s="449"/>
      <c r="C69" s="577">
        <v>100</v>
      </c>
      <c r="D69" s="451"/>
      <c r="E69" s="451"/>
      <c r="F69" s="451"/>
      <c r="G69" s="451"/>
      <c r="H69" s="451"/>
      <c r="I69" s="451"/>
      <c r="J69" s="451"/>
      <c r="K69" s="451"/>
      <c r="L69" s="451"/>
      <c r="M69" s="453"/>
      <c r="N69" s="2736"/>
      <c r="O69" s="2736"/>
      <c r="P69" s="2724"/>
      <c r="Q69" s="2724"/>
      <c r="R69" s="2647"/>
      <c r="S69" s="2647"/>
      <c r="T69" s="2647"/>
      <c r="U69" s="2647"/>
      <c r="V69" s="2647"/>
      <c r="W69" s="2647"/>
      <c r="X69" s="2647"/>
      <c r="Y69" s="2647"/>
      <c r="Z69" s="2647"/>
      <c r="AA69" s="2647"/>
      <c r="AB69" s="2647"/>
      <c r="AC69" s="2647"/>
      <c r="AD69" s="2647"/>
      <c r="AE69" s="2647"/>
    </row>
    <row r="70" spans="1:31">
      <c r="A70" s="466" t="s">
        <v>1718</v>
      </c>
      <c r="B70" s="467" t="s">
        <v>1684</v>
      </c>
      <c r="C70" s="469"/>
      <c r="D70" s="469"/>
      <c r="E70" s="469"/>
      <c r="F70" s="469"/>
      <c r="G70" s="469"/>
      <c r="H70" s="469"/>
      <c r="I70" s="469"/>
      <c r="J70" s="469"/>
      <c r="K70" s="470"/>
      <c r="L70" s="471"/>
      <c r="M70" s="472"/>
      <c r="N70" s="2737"/>
      <c r="O70" s="2737"/>
      <c r="P70" s="2762"/>
      <c r="Q70" s="2724"/>
      <c r="R70" s="2710"/>
      <c r="S70" s="2710"/>
      <c r="T70" s="2710"/>
      <c r="U70" s="2710"/>
      <c r="V70" s="2710"/>
      <c r="W70" s="2710"/>
      <c r="X70" s="2710"/>
      <c r="Y70" s="2710"/>
      <c r="Z70" s="2710"/>
      <c r="AA70" s="2710"/>
      <c r="AB70" s="2710"/>
      <c r="AC70" s="2710"/>
      <c r="AD70" s="2710"/>
      <c r="AE70" s="2710"/>
    </row>
    <row r="71" spans="1:31" ht="15.75" thickBot="1">
      <c r="A71" s="473"/>
      <c r="B71" s="474"/>
      <c r="C71" s="475"/>
      <c r="D71" s="475"/>
      <c r="E71" s="475"/>
      <c r="F71" s="475"/>
      <c r="G71" s="475"/>
      <c r="H71" s="475"/>
      <c r="I71" s="475"/>
      <c r="J71" s="475"/>
      <c r="K71" s="475"/>
      <c r="L71" s="475"/>
      <c r="M71" s="476"/>
      <c r="N71" s="2738"/>
      <c r="O71" s="2738"/>
      <c r="P71" s="2762"/>
      <c r="Q71" s="2724"/>
      <c r="R71" s="2710"/>
      <c r="S71" s="2710"/>
      <c r="T71" s="2710"/>
      <c r="U71" s="2710"/>
      <c r="V71" s="2710"/>
      <c r="W71" s="2710"/>
      <c r="X71" s="2710"/>
      <c r="Y71" s="2710"/>
      <c r="Z71" s="2710"/>
      <c r="AA71" s="2710"/>
      <c r="AB71" s="2710"/>
      <c r="AC71" s="2710"/>
      <c r="AD71" s="2710"/>
      <c r="AE71" s="2710"/>
    </row>
    <row r="72" spans="1:31" ht="27.75" thickTop="1">
      <c r="A72" s="473"/>
      <c r="B72" s="477" t="s">
        <v>1687</v>
      </c>
      <c r="C72" s="478"/>
      <c r="D72" s="478"/>
      <c r="E72" s="478"/>
      <c r="F72" s="478"/>
      <c r="G72" s="478"/>
      <c r="H72" s="478"/>
      <c r="I72" s="478"/>
      <c r="J72" s="478"/>
      <c r="K72" s="479"/>
      <c r="L72" s="480"/>
      <c r="M72" s="481"/>
      <c r="N72" s="2737"/>
      <c r="O72" s="2737"/>
      <c r="P72" s="2762"/>
      <c r="Q72" s="2724"/>
      <c r="R72" s="2710"/>
      <c r="S72" s="2710"/>
      <c r="T72" s="2710"/>
      <c r="U72" s="2710"/>
      <c r="V72" s="2710"/>
      <c r="W72" s="2710"/>
      <c r="X72" s="2710"/>
      <c r="Y72" s="2710"/>
      <c r="Z72" s="2710"/>
      <c r="AA72" s="2710"/>
      <c r="AB72" s="2710"/>
      <c r="AC72" s="2710"/>
      <c r="AD72" s="2710"/>
      <c r="AE72" s="2710"/>
    </row>
    <row r="73" spans="1:31" ht="15.75" thickBot="1">
      <c r="A73" s="473"/>
      <c r="B73" s="482"/>
      <c r="C73" s="483"/>
      <c r="D73" s="483"/>
      <c r="E73" s="483"/>
      <c r="F73" s="483"/>
      <c r="G73" s="483"/>
      <c r="H73" s="483"/>
      <c r="I73" s="483"/>
      <c r="J73" s="483"/>
      <c r="K73" s="483"/>
      <c r="L73" s="483"/>
      <c r="M73" s="484"/>
      <c r="N73" s="2738"/>
      <c r="O73" s="2738"/>
      <c r="P73" s="2762"/>
      <c r="Q73" s="2724"/>
      <c r="R73" s="2710"/>
      <c r="S73" s="2710"/>
      <c r="T73" s="2710"/>
      <c r="U73" s="2710"/>
      <c r="V73" s="2710"/>
      <c r="W73" s="2710"/>
      <c r="X73" s="2710"/>
      <c r="Y73" s="2710"/>
      <c r="Z73" s="2710"/>
      <c r="AA73" s="2710"/>
      <c r="AB73" s="2710"/>
      <c r="AC73" s="2710"/>
      <c r="AD73" s="2710"/>
      <c r="AE73" s="2710"/>
    </row>
    <row r="74" spans="1:31" ht="15.75" thickTop="1">
      <c r="A74" s="473"/>
      <c r="B74" s="485" t="s">
        <v>1688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8"/>
      <c r="O74" s="2738"/>
      <c r="P74" s="2762"/>
      <c r="Q74" s="2724"/>
      <c r="R74" s="2710"/>
      <c r="S74" s="2710"/>
      <c r="T74" s="2710"/>
      <c r="U74" s="2710"/>
      <c r="V74" s="2710"/>
      <c r="W74" s="2710"/>
      <c r="X74" s="2710"/>
      <c r="Y74" s="2710"/>
      <c r="Z74" s="2710"/>
      <c r="AA74" s="2710"/>
      <c r="AB74" s="2710"/>
      <c r="AC74" s="2710"/>
      <c r="AD74" s="2710"/>
      <c r="AE74" s="2710"/>
    </row>
    <row r="75" spans="1:31" ht="15">
      <c r="A75" s="473"/>
      <c r="B75" s="487"/>
      <c r="C75" s="488"/>
      <c r="D75" s="488"/>
      <c r="E75" s="488"/>
      <c r="F75" s="488"/>
      <c r="G75" s="488"/>
      <c r="H75" s="488"/>
      <c r="I75" s="488"/>
      <c r="J75" s="488"/>
      <c r="K75" s="489"/>
      <c r="L75" s="490"/>
      <c r="M75" s="491"/>
      <c r="N75" s="2737"/>
      <c r="O75" s="2737"/>
      <c r="P75" s="2762"/>
      <c r="Q75" s="2724"/>
      <c r="R75" s="2710"/>
      <c r="S75" s="2710"/>
      <c r="T75" s="2710"/>
      <c r="U75" s="2710"/>
      <c r="V75" s="2710"/>
      <c r="W75" s="2710"/>
      <c r="X75" s="2710"/>
      <c r="Y75" s="2710"/>
      <c r="Z75" s="2710"/>
      <c r="AA75" s="2710"/>
      <c r="AB75" s="2710"/>
      <c r="AC75" s="2710"/>
      <c r="AD75" s="2710"/>
      <c r="AE75" s="2710"/>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8"/>
      <c r="O76" s="2738"/>
      <c r="P76" s="2762"/>
      <c r="Q76" s="2724"/>
      <c r="R76" s="2710"/>
      <c r="S76" s="2710"/>
      <c r="T76" s="2710"/>
      <c r="U76" s="2710"/>
      <c r="V76" s="2710"/>
      <c r="W76" s="2710"/>
      <c r="X76" s="2710"/>
      <c r="Y76" s="2710"/>
      <c r="Z76" s="2710"/>
      <c r="AA76" s="2710"/>
      <c r="AB76" s="2710"/>
      <c r="AC76" s="2710"/>
      <c r="AD76" s="2710"/>
      <c r="AE76" s="2710"/>
    </row>
    <row r="77" spans="1:31" s="412" customFormat="1" ht="15.75" thickTop="1">
      <c r="A77" s="492"/>
      <c r="B77" s="477">
        <f>B12</f>
        <v>111</v>
      </c>
      <c r="C77" s="493"/>
      <c r="D77" s="493"/>
      <c r="E77" s="493"/>
      <c r="F77" s="493"/>
      <c r="G77" s="493"/>
      <c r="H77" s="494"/>
      <c r="I77" s="494"/>
      <c r="J77" s="494"/>
      <c r="K77" s="494"/>
      <c r="L77" s="495"/>
      <c r="M77" s="496"/>
      <c r="N77" s="2739"/>
      <c r="O77" s="2739"/>
      <c r="P77" s="2763"/>
      <c r="Q77" s="2730"/>
      <c r="R77" s="2731"/>
      <c r="S77" s="2731"/>
      <c r="T77" s="2731"/>
      <c r="U77" s="2731"/>
      <c r="V77" s="2731"/>
      <c r="W77" s="2731"/>
      <c r="X77" s="2731"/>
      <c r="Y77" s="2731"/>
      <c r="Z77" s="2731"/>
      <c r="AA77" s="2731"/>
      <c r="AB77" s="2731"/>
      <c r="AC77" s="2731"/>
      <c r="AD77" s="2731"/>
      <c r="AE77" s="2731"/>
    </row>
    <row r="78" spans="1:31" s="412" customFormat="1" ht="15.75" thickBot="1">
      <c r="A78" s="492"/>
      <c r="B78" s="482"/>
      <c r="C78" s="499"/>
      <c r="D78" s="475"/>
      <c r="E78" s="475"/>
      <c r="F78" s="475"/>
      <c r="G78" s="475"/>
      <c r="H78" s="475"/>
      <c r="I78" s="475"/>
      <c r="J78" s="475"/>
      <c r="K78" s="475"/>
      <c r="L78" s="475"/>
      <c r="M78" s="476"/>
      <c r="N78" s="2738"/>
      <c r="O78" s="2738"/>
      <c r="P78" s="2763"/>
      <c r="Q78" s="2730"/>
      <c r="R78" s="2731"/>
      <c r="S78" s="2731"/>
      <c r="T78" s="2731"/>
      <c r="U78" s="2731"/>
      <c r="V78" s="2731"/>
      <c r="W78" s="2731"/>
      <c r="X78" s="2731"/>
      <c r="Y78" s="2731"/>
      <c r="Z78" s="2731"/>
      <c r="AA78" s="2731"/>
      <c r="AB78" s="2731"/>
      <c r="AC78" s="2731"/>
      <c r="AD78" s="2731"/>
      <c r="AE78" s="2731"/>
    </row>
    <row r="79" spans="1:31" s="412" customFormat="1" ht="15.75" thickTop="1">
      <c r="A79" s="492"/>
      <c r="B79" s="477">
        <f>B13</f>
        <v>111</v>
      </c>
      <c r="C79" s="493"/>
      <c r="D79" s="493"/>
      <c r="E79" s="493"/>
      <c r="F79" s="493"/>
      <c r="G79" s="493"/>
      <c r="H79" s="494"/>
      <c r="I79" s="494"/>
      <c r="J79" s="494"/>
      <c r="K79" s="494"/>
      <c r="L79" s="495"/>
      <c r="M79" s="496"/>
      <c r="N79" s="2739"/>
      <c r="O79" s="2739"/>
      <c r="P79" s="2708"/>
      <c r="Q79" s="2733"/>
      <c r="R79" s="2731"/>
      <c r="S79" s="2731"/>
      <c r="T79" s="2731"/>
      <c r="U79" s="2731"/>
      <c r="V79" s="2731"/>
      <c r="W79" s="2731"/>
      <c r="X79" s="2731"/>
      <c r="Y79" s="2731"/>
      <c r="Z79" s="2731"/>
      <c r="AA79" s="2731"/>
      <c r="AB79" s="2731"/>
      <c r="AC79" s="2731"/>
      <c r="AD79" s="2731"/>
      <c r="AE79" s="2731"/>
    </row>
    <row r="80" spans="1:31" s="412" customFormat="1" ht="15.75" thickBot="1">
      <c r="A80" s="492"/>
      <c r="B80" s="482"/>
      <c r="C80" s="499"/>
      <c r="D80" s="499"/>
      <c r="E80" s="499"/>
      <c r="F80" s="499"/>
      <c r="G80" s="499"/>
      <c r="H80" s="501"/>
      <c r="I80" s="501"/>
      <c r="J80" s="501"/>
      <c r="K80" s="501"/>
      <c r="L80" s="501"/>
      <c r="M80" s="502"/>
      <c r="N80" s="2739"/>
      <c r="O80" s="2739"/>
      <c r="P80" s="2763"/>
      <c r="Q80" s="2730"/>
      <c r="R80" s="2731"/>
      <c r="S80" s="2731"/>
      <c r="T80" s="2731"/>
      <c r="U80" s="2731"/>
      <c r="V80" s="2731"/>
      <c r="W80" s="2731"/>
      <c r="X80" s="2731"/>
      <c r="Y80" s="2731"/>
      <c r="Z80" s="2731"/>
      <c r="AA80" s="2731"/>
      <c r="AB80" s="2731"/>
      <c r="AC80" s="2731"/>
      <c r="AD80" s="2731"/>
      <c r="AE80" s="2731"/>
    </row>
    <row r="81" spans="1:31" s="412" customFormat="1" ht="15.75" thickTop="1">
      <c r="A81" s="492"/>
      <c r="B81" s="485">
        <f>B14</f>
        <v>111</v>
      </c>
      <c r="C81" s="462"/>
      <c r="D81" s="462"/>
      <c r="E81" s="462"/>
      <c r="F81" s="462"/>
      <c r="G81" s="462"/>
      <c r="H81" s="503"/>
      <c r="I81" s="503"/>
      <c r="J81" s="503"/>
      <c r="K81" s="503"/>
      <c r="L81" s="504"/>
      <c r="M81" s="505"/>
      <c r="N81" s="2739"/>
      <c r="O81" s="2739"/>
      <c r="P81" s="2768"/>
      <c r="Q81" s="2730"/>
      <c r="R81" s="2731"/>
      <c r="S81" s="2731"/>
      <c r="T81" s="2731"/>
      <c r="U81" s="2731"/>
      <c r="V81" s="2731"/>
      <c r="W81" s="2731"/>
      <c r="X81" s="2731"/>
      <c r="Y81" s="2731"/>
      <c r="Z81" s="2731"/>
      <c r="AA81" s="2731"/>
      <c r="AB81" s="2731"/>
      <c r="AC81" s="2731"/>
      <c r="AD81" s="2731"/>
      <c r="AE81" s="2731"/>
    </row>
    <row r="82" spans="1:31" s="412" customFormat="1" ht="15.75" thickBot="1">
      <c r="A82" s="507"/>
      <c r="B82" s="508"/>
      <c r="C82" s="509"/>
      <c r="D82" s="509"/>
      <c r="E82" s="509"/>
      <c r="F82" s="509"/>
      <c r="G82" s="509"/>
      <c r="H82" s="510"/>
      <c r="I82" s="510"/>
      <c r="J82" s="510"/>
      <c r="K82" s="510"/>
      <c r="L82" s="510"/>
      <c r="M82" s="511"/>
      <c r="N82" s="2739"/>
      <c r="O82" s="2739"/>
      <c r="P82" s="2763"/>
      <c r="Q82" s="2730"/>
      <c r="R82" s="2731"/>
      <c r="S82" s="2731"/>
      <c r="T82" s="2731"/>
      <c r="U82" s="2731"/>
      <c r="V82" s="2731"/>
      <c r="W82" s="2731"/>
      <c r="X82" s="2731"/>
      <c r="Y82" s="2731"/>
      <c r="Z82" s="2731"/>
      <c r="AA82" s="2731"/>
      <c r="AB82" s="2731"/>
      <c r="AC82" s="2731"/>
      <c r="AD82" s="2731"/>
      <c r="AE82" s="2731"/>
    </row>
    <row r="83" spans="1:31">
      <c r="A83" s="466" t="s">
        <v>1689</v>
      </c>
      <c r="B83" s="467" t="s">
        <v>1828</v>
      </c>
      <c r="C83" s="512" t="s">
        <v>1720</v>
      </c>
      <c r="D83" s="512" t="s">
        <v>1721</v>
      </c>
      <c r="E83" s="512" t="s">
        <v>1722</v>
      </c>
      <c r="F83" s="512" t="s">
        <v>1723</v>
      </c>
      <c r="G83" s="512" t="s">
        <v>1724</v>
      </c>
      <c r="H83" s="468"/>
      <c r="I83" s="468"/>
      <c r="J83" s="468"/>
      <c r="K83" s="513"/>
      <c r="L83" s="514"/>
      <c r="M83" s="515"/>
      <c r="N83" s="2737"/>
      <c r="O83" s="2737"/>
      <c r="P83" s="2764"/>
      <c r="Q83" s="2724"/>
      <c r="R83" s="2710"/>
      <c r="S83" s="2710"/>
      <c r="T83" s="2710"/>
      <c r="U83" s="2710"/>
      <c r="V83" s="2710"/>
      <c r="W83" s="2710"/>
      <c r="X83" s="2710"/>
      <c r="Y83" s="2710"/>
      <c r="Z83" s="2710"/>
      <c r="AA83" s="2710"/>
      <c r="AB83" s="2710"/>
      <c r="AC83" s="2710"/>
      <c r="AD83" s="2710"/>
      <c r="AE83" s="2710"/>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8"/>
      <c r="O84" s="2738"/>
      <c r="P84" s="2762"/>
      <c r="Q84" s="2724"/>
      <c r="R84" s="2710"/>
      <c r="S84" s="2710"/>
      <c r="T84" s="2710"/>
      <c r="U84" s="2710"/>
      <c r="V84" s="2710"/>
      <c r="W84" s="2710"/>
      <c r="X84" s="2710"/>
      <c r="Y84" s="2710"/>
      <c r="Z84" s="2710"/>
      <c r="AA84" s="2710"/>
      <c r="AB84" s="2710"/>
      <c r="AC84" s="2710"/>
      <c r="AD84" s="2710"/>
      <c r="AE84" s="2710"/>
    </row>
    <row r="85" spans="1:31" ht="15.75" thickTop="1">
      <c r="A85" s="473"/>
      <c r="B85" s="477" t="s">
        <v>1725</v>
      </c>
      <c r="C85" s="517" t="s">
        <v>1720</v>
      </c>
      <c r="D85" s="517" t="s">
        <v>1721</v>
      </c>
      <c r="E85" s="517" t="s">
        <v>1722</v>
      </c>
      <c r="F85" s="517" t="s">
        <v>1723</v>
      </c>
      <c r="G85" s="517" t="s">
        <v>1724</v>
      </c>
      <c r="H85" s="478"/>
      <c r="I85" s="478"/>
      <c r="J85" s="478"/>
      <c r="K85" s="479"/>
      <c r="L85" s="480"/>
      <c r="M85" s="481"/>
      <c r="N85" s="2737"/>
      <c r="O85" s="2737"/>
      <c r="P85" s="2762"/>
      <c r="Q85" s="2724"/>
      <c r="R85" s="2710"/>
      <c r="S85" s="2710"/>
      <c r="T85" s="2710"/>
      <c r="U85" s="2710"/>
      <c r="V85" s="2710"/>
      <c r="W85" s="2710"/>
      <c r="X85" s="2710"/>
      <c r="Y85" s="2710"/>
      <c r="Z85" s="2710"/>
      <c r="AA85" s="2710"/>
      <c r="AB85" s="2710"/>
      <c r="AC85" s="2710"/>
      <c r="AD85" s="2710"/>
      <c r="AE85" s="2710"/>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8"/>
      <c r="O86" s="2738"/>
      <c r="P86" s="2762"/>
      <c r="Q86" s="2724"/>
      <c r="R86" s="2710"/>
      <c r="S86" s="2710"/>
      <c r="T86" s="2710"/>
      <c r="U86" s="2710"/>
      <c r="V86" s="2710"/>
      <c r="W86" s="2710"/>
      <c r="X86" s="2710"/>
      <c r="Y86" s="2710"/>
      <c r="Z86" s="2710"/>
      <c r="AA86" s="2710"/>
      <c r="AB86" s="2710"/>
      <c r="AC86" s="2710"/>
      <c r="AD86" s="2710"/>
      <c r="AE86" s="2710"/>
    </row>
    <row r="87" spans="1:31" s="105" customFormat="1" ht="15.75" thickTop="1">
      <c r="A87" s="518"/>
      <c r="B87" s="477" t="s">
        <v>1906</v>
      </c>
      <c r="C87" s="512" t="s">
        <v>1720</v>
      </c>
      <c r="D87" s="512" t="s">
        <v>1721</v>
      </c>
      <c r="E87" s="512" t="s">
        <v>1722</v>
      </c>
      <c r="F87" s="512" t="s">
        <v>1723</v>
      </c>
      <c r="G87" s="512" t="s">
        <v>1724</v>
      </c>
      <c r="H87" s="517"/>
      <c r="I87" s="517"/>
      <c r="J87" s="517"/>
      <c r="K87" s="517"/>
      <c r="L87" s="636"/>
      <c r="M87" s="560"/>
      <c r="N87" s="2736"/>
      <c r="O87" s="2736"/>
      <c r="P87" s="2762"/>
      <c r="Q87" s="2724"/>
      <c r="R87" s="2647"/>
      <c r="S87" s="2647"/>
      <c r="T87" s="2647"/>
      <c r="U87" s="2647"/>
      <c r="V87" s="2647"/>
      <c r="W87" s="2647"/>
      <c r="X87" s="2647"/>
      <c r="Y87" s="2647"/>
      <c r="Z87" s="2647"/>
      <c r="AA87" s="2647"/>
      <c r="AB87" s="2647"/>
      <c r="AC87" s="2647"/>
      <c r="AD87" s="2647"/>
      <c r="AE87" s="2647"/>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8"/>
      <c r="O88" s="2738"/>
      <c r="P88" s="2762"/>
      <c r="Q88" s="2724"/>
      <c r="R88" s="2647"/>
      <c r="S88" s="2647"/>
      <c r="T88" s="2647"/>
      <c r="U88" s="2647"/>
      <c r="V88" s="2647"/>
      <c r="W88" s="2647"/>
      <c r="X88" s="2647"/>
      <c r="Y88" s="2647"/>
      <c r="Z88" s="2647"/>
      <c r="AA88" s="2647"/>
      <c r="AB88" s="2647"/>
      <c r="AC88" s="2647"/>
      <c r="AD88" s="2647"/>
      <c r="AE88" s="2647"/>
    </row>
    <row r="89" spans="1:31" s="105" customFormat="1" ht="27.75" thickTop="1">
      <c r="A89" s="518"/>
      <c r="B89" s="477" t="s">
        <v>1907</v>
      </c>
      <c r="C89" s="512" t="s">
        <v>1720</v>
      </c>
      <c r="D89" s="512" t="s">
        <v>1721</v>
      </c>
      <c r="E89" s="512" t="s">
        <v>1722</v>
      </c>
      <c r="F89" s="512" t="s">
        <v>1723</v>
      </c>
      <c r="G89" s="512" t="s">
        <v>1724</v>
      </c>
      <c r="H89" s="517"/>
      <c r="I89" s="517"/>
      <c r="J89" s="517"/>
      <c r="K89" s="517"/>
      <c r="L89" s="517"/>
      <c r="M89" s="560"/>
      <c r="N89" s="2736"/>
      <c r="O89" s="2736"/>
      <c r="P89" s="2762"/>
      <c r="Q89" s="2724"/>
      <c r="R89" s="2647"/>
      <c r="S89" s="2647"/>
      <c r="T89" s="2647"/>
      <c r="U89" s="2647"/>
      <c r="V89" s="2647"/>
      <c r="W89" s="2647"/>
      <c r="X89" s="2647"/>
      <c r="Y89" s="2647"/>
      <c r="Z89" s="2647"/>
      <c r="AA89" s="2647"/>
      <c r="AB89" s="2647"/>
      <c r="AC89" s="2647"/>
      <c r="AD89" s="2647"/>
      <c r="AE89" s="2647"/>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8"/>
      <c r="O90" s="2738"/>
      <c r="P90" s="2762"/>
      <c r="Q90" s="2724"/>
      <c r="R90" s="2647"/>
      <c r="S90" s="2647"/>
      <c r="T90" s="2647"/>
      <c r="U90" s="2647"/>
      <c r="V90" s="2647"/>
      <c r="W90" s="2647"/>
      <c r="X90" s="2647"/>
      <c r="Y90" s="2647"/>
      <c r="Z90" s="2647"/>
      <c r="AA90" s="2647"/>
      <c r="AB90" s="2647"/>
      <c r="AC90" s="2647"/>
      <c r="AD90" s="2647"/>
      <c r="AE90" s="2647"/>
    </row>
    <row r="91" spans="1:31" s="412" customFormat="1" ht="15.75" thickTop="1">
      <c r="A91" s="492"/>
      <c r="B91" s="477" t="s">
        <v>1777</v>
      </c>
      <c r="C91" s="512" t="s">
        <v>1720</v>
      </c>
      <c r="D91" s="512" t="s">
        <v>1721</v>
      </c>
      <c r="E91" s="512" t="s">
        <v>1722</v>
      </c>
      <c r="F91" s="512" t="s">
        <v>1723</v>
      </c>
      <c r="G91" s="512" t="s">
        <v>1724</v>
      </c>
      <c r="H91" s="539"/>
      <c r="I91" s="539"/>
      <c r="J91" s="539"/>
      <c r="K91" s="539"/>
      <c r="L91" s="540"/>
      <c r="M91" s="541"/>
      <c r="N91" s="2739"/>
      <c r="O91" s="2739"/>
      <c r="P91" s="2763"/>
      <c r="Q91" s="2730"/>
      <c r="R91" s="2731"/>
      <c r="S91" s="2731"/>
      <c r="T91" s="2731"/>
      <c r="U91" s="2731"/>
      <c r="V91" s="2731"/>
      <c r="W91" s="2731"/>
      <c r="X91" s="2731"/>
      <c r="Y91" s="2731"/>
      <c r="Z91" s="2731"/>
      <c r="AA91" s="2731"/>
      <c r="AB91" s="2731"/>
      <c r="AC91" s="2731"/>
      <c r="AD91" s="2731"/>
      <c r="AE91" s="2731"/>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9"/>
      <c r="O92" s="2739"/>
      <c r="P92" s="2763"/>
      <c r="Q92" s="2730"/>
      <c r="R92" s="2731"/>
      <c r="S92" s="2731"/>
      <c r="T92" s="2731"/>
      <c r="U92" s="2731"/>
      <c r="V92" s="2731"/>
      <c r="W92" s="2731"/>
      <c r="X92" s="2731"/>
      <c r="Y92" s="2731"/>
      <c r="Z92" s="2731"/>
      <c r="AA92" s="2731"/>
      <c r="AB92" s="2731"/>
      <c r="AC92" s="2731"/>
      <c r="AD92" s="2731"/>
      <c r="AE92" s="2731"/>
    </row>
    <row r="93" spans="1:31" s="412" customFormat="1" ht="15.75" thickTop="1">
      <c r="A93" s="492"/>
      <c r="B93" s="485" t="s">
        <v>1924</v>
      </c>
      <c r="C93" s="598" t="s">
        <v>1798</v>
      </c>
      <c r="D93" s="598" t="s">
        <v>1799</v>
      </c>
      <c r="E93" s="598" t="s">
        <v>1800</v>
      </c>
      <c r="F93" s="598" t="s">
        <v>1801</v>
      </c>
      <c r="G93" s="598" t="s">
        <v>1802</v>
      </c>
      <c r="H93" s="539"/>
      <c r="I93" s="539"/>
      <c r="J93" s="539"/>
      <c r="K93" s="539"/>
      <c r="L93" s="539"/>
      <c r="M93" s="541"/>
      <c r="N93" s="2739"/>
      <c r="O93" s="2739"/>
      <c r="P93" s="2763"/>
      <c r="Q93" s="2730"/>
      <c r="R93" s="2731"/>
      <c r="S93" s="2731"/>
      <c r="T93" s="2731"/>
      <c r="U93" s="2731"/>
      <c r="V93" s="2731"/>
      <c r="W93" s="2731"/>
      <c r="X93" s="2731"/>
      <c r="Y93" s="2731"/>
      <c r="Z93" s="2731"/>
      <c r="AA93" s="2731"/>
      <c r="AB93" s="2731"/>
      <c r="AC93" s="2731"/>
      <c r="AD93" s="2731"/>
      <c r="AE93" s="2731"/>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73"/>
      <c r="B95" s="477" t="str">
        <f>B27</f>
        <v>临街状况</v>
      </c>
      <c r="C95" s="478" t="s">
        <v>1908</v>
      </c>
      <c r="D95" s="478" t="s">
        <v>1909</v>
      </c>
      <c r="E95" s="478" t="s">
        <v>1910</v>
      </c>
      <c r="F95" s="478" t="s">
        <v>1911</v>
      </c>
      <c r="G95" s="478"/>
      <c r="H95" s="478"/>
      <c r="I95" s="478"/>
      <c r="J95" s="478"/>
      <c r="K95" s="479"/>
      <c r="L95" s="480"/>
      <c r="M95" s="481"/>
      <c r="N95" s="2737"/>
      <c r="O95" s="2737"/>
      <c r="P95" s="2762"/>
      <c r="Q95" s="2724"/>
      <c r="R95" s="2710"/>
      <c r="S95" s="2710"/>
      <c r="T95" s="2710"/>
      <c r="U95" s="2710"/>
      <c r="V95" s="2710"/>
      <c r="W95" s="2710"/>
      <c r="X95" s="2710"/>
      <c r="Y95" s="2710"/>
      <c r="Z95" s="2710"/>
      <c r="AA95" s="2710"/>
      <c r="AB95" s="2710"/>
      <c r="AC95" s="2710"/>
      <c r="AD95" s="2710"/>
      <c r="AE95" s="2710"/>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8"/>
      <c r="O96" s="2738"/>
      <c r="P96" s="2762"/>
      <c r="Q96" s="2724"/>
      <c r="R96" s="2710"/>
      <c r="S96" s="2710"/>
      <c r="T96" s="2710"/>
      <c r="U96" s="2710"/>
      <c r="V96" s="2710"/>
      <c r="W96" s="2710"/>
      <c r="X96" s="2710"/>
      <c r="Y96" s="2710"/>
      <c r="Z96" s="2710"/>
      <c r="AA96" s="2710"/>
      <c r="AB96" s="2710"/>
      <c r="AC96" s="2710"/>
      <c r="AD96" s="2710"/>
      <c r="AE96" s="2710"/>
    </row>
    <row r="97" spans="1:31" ht="27.75" thickTop="1">
      <c r="A97" s="473"/>
      <c r="B97" s="477" t="s">
        <v>1814</v>
      </c>
      <c r="C97" s="493"/>
      <c r="D97" s="493"/>
      <c r="E97" s="493"/>
      <c r="F97" s="493"/>
      <c r="G97" s="493"/>
      <c r="H97" s="522"/>
      <c r="I97" s="522"/>
      <c r="J97" s="522"/>
      <c r="K97" s="523"/>
      <c r="L97" s="524"/>
      <c r="M97" s="525"/>
      <c r="N97" s="2737"/>
      <c r="O97" s="2737"/>
      <c r="P97" s="2762"/>
      <c r="Q97" s="2724"/>
      <c r="R97" s="2710"/>
      <c r="S97" s="2710"/>
      <c r="T97" s="2710"/>
      <c r="U97" s="2710"/>
      <c r="V97" s="2710"/>
      <c r="W97" s="2710"/>
      <c r="X97" s="2710"/>
      <c r="Y97" s="2710"/>
      <c r="Z97" s="2710"/>
      <c r="AA97" s="2710"/>
      <c r="AB97" s="2710"/>
      <c r="AC97" s="2710"/>
      <c r="AD97" s="2710"/>
      <c r="AE97" s="2710"/>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8"/>
      <c r="O98" s="2738"/>
      <c r="P98" s="2762"/>
      <c r="Q98" s="2724"/>
      <c r="R98" s="2710"/>
      <c r="S98" s="2710"/>
      <c r="T98" s="2710"/>
      <c r="U98" s="2710"/>
      <c r="V98" s="2710"/>
      <c r="W98" s="2710"/>
      <c r="X98" s="2710"/>
      <c r="Y98" s="2710"/>
      <c r="Z98" s="2710"/>
      <c r="AA98" s="2710"/>
      <c r="AB98" s="2710"/>
      <c r="AC98" s="2710"/>
      <c r="AD98" s="2710"/>
      <c r="AE98" s="2710"/>
    </row>
    <row r="99" spans="1:31" ht="15.75" thickTop="1">
      <c r="A99" s="473"/>
      <c r="B99" s="477" t="s">
        <v>1872</v>
      </c>
      <c r="C99" s="522"/>
      <c r="D99" s="522"/>
      <c r="E99" s="522"/>
      <c r="F99" s="522"/>
      <c r="G99" s="522"/>
      <c r="H99" s="522"/>
      <c r="I99" s="522"/>
      <c r="J99" s="522"/>
      <c r="K99" s="523"/>
      <c r="L99" s="524"/>
      <c r="M99" s="525"/>
      <c r="N99" s="2737"/>
      <c r="O99" s="2737"/>
      <c r="P99" s="2762"/>
      <c r="Q99" s="2724"/>
      <c r="R99" s="2710"/>
      <c r="S99" s="2710"/>
      <c r="T99" s="2710"/>
      <c r="U99" s="2710"/>
      <c r="V99" s="2710"/>
      <c r="W99" s="2710"/>
      <c r="X99" s="2710"/>
      <c r="Y99" s="2710"/>
      <c r="Z99" s="2710"/>
      <c r="AA99" s="2710"/>
      <c r="AB99" s="2710"/>
      <c r="AC99" s="2710"/>
      <c r="AD99" s="2710"/>
      <c r="AE99" s="2710"/>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8"/>
      <c r="O100" s="2738"/>
      <c r="P100" s="2762"/>
      <c r="Q100" s="2724"/>
      <c r="R100" s="2710"/>
      <c r="S100" s="2710"/>
      <c r="T100" s="2710"/>
      <c r="U100" s="2710"/>
      <c r="V100" s="2710"/>
      <c r="W100" s="2710"/>
      <c r="X100" s="2710"/>
      <c r="Y100" s="2710"/>
      <c r="Z100" s="2710"/>
      <c r="AA100" s="2710"/>
      <c r="AB100" s="2710"/>
      <c r="AC100" s="2710"/>
      <c r="AD100" s="2710"/>
      <c r="AE100" s="2710"/>
    </row>
    <row r="101" spans="1:31" ht="15.75" thickTop="1">
      <c r="A101" s="473"/>
      <c r="B101" s="485">
        <f>B31</f>
        <v>111</v>
      </c>
      <c r="C101" s="493"/>
      <c r="D101" s="493"/>
      <c r="E101" s="493"/>
      <c r="F101" s="493"/>
      <c r="G101" s="526"/>
      <c r="H101" s="526"/>
      <c r="I101" s="526"/>
      <c r="J101" s="526"/>
      <c r="K101" s="527"/>
      <c r="L101" s="528"/>
      <c r="M101" s="529"/>
      <c r="N101" s="2737"/>
      <c r="O101" s="2737"/>
      <c r="P101" s="2762"/>
      <c r="Q101" s="2724"/>
      <c r="R101" s="2710"/>
      <c r="S101" s="2710"/>
      <c r="T101" s="2710"/>
      <c r="U101" s="2710"/>
      <c r="V101" s="2710"/>
      <c r="W101" s="2710"/>
      <c r="X101" s="2710"/>
      <c r="Y101" s="2710"/>
      <c r="Z101" s="2710"/>
      <c r="AA101" s="2710"/>
      <c r="AB101" s="2710"/>
      <c r="AC101" s="2710"/>
      <c r="AD101" s="2710"/>
      <c r="AE101" s="2710"/>
    </row>
    <row r="102" spans="1:31" ht="15.75" thickBot="1">
      <c r="A102" s="473"/>
      <c r="B102" s="508"/>
      <c r="C102" s="499"/>
      <c r="D102" s="475"/>
      <c r="E102" s="475"/>
      <c r="F102" s="475"/>
      <c r="G102" s="530"/>
      <c r="H102" s="530"/>
      <c r="I102" s="530"/>
      <c r="J102" s="530"/>
      <c r="K102" s="530"/>
      <c r="L102" s="530"/>
      <c r="M102" s="531"/>
      <c r="N102" s="2738"/>
      <c r="O102" s="2738"/>
      <c r="P102" s="2762"/>
      <c r="Q102" s="2724"/>
      <c r="R102" s="2710"/>
      <c r="S102" s="2710"/>
      <c r="T102" s="2710"/>
      <c r="U102" s="2710"/>
      <c r="V102" s="2710"/>
      <c r="W102" s="2710"/>
      <c r="X102" s="2710"/>
      <c r="Y102" s="2710"/>
      <c r="Z102" s="2710"/>
      <c r="AA102" s="2710"/>
      <c r="AB102" s="2710"/>
      <c r="AC102" s="2710"/>
      <c r="AD102" s="2710"/>
      <c r="AE102" s="2710"/>
    </row>
    <row r="103" spans="1:31" ht="15" thickTop="1">
      <c r="A103" s="613"/>
      <c r="B103" s="477">
        <f>B32</f>
        <v>111</v>
      </c>
      <c r="C103" s="493"/>
      <c r="D103" s="493"/>
      <c r="E103" s="493"/>
      <c r="F103" s="493"/>
      <c r="G103" s="522"/>
      <c r="H103" s="522"/>
      <c r="I103" s="522"/>
      <c r="J103" s="522"/>
      <c r="K103" s="523"/>
      <c r="L103" s="524"/>
      <c r="M103" s="525"/>
      <c r="N103" s="2737"/>
      <c r="O103" s="2737"/>
      <c r="P103" s="2762"/>
      <c r="Q103" s="2724"/>
      <c r="R103" s="2710"/>
      <c r="S103" s="2710"/>
      <c r="T103" s="2710"/>
      <c r="U103" s="2710"/>
      <c r="V103" s="2710"/>
      <c r="W103" s="2710"/>
      <c r="X103" s="2710"/>
      <c r="Y103" s="2710"/>
      <c r="Z103" s="2710"/>
      <c r="AA103" s="2710"/>
      <c r="AB103" s="2710"/>
      <c r="AC103" s="2710"/>
      <c r="AD103" s="2710"/>
      <c r="AE103" s="2710"/>
    </row>
    <row r="104" spans="1:31" ht="15.75" thickBot="1">
      <c r="A104" s="473"/>
      <c r="B104" s="482"/>
      <c r="C104" s="499"/>
      <c r="D104" s="499"/>
      <c r="E104" s="499"/>
      <c r="F104" s="499"/>
      <c r="G104" s="475"/>
      <c r="H104" s="475"/>
      <c r="I104" s="475"/>
      <c r="J104" s="475"/>
      <c r="K104" s="475"/>
      <c r="L104" s="475"/>
      <c r="M104" s="476"/>
      <c r="N104" s="2738"/>
      <c r="O104" s="2738"/>
      <c r="P104" s="2762"/>
      <c r="Q104" s="2724"/>
      <c r="R104" s="2710"/>
      <c r="S104" s="2710"/>
      <c r="T104" s="2710"/>
      <c r="U104" s="2710"/>
      <c r="V104" s="2710"/>
      <c r="W104" s="2710"/>
      <c r="X104" s="2710"/>
      <c r="Y104" s="2710"/>
      <c r="Z104" s="2710"/>
      <c r="AA104" s="2710"/>
      <c r="AB104" s="2710"/>
      <c r="AC104" s="2710"/>
      <c r="AD104" s="2710"/>
      <c r="AE104" s="2710"/>
    </row>
    <row r="105" spans="1:31" s="412" customFormat="1" ht="15" thickTop="1">
      <c r="A105" s="532"/>
      <c r="B105" s="533">
        <f>B33</f>
        <v>111</v>
      </c>
      <c r="C105" s="462"/>
      <c r="D105" s="462"/>
      <c r="E105" s="462"/>
      <c r="F105" s="462"/>
      <c r="G105" s="534"/>
      <c r="H105" s="534"/>
      <c r="I105" s="534"/>
      <c r="J105" s="535"/>
      <c r="K105" s="535"/>
      <c r="L105" s="536"/>
      <c r="M105" s="537"/>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12" customFormat="1" ht="15.75" thickBot="1">
      <c r="A106" s="492"/>
      <c r="B106" s="485"/>
      <c r="C106" s="509"/>
      <c r="D106" s="509"/>
      <c r="E106" s="509"/>
      <c r="F106" s="509"/>
      <c r="G106" s="615"/>
      <c r="H106" s="615"/>
      <c r="I106" s="615"/>
      <c r="J106" s="615"/>
      <c r="K106" s="615"/>
      <c r="L106" s="615"/>
      <c r="M106" s="637"/>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66" t="s">
        <v>1693</v>
      </c>
      <c r="B107" s="467" t="s">
        <v>1912</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20" t="str">
        <f t="shared" si="25"/>
        <v>(含)-</v>
      </c>
      <c r="L107" s="1320" t="str">
        <f t="shared" si="25"/>
        <v>(含)-</v>
      </c>
      <c r="M107" s="1321" t="str">
        <f>M108&amp;"(含)"&amp;"-"&amp;P108</f>
        <v>(含)-</v>
      </c>
      <c r="N107" s="2737"/>
      <c r="O107" s="2737"/>
      <c r="P107" s="2762"/>
      <c r="Q107" s="2724"/>
      <c r="R107" s="2710"/>
      <c r="S107" s="2710"/>
      <c r="T107" s="2710"/>
      <c r="U107" s="2710"/>
      <c r="V107" s="2710"/>
      <c r="W107" s="2710"/>
      <c r="X107" s="2710"/>
      <c r="Y107" s="2710"/>
      <c r="Z107" s="2710"/>
      <c r="AA107" s="2710"/>
      <c r="AB107" s="2710"/>
      <c r="AC107" s="2710"/>
      <c r="AD107" s="2710"/>
      <c r="AE107" s="2710"/>
    </row>
    <row r="108" spans="1:31" ht="15">
      <c r="A108" s="473"/>
      <c r="B108" s="485"/>
      <c r="C108" s="534"/>
      <c r="D108" s="534"/>
      <c r="E108" s="534"/>
      <c r="F108" s="534"/>
      <c r="G108" s="534"/>
      <c r="H108" s="534"/>
      <c r="I108" s="534"/>
      <c r="J108" s="535"/>
      <c r="K108" s="535"/>
      <c r="L108" s="536"/>
      <c r="M108" s="537"/>
      <c r="N108" s="2737"/>
      <c r="O108" s="2737"/>
      <c r="P108" s="2762"/>
      <c r="Q108" s="2724"/>
      <c r="R108" s="2710"/>
      <c r="S108" s="2710"/>
      <c r="T108" s="2710"/>
      <c r="U108" s="2710"/>
      <c r="V108" s="2710"/>
      <c r="W108" s="2710"/>
      <c r="X108" s="2710"/>
      <c r="Y108" s="2710"/>
      <c r="Z108" s="2710"/>
      <c r="AA108" s="2710"/>
      <c r="AB108" s="2710"/>
      <c r="AC108" s="2710"/>
      <c r="AD108" s="2710"/>
      <c r="AE108" s="2710"/>
    </row>
    <row r="109" spans="1:31" ht="15.75" thickBot="1">
      <c r="A109" s="473"/>
      <c r="B109" s="482"/>
      <c r="C109" s="509"/>
      <c r="D109" s="530"/>
      <c r="E109" s="530"/>
      <c r="F109" s="530"/>
      <c r="G109" s="530"/>
      <c r="H109" s="530"/>
      <c r="I109" s="530"/>
      <c r="J109" s="530"/>
      <c r="K109" s="530"/>
      <c r="L109" s="530"/>
      <c r="M109" s="531"/>
      <c r="N109" s="2738"/>
      <c r="O109" s="2738"/>
      <c r="P109" s="2762"/>
      <c r="Q109" s="2724"/>
      <c r="R109" s="2710"/>
      <c r="S109" s="2710"/>
      <c r="T109" s="2710"/>
      <c r="U109" s="2710"/>
      <c r="V109" s="2710"/>
      <c r="W109" s="2710"/>
      <c r="X109" s="2710"/>
      <c r="Y109" s="2710"/>
      <c r="Z109" s="2710"/>
      <c r="AA109" s="2710"/>
      <c r="AB109" s="2710"/>
      <c r="AC109" s="2710"/>
      <c r="AD109" s="2710"/>
      <c r="AE109" s="2710"/>
    </row>
    <row r="110" spans="1:31" ht="15" thickTop="1">
      <c r="A110" s="538"/>
      <c r="B110" s="477" t="s">
        <v>1913</v>
      </c>
      <c r="C110" s="522"/>
      <c r="D110" s="522"/>
      <c r="E110" s="522"/>
      <c r="F110" s="522"/>
      <c r="G110" s="522"/>
      <c r="H110" s="522"/>
      <c r="I110" s="522"/>
      <c r="J110" s="522"/>
      <c r="K110" s="523"/>
      <c r="L110" s="524"/>
      <c r="M110" s="525"/>
      <c r="N110" s="2737"/>
      <c r="O110" s="2737"/>
      <c r="P110" s="2762"/>
      <c r="Q110" s="2724"/>
      <c r="R110" s="2710"/>
      <c r="S110" s="2710"/>
      <c r="T110" s="2710"/>
      <c r="U110" s="2710"/>
      <c r="V110" s="2710"/>
      <c r="W110" s="2710"/>
      <c r="X110" s="2710"/>
      <c r="Y110" s="2710"/>
      <c r="Z110" s="2710"/>
      <c r="AA110" s="2710"/>
      <c r="AB110" s="2710"/>
      <c r="AC110" s="2710"/>
      <c r="AD110" s="2710"/>
      <c r="AE110" s="2710"/>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8"/>
      <c r="O111" s="2738"/>
      <c r="P111" s="2762"/>
      <c r="Q111" s="2724"/>
      <c r="R111" s="2710"/>
      <c r="S111" s="2710"/>
      <c r="T111" s="2710"/>
      <c r="U111" s="2710"/>
      <c r="V111" s="2710"/>
      <c r="W111" s="2710"/>
      <c r="X111" s="2710"/>
      <c r="Y111" s="2710"/>
      <c r="Z111" s="2710"/>
      <c r="AA111" s="2710"/>
      <c r="AB111" s="2710"/>
      <c r="AC111" s="2710"/>
      <c r="AD111" s="2710"/>
      <c r="AE111" s="2710"/>
    </row>
    <row r="112" spans="1:31" s="412" customFormat="1" ht="15" thickTop="1">
      <c r="A112" s="532"/>
      <c r="B112" s="477" t="s">
        <v>1915</v>
      </c>
      <c r="C112" s="493"/>
      <c r="D112" s="493"/>
      <c r="E112" s="493"/>
      <c r="F112" s="493"/>
      <c r="G112" s="493"/>
      <c r="H112" s="522"/>
      <c r="I112" s="522"/>
      <c r="J112" s="522"/>
      <c r="K112" s="523"/>
      <c r="L112" s="524"/>
      <c r="M112" s="525"/>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38"/>
      <c r="B114" s="477" t="s">
        <v>1916</v>
      </c>
      <c r="C114" s="493"/>
      <c r="D114" s="493"/>
      <c r="E114" s="522"/>
      <c r="F114" s="522"/>
      <c r="G114" s="522"/>
      <c r="H114" s="522"/>
      <c r="I114" s="522"/>
      <c r="J114" s="522"/>
      <c r="K114" s="523"/>
      <c r="L114" s="524"/>
      <c r="M114" s="525"/>
      <c r="N114" s="2737"/>
      <c r="O114" s="2737"/>
      <c r="P114" s="2762"/>
      <c r="Q114" s="2724"/>
      <c r="R114" s="2710"/>
      <c r="S114" s="2710"/>
      <c r="T114" s="2710"/>
      <c r="U114" s="2710"/>
      <c r="V114" s="2710"/>
      <c r="W114" s="2710"/>
      <c r="X114" s="2710"/>
      <c r="Y114" s="2710"/>
      <c r="Z114" s="2710"/>
      <c r="AA114" s="2710"/>
      <c r="AB114" s="2710"/>
      <c r="AC114" s="2710"/>
      <c r="AD114" s="2710"/>
      <c r="AE114" s="2710"/>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8"/>
      <c r="O115" s="2738"/>
      <c r="P115" s="2762"/>
      <c r="Q115" s="2724"/>
      <c r="R115" s="2710"/>
      <c r="S115" s="2710"/>
      <c r="T115" s="2710"/>
      <c r="U115" s="2710"/>
      <c r="V115" s="2710"/>
      <c r="W115" s="2710"/>
      <c r="X115" s="2710"/>
      <c r="Y115" s="2710"/>
      <c r="Z115" s="2710"/>
      <c r="AA115" s="2710"/>
      <c r="AB115" s="2710"/>
      <c r="AC115" s="2710"/>
      <c r="AD115" s="2710"/>
      <c r="AE115" s="2710"/>
    </row>
    <row r="116" spans="1:31" ht="15" thickTop="1">
      <c r="A116" s="538"/>
      <c r="B116" s="477">
        <f>B38</f>
        <v>111</v>
      </c>
      <c r="C116" s="493"/>
      <c r="D116" s="493"/>
      <c r="E116" s="493"/>
      <c r="F116" s="493"/>
      <c r="G116" s="493"/>
      <c r="H116" s="522"/>
      <c r="I116" s="522"/>
      <c r="J116" s="522"/>
      <c r="K116" s="523"/>
      <c r="L116" s="524"/>
      <c r="M116" s="525"/>
      <c r="N116" s="2737"/>
      <c r="O116" s="2737"/>
      <c r="P116" s="2762"/>
      <c r="Q116" s="2724"/>
      <c r="R116" s="2710"/>
      <c r="S116" s="2710"/>
      <c r="T116" s="2710"/>
      <c r="U116" s="2710"/>
      <c r="V116" s="2710"/>
      <c r="W116" s="2710"/>
      <c r="X116" s="2710"/>
      <c r="Y116" s="2710"/>
      <c r="Z116" s="2710"/>
      <c r="AA116" s="2710"/>
      <c r="AB116" s="2710"/>
      <c r="AC116" s="2710"/>
      <c r="AD116" s="2710"/>
      <c r="AE116" s="2710"/>
    </row>
    <row r="117" spans="1:31" ht="15.75" thickBot="1">
      <c r="A117" s="473"/>
      <c r="B117" s="482"/>
      <c r="C117" s="499"/>
      <c r="D117" s="475"/>
      <c r="E117" s="475"/>
      <c r="F117" s="475"/>
      <c r="G117" s="475"/>
      <c r="H117" s="475"/>
      <c r="I117" s="475"/>
      <c r="J117" s="475"/>
      <c r="K117" s="475"/>
      <c r="L117" s="475"/>
      <c r="M117" s="476"/>
      <c r="N117" s="2738"/>
      <c r="O117" s="2738"/>
      <c r="P117" s="2762"/>
      <c r="Q117" s="2724"/>
      <c r="R117" s="2710"/>
      <c r="S117" s="2710"/>
      <c r="T117" s="2710"/>
      <c r="U117" s="2710"/>
      <c r="V117" s="2710"/>
      <c r="W117" s="2710"/>
      <c r="X117" s="2710"/>
      <c r="Y117" s="2710"/>
      <c r="Z117" s="2710"/>
      <c r="AA117" s="2710"/>
      <c r="AB117" s="2710"/>
      <c r="AC117" s="2710"/>
      <c r="AD117" s="2710"/>
      <c r="AE117" s="2710"/>
    </row>
    <row r="118" spans="1:31" ht="15" thickTop="1">
      <c r="A118" s="538"/>
      <c r="B118" s="477">
        <f>B39</f>
        <v>111</v>
      </c>
      <c r="C118" s="493"/>
      <c r="D118" s="493"/>
      <c r="E118" s="493"/>
      <c r="F118" s="493"/>
      <c r="G118" s="522"/>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c r="AD118" s="2710"/>
      <c r="AE118" s="2710"/>
    </row>
    <row r="119" spans="1:31" ht="15.75" thickBot="1">
      <c r="A119" s="473"/>
      <c r="B119" s="482"/>
      <c r="C119" s="499"/>
      <c r="D119" s="499"/>
      <c r="E119" s="499"/>
      <c r="F119" s="499"/>
      <c r="G119" s="475"/>
      <c r="H119" s="475"/>
      <c r="I119" s="475"/>
      <c r="J119" s="475"/>
      <c r="K119" s="475"/>
      <c r="L119" s="475"/>
      <c r="M119" s="476"/>
      <c r="N119" s="2738"/>
      <c r="O119" s="2738"/>
      <c r="P119" s="2762"/>
      <c r="Q119" s="2724"/>
      <c r="R119" s="2710"/>
      <c r="S119" s="2710"/>
      <c r="T119" s="2710"/>
      <c r="U119" s="2710"/>
      <c r="V119" s="2710"/>
      <c r="W119" s="2710"/>
      <c r="X119" s="2710"/>
      <c r="Y119" s="2710"/>
      <c r="Z119" s="2710"/>
      <c r="AA119" s="2710"/>
      <c r="AB119" s="2710"/>
      <c r="AC119" s="2710"/>
      <c r="AD119" s="2710"/>
      <c r="AE119" s="2710"/>
    </row>
    <row r="120" spans="1:31" s="412" customFormat="1" ht="15" thickTop="1">
      <c r="A120" s="532"/>
      <c r="B120" s="477">
        <f>B40</f>
        <v>111</v>
      </c>
      <c r="C120" s="462"/>
      <c r="D120" s="462"/>
      <c r="E120" s="462"/>
      <c r="F120" s="462"/>
      <c r="G120" s="494"/>
      <c r="H120" s="494"/>
      <c r="I120" s="494"/>
      <c r="J120" s="494"/>
      <c r="K120" s="494"/>
      <c r="L120" s="495"/>
      <c r="M120" s="496"/>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12" customFormat="1" ht="15.75" thickBot="1">
      <c r="A121" s="507"/>
      <c r="B121" s="638"/>
      <c r="C121" s="509"/>
      <c r="D121" s="509"/>
      <c r="E121" s="509"/>
      <c r="F121" s="509"/>
      <c r="G121" s="530"/>
      <c r="H121" s="530"/>
      <c r="I121" s="530"/>
      <c r="J121" s="530"/>
      <c r="K121" s="530"/>
      <c r="L121" s="530"/>
      <c r="M121" s="531"/>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2082</v>
      </c>
      <c r="C1" s="3804" t="s">
        <v>2083</v>
      </c>
      <c r="D1" s="3805"/>
      <c r="E1" s="3805"/>
      <c r="F1" s="3805"/>
      <c r="G1" s="3805"/>
      <c r="H1" s="3805"/>
      <c r="I1" s="3805"/>
      <c r="J1" s="3805"/>
      <c r="K1" s="3805"/>
      <c r="L1" s="3805"/>
      <c r="M1" s="3805"/>
      <c r="N1" s="3805"/>
      <c r="O1" s="3805"/>
      <c r="P1" s="3805"/>
      <c r="Q1" s="3805"/>
      <c r="R1" s="3805"/>
      <c r="S1" s="3806"/>
      <c r="T1" s="970" t="s">
        <v>2084</v>
      </c>
    </row>
    <row r="2" spans="1:45" s="645" customFormat="1">
      <c r="A2" s="971"/>
      <c r="B2" s="641" t="s">
        <v>2085</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2"/>
      <c r="G3" s="1292"/>
      <c r="H3" s="1292"/>
      <c r="I3" s="1292"/>
      <c r="J3" s="1292"/>
      <c r="K3" s="1292"/>
      <c r="L3" s="1293"/>
      <c r="M3" s="1294"/>
      <c r="N3" s="1294"/>
      <c r="O3" s="1292"/>
      <c r="P3" s="1292"/>
      <c r="Q3" s="1292"/>
      <c r="R3" s="1292"/>
      <c r="S3" s="1295"/>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6"/>
      <c r="G4" s="1296"/>
      <c r="H4" s="1296"/>
      <c r="I4" s="1296"/>
      <c r="J4" s="1296"/>
      <c r="K4" s="1296"/>
      <c r="L4" s="1296"/>
      <c r="M4" s="1297"/>
      <c r="N4" s="1297"/>
      <c r="O4" s="1296"/>
      <c r="P4" s="1296"/>
      <c r="Q4" s="1296"/>
      <c r="R4" s="1296"/>
      <c r="S4" s="1298"/>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3" t="s">
        <v>2086</v>
      </c>
      <c r="C5" s="982"/>
      <c r="D5" s="983"/>
      <c r="E5" s="983"/>
      <c r="F5" s="1299"/>
      <c r="G5" s="1299"/>
      <c r="H5" s="1299"/>
      <c r="I5" s="1299"/>
      <c r="J5" s="1299"/>
      <c r="K5" s="1299"/>
      <c r="L5" s="1300"/>
      <c r="M5" s="1301"/>
      <c r="N5" s="1301"/>
      <c r="O5" s="1299"/>
      <c r="P5" s="1299"/>
      <c r="Q5" s="1299"/>
      <c r="R5" s="1299"/>
      <c r="S5" s="1302"/>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4" t="s">
        <v>2087</v>
      </c>
      <c r="C7" s="891"/>
      <c r="D7" s="885"/>
      <c r="E7" s="885"/>
      <c r="F7" s="1304"/>
      <c r="G7" s="1304"/>
      <c r="H7" s="1304"/>
      <c r="I7" s="1304"/>
      <c r="J7" s="1304"/>
      <c r="K7" s="1304"/>
      <c r="L7" s="1304"/>
      <c r="M7" s="1305"/>
      <c r="N7" s="1306"/>
      <c r="O7" s="1307"/>
      <c r="P7" s="1308"/>
      <c r="Q7" s="1309"/>
      <c r="R7" s="1310"/>
      <c r="S7" s="1311"/>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4" t="s">
        <v>2088</v>
      </c>
      <c r="C9" s="891"/>
      <c r="D9" s="885"/>
      <c r="E9" s="885"/>
      <c r="F9" s="1304"/>
      <c r="G9" s="1304"/>
      <c r="H9" s="1304"/>
      <c r="I9" s="1304"/>
      <c r="J9" s="1304"/>
      <c r="K9" s="1304"/>
      <c r="L9" s="1312"/>
      <c r="M9" s="1305"/>
      <c r="N9" s="1306"/>
      <c r="O9" s="1307"/>
      <c r="P9" s="1308"/>
      <c r="Q9" s="1309"/>
      <c r="R9" s="1310"/>
      <c r="S9" s="1311"/>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3" t="s">
        <v>2089</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3" t="s">
        <v>2090</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3" t="s">
        <v>2091</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5" t="s">
        <v>2092</v>
      </c>
      <c r="B17" s="2136" t="s">
        <v>2093</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7" t="s">
        <v>2094</v>
      </c>
      <c r="E19" s="1327"/>
      <c r="F19" s="1327"/>
      <c r="G19" s="1327"/>
      <c r="H19" s="1046"/>
      <c r="I19" s="149"/>
      <c r="J19" s="149"/>
      <c r="K19" s="149"/>
      <c r="L19" s="149"/>
      <c r="M19" s="149"/>
      <c r="N19" s="149"/>
      <c r="O19" s="149"/>
      <c r="P19" s="149"/>
      <c r="Q19" s="149"/>
      <c r="R19" s="705"/>
      <c r="S19" s="119"/>
    </row>
    <row r="20" spans="1:45" ht="16.5" thickBot="1">
      <c r="A20" s="652" t="s">
        <v>2095</v>
      </c>
      <c r="B20" s="284" t="e">
        <f ca="1">IF(D20="——",S22,S22-F20)</f>
        <v>#REF!</v>
      </c>
      <c r="C20" s="149"/>
      <c r="D20" s="2138"/>
      <c r="E20" s="1328"/>
      <c r="F20" s="970" t="e">
        <f ca="1">SUMIF(INDIRECT("'"&amp;H20&amp;"'"&amp;"!A:A"),"承租人权益价值",INDIRECT("'"&amp;H20&amp;"'"&amp;"!c:c"))</f>
        <v>#REF!</v>
      </c>
      <c r="G20" s="970" t="s">
        <v>2096</v>
      </c>
      <c r="H20" s="2139"/>
      <c r="I20" s="149"/>
      <c r="J20" s="149"/>
      <c r="K20" s="149"/>
      <c r="L20" s="149"/>
      <c r="M20" s="149"/>
      <c r="N20" s="149"/>
      <c r="O20" s="149"/>
      <c r="P20" s="149"/>
      <c r="Q20" s="149"/>
      <c r="R20" s="705"/>
      <c r="S20" s="119"/>
    </row>
    <row r="21" spans="1:45" ht="15.75">
      <c r="A21" s="652" t="s">
        <v>2097</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2098</v>
      </c>
      <c r="B22" s="21">
        <f>SUM(B24:B10000)</f>
        <v>0</v>
      </c>
      <c r="C22" s="3801" t="s">
        <v>27</v>
      </c>
      <c r="D22" s="3802"/>
      <c r="E22" s="3802"/>
      <c r="F22" s="3802"/>
      <c r="G22" s="3802"/>
      <c r="H22" s="3802"/>
      <c r="I22" s="3802"/>
      <c r="J22" s="3802"/>
      <c r="K22" s="3802"/>
      <c r="L22" s="3802"/>
      <c r="M22" s="3802"/>
      <c r="N22" s="3802"/>
      <c r="O22" s="3802"/>
      <c r="P22" s="3802"/>
      <c r="Q22" s="3803"/>
      <c r="R22" s="65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4" t="s">
        <v>2102</v>
      </c>
      <c r="S23" s="8" t="s">
        <v>2103</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2104</v>
      </c>
      <c r="B24" s="655"/>
      <c r="C24" s="2794">
        <v>1</v>
      </c>
      <c r="D24" s="2795"/>
      <c r="E24" s="2794">
        <v>1</v>
      </c>
      <c r="F24" s="2795"/>
      <c r="G24" s="2794">
        <v>1</v>
      </c>
      <c r="H24" s="2795"/>
      <c r="I24" s="2794">
        <v>1</v>
      </c>
      <c r="J24" s="2795"/>
      <c r="K24" s="2794">
        <v>1</v>
      </c>
      <c r="L24" s="2795"/>
      <c r="M24" s="2794">
        <v>1</v>
      </c>
      <c r="N24" s="2795"/>
      <c r="O24" s="2794">
        <v>1</v>
      </c>
      <c r="P24" s="2795"/>
      <c r="Q24" s="2794">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4" customWidth="1"/>
    <col min="2" max="2" width="12.5" style="1464" customWidth="1"/>
    <col min="3" max="3" width="12.125" style="1464" customWidth="1"/>
    <col min="4" max="4" width="14.125" style="1464" customWidth="1"/>
    <col min="5" max="5" width="12.5" style="1464" customWidth="1"/>
    <col min="6" max="16384" width="9" style="1464"/>
  </cols>
  <sheetData>
    <row r="1" spans="1:16" ht="21">
      <c r="A1" s="1854" t="s">
        <v>2080</v>
      </c>
      <c r="B1" s="2134"/>
      <c r="C1" s="2134"/>
      <c r="D1" s="2134"/>
      <c r="E1" s="2134"/>
      <c r="F1" s="2777"/>
      <c r="G1" s="2777"/>
      <c r="H1" s="2777"/>
      <c r="I1" s="2777"/>
      <c r="J1" s="2777"/>
      <c r="K1" s="2777"/>
      <c r="L1" s="2777"/>
      <c r="M1" s="2777"/>
      <c r="N1" s="2777"/>
      <c r="O1" s="2777"/>
      <c r="P1" s="2777"/>
    </row>
    <row r="2" spans="1:16" ht="15.75">
      <c r="A2" s="2132" t="s">
        <v>2072</v>
      </c>
      <c r="B2" s="2589">
        <f ca="1">SUMIF(B6:B13,"&lt;&gt;#ref!",B6:B13)</f>
        <v>117684</v>
      </c>
      <c r="C2" s="2132" t="s">
        <v>2073</v>
      </c>
      <c r="D2" s="2132" t="s">
        <v>2074</v>
      </c>
      <c r="E2" s="2599">
        <f ca="1">SUMIF(E6:E13,"&lt;&gt;#ref!",E6:E13)</f>
        <v>98312.17</v>
      </c>
      <c r="F2" s="2777"/>
      <c r="G2" s="2777"/>
      <c r="H2" s="2777"/>
      <c r="I2" s="2777"/>
      <c r="J2" s="2777"/>
      <c r="K2" s="2777"/>
      <c r="L2" s="2777"/>
      <c r="M2" s="2777"/>
      <c r="N2" s="2777"/>
      <c r="O2" s="2777"/>
      <c r="P2" s="2777"/>
    </row>
    <row r="3" spans="1:16" ht="15.75">
      <c r="A3" s="2132" t="s">
        <v>2075</v>
      </c>
      <c r="B3" s="2589">
        <f ca="1">ROUND(B2*10000/E2,0)</f>
        <v>11970</v>
      </c>
      <c r="C3" s="2132" t="s">
        <v>2081</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5" t="s">
        <v>2076</v>
      </c>
      <c r="B5" s="2597" t="s">
        <v>2077</v>
      </c>
      <c r="C5" s="2133"/>
      <c r="D5" s="2777"/>
      <c r="E5" s="2598" t="s">
        <v>2078</v>
      </c>
      <c r="F5" s="2777"/>
      <c r="G5" s="2777"/>
      <c r="H5" s="2777"/>
      <c r="I5" s="2777"/>
      <c r="J5" s="2777"/>
      <c r="K5" s="2777"/>
      <c r="L5" s="2777"/>
      <c r="M5" s="2777"/>
      <c r="N5" s="2777"/>
      <c r="O5" s="2777"/>
      <c r="P5" s="2777"/>
    </row>
    <row r="6" spans="1:16" ht="15.75">
      <c r="A6" s="2596" t="s">
        <v>2079</v>
      </c>
      <c r="B6" s="2589">
        <f ca="1">SUMIF(INDIRECT("'"&amp;A6&amp;"'"&amp;"!A:A"),"总价",INDIRECT("'"&amp;A6&amp;"'"&amp;"!B:B"))</f>
        <v>117684</v>
      </c>
      <c r="C6" s="2132" t="s">
        <v>2073</v>
      </c>
      <c r="D6" s="2777"/>
      <c r="E6" s="2599">
        <f ca="1">SUMIF(INDIRECT("'"&amp;A6&amp;"'"&amp;"!C:C"),"建筑面积",INDIRECT("'"&amp;A6&amp;"'"&amp;"!D:D"))</f>
        <v>98312.17</v>
      </c>
      <c r="F6" s="2777"/>
      <c r="G6" s="2777"/>
      <c r="H6" s="2777"/>
      <c r="I6" s="2777"/>
      <c r="J6" s="2777"/>
      <c r="K6" s="2777"/>
      <c r="L6" s="2777"/>
      <c r="M6" s="2777"/>
      <c r="N6" s="2777"/>
      <c r="O6" s="2777"/>
      <c r="P6" s="2777"/>
    </row>
    <row r="7" spans="1:16" ht="15.75">
      <c r="A7" s="2596"/>
      <c r="B7" s="2589" t="e">
        <f ca="1">SUMIF(INDIRECT("'"&amp;A7&amp;"'"&amp;"!A:A"),"总价",INDIRECT("'"&amp;A7&amp;"'"&amp;"!B:B"))</f>
        <v>#REF!</v>
      </c>
      <c r="C7" s="2132" t="s">
        <v>2073</v>
      </c>
      <c r="D7" s="2777"/>
      <c r="E7" s="2599" t="e">
        <f t="shared" ref="E7:E13" ca="1" si="0">SUMIF(INDIRECT("'"&amp;A7&amp;"'"&amp;"!C:C"),"建筑面积",INDIRECT("'"&amp;A7&amp;"'"&amp;"!D:D"))</f>
        <v>#REF!</v>
      </c>
      <c r="F7" s="2777"/>
      <c r="G7" s="2777"/>
      <c r="H7" s="2777"/>
      <c r="I7" s="2777"/>
      <c r="J7" s="2777"/>
      <c r="K7" s="2777"/>
      <c r="L7" s="2777"/>
      <c r="M7" s="2777"/>
      <c r="N7" s="2777"/>
      <c r="O7" s="2777"/>
      <c r="P7" s="2777"/>
    </row>
    <row r="8" spans="1:16" ht="15.75">
      <c r="A8" s="2596"/>
      <c r="B8" s="2589" t="e">
        <f t="shared" ref="B8:B13" ca="1" si="1">SUMIF(INDIRECT("'"&amp;A8&amp;"'"&amp;"!A:A"),"总价",INDIRECT("'"&amp;A8&amp;"'"&amp;"!B:B"))</f>
        <v>#REF!</v>
      </c>
      <c r="C8" s="2132" t="s">
        <v>2073</v>
      </c>
      <c r="D8" s="2777"/>
      <c r="E8" s="2599" t="e">
        <f t="shared" ca="1" si="0"/>
        <v>#REF!</v>
      </c>
      <c r="F8" s="2777"/>
      <c r="G8" s="2777"/>
      <c r="H8" s="2777"/>
      <c r="I8" s="2777"/>
      <c r="J8" s="2777"/>
      <c r="K8" s="2777"/>
      <c r="L8" s="2777"/>
      <c r="M8" s="2777"/>
      <c r="N8" s="2777"/>
      <c r="O8" s="2777"/>
      <c r="P8" s="2777"/>
    </row>
    <row r="9" spans="1:16" ht="15.75">
      <c r="A9" s="2596"/>
      <c r="B9" s="2589" t="e">
        <f t="shared" ca="1" si="1"/>
        <v>#REF!</v>
      </c>
      <c r="C9" s="2132" t="s">
        <v>2073</v>
      </c>
      <c r="D9" s="2777"/>
      <c r="E9" s="2599" t="e">
        <f t="shared" ca="1" si="0"/>
        <v>#REF!</v>
      </c>
      <c r="F9" s="2777"/>
      <c r="G9" s="2777"/>
      <c r="H9" s="2777"/>
      <c r="I9" s="2777"/>
      <c r="J9" s="2777"/>
      <c r="K9" s="2777"/>
      <c r="L9" s="2777"/>
      <c r="M9" s="2777"/>
      <c r="N9" s="2777"/>
      <c r="O9" s="2777"/>
      <c r="P9" s="2777"/>
    </row>
    <row r="10" spans="1:16" ht="15.75">
      <c r="A10" s="2596"/>
      <c r="B10" s="2589" t="e">
        <f t="shared" ca="1" si="1"/>
        <v>#REF!</v>
      </c>
      <c r="C10" s="2132" t="s">
        <v>2073</v>
      </c>
      <c r="D10" s="2777"/>
      <c r="E10" s="2599" t="e">
        <f t="shared" ca="1" si="0"/>
        <v>#REF!</v>
      </c>
      <c r="F10" s="2777"/>
      <c r="G10" s="2777"/>
      <c r="H10" s="2777"/>
      <c r="I10" s="2777"/>
      <c r="J10" s="2777"/>
      <c r="K10" s="2777"/>
      <c r="L10" s="2777"/>
      <c r="M10" s="2777"/>
      <c r="N10" s="2777"/>
      <c r="O10" s="2777"/>
      <c r="P10" s="2777"/>
    </row>
    <row r="11" spans="1:16" ht="15.75">
      <c r="A11" s="2596"/>
      <c r="B11" s="2589" t="e">
        <f t="shared" ca="1" si="1"/>
        <v>#REF!</v>
      </c>
      <c r="C11" s="2132" t="s">
        <v>2073</v>
      </c>
      <c r="D11" s="2777"/>
      <c r="E11" s="2599" t="e">
        <f t="shared" ca="1" si="0"/>
        <v>#REF!</v>
      </c>
      <c r="F11" s="2777"/>
      <c r="G11" s="2777"/>
      <c r="H11" s="2777"/>
      <c r="I11" s="2777"/>
      <c r="J11" s="2777"/>
      <c r="K11" s="2777"/>
      <c r="L11" s="2777"/>
      <c r="M11" s="2777"/>
      <c r="N11" s="2777"/>
      <c r="O11" s="2777"/>
      <c r="P11" s="2777"/>
    </row>
    <row r="12" spans="1:16" ht="15.75">
      <c r="A12" s="2596"/>
      <c r="B12" s="2589" t="e">
        <f t="shared" ca="1" si="1"/>
        <v>#REF!</v>
      </c>
      <c r="C12" s="2132" t="s">
        <v>2073</v>
      </c>
      <c r="D12" s="2777"/>
      <c r="E12" s="2599" t="e">
        <f t="shared" ca="1" si="0"/>
        <v>#REF!</v>
      </c>
      <c r="F12" s="2777"/>
      <c r="G12" s="2777"/>
      <c r="H12" s="2777"/>
      <c r="I12" s="2777"/>
      <c r="J12" s="2777"/>
      <c r="K12" s="2777"/>
      <c r="L12" s="2777"/>
      <c r="M12" s="2777"/>
      <c r="N12" s="2777"/>
      <c r="O12" s="2777"/>
      <c r="P12" s="2777"/>
    </row>
    <row r="13" spans="1:16" ht="15.75">
      <c r="A13" s="2596"/>
      <c r="B13" s="2589" t="e">
        <f t="shared" ca="1" si="1"/>
        <v>#REF!</v>
      </c>
      <c r="C13" s="2132" t="s">
        <v>2073</v>
      </c>
      <c r="D13" s="2777"/>
      <c r="E13" s="2599"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2589</v>
      </c>
      <c r="B1" s="3049" t="s">
        <v>2590</v>
      </c>
      <c r="C1" s="3049" t="s">
        <v>2591</v>
      </c>
      <c r="D1" s="3049" t="s">
        <v>2592</v>
      </c>
      <c r="E1" s="3049" t="s">
        <v>2593</v>
      </c>
      <c r="F1" s="3049" t="s">
        <v>2594</v>
      </c>
      <c r="G1" s="3049" t="s">
        <v>2595</v>
      </c>
      <c r="H1" s="3049" t="s">
        <v>2596</v>
      </c>
      <c r="I1" s="3049" t="s">
        <v>2597</v>
      </c>
      <c r="J1" s="3049" t="s">
        <v>2598</v>
      </c>
      <c r="K1" s="3049" t="s">
        <v>2599</v>
      </c>
      <c r="L1" s="3049" t="s">
        <v>2600</v>
      </c>
      <c r="M1" s="3050" t="s">
        <v>2601</v>
      </c>
    </row>
    <row r="2" spans="1:13" ht="19.5" customHeight="1">
      <c r="A2" s="3052" t="s">
        <v>2602</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2603</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2604</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2605</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2606</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2607</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2608</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2609</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2610</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2611</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2612</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2613</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2614</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2615</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2616</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2617</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2618</v>
      </c>
      <c r="B18" s="3074"/>
      <c r="C18" s="3075"/>
      <c r="D18" s="3075"/>
      <c r="E18" s="3074"/>
      <c r="F18" s="3075"/>
      <c r="G18" s="3075"/>
    </row>
    <row r="19" spans="1:13" ht="19.5" customHeight="1" thickBot="1">
      <c r="A19" s="3072" t="s">
        <v>2619</v>
      </c>
      <c r="B19" s="3077" t="s">
        <v>2620</v>
      </c>
      <c r="C19" s="3077" t="s">
        <v>2621</v>
      </c>
      <c r="D19" s="3078"/>
      <c r="E19" s="3072" t="s">
        <v>2622</v>
      </c>
      <c r="F19" s="3079"/>
      <c r="G19" s="3079"/>
    </row>
    <row r="20" spans="1:13" ht="19.5" customHeight="1">
      <c r="A20" s="3816" t="s">
        <v>2602</v>
      </c>
      <c r="B20" s="3811" t="s">
        <v>2623</v>
      </c>
      <c r="C20" s="3080" t="s">
        <v>2434</v>
      </c>
      <c r="D20" s="3081"/>
      <c r="E20" s="3082">
        <v>1</v>
      </c>
      <c r="F20" s="3083" t="s">
        <v>2435</v>
      </c>
      <c r="G20" s="3083"/>
    </row>
    <row r="21" spans="1:13" ht="19.5" customHeight="1">
      <c r="A21" s="3817"/>
      <c r="B21" s="3810"/>
      <c r="C21" s="3084" t="s">
        <v>2436</v>
      </c>
      <c r="D21" s="3085"/>
      <c r="E21" s="3086">
        <v>1</v>
      </c>
      <c r="F21" s="3083" t="s">
        <v>2437</v>
      </c>
      <c r="G21" s="3083"/>
    </row>
    <row r="22" spans="1:13" ht="19.5" customHeight="1">
      <c r="A22" s="3817"/>
      <c r="B22" s="3810"/>
      <c r="C22" s="3084" t="s">
        <v>2438</v>
      </c>
      <c r="D22" s="3085"/>
      <c r="E22" s="3086">
        <v>0.9</v>
      </c>
      <c r="F22" s="3083" t="s">
        <v>2439</v>
      </c>
      <c r="G22" s="3083"/>
    </row>
    <row r="23" spans="1:13" ht="19.5" customHeight="1">
      <c r="A23" s="3817"/>
      <c r="B23" s="3810"/>
      <c r="C23" s="3084" t="s">
        <v>2440</v>
      </c>
      <c r="D23" s="3085"/>
      <c r="E23" s="3086">
        <v>0.9</v>
      </c>
      <c r="F23" s="3083" t="s">
        <v>2441</v>
      </c>
      <c r="G23" s="3083"/>
    </row>
    <row r="24" spans="1:13" ht="19.5" customHeight="1">
      <c r="A24" s="3817"/>
      <c r="B24" s="3810"/>
      <c r="C24" s="3084" t="s">
        <v>2442</v>
      </c>
      <c r="D24" s="3085"/>
      <c r="E24" s="3086">
        <v>0.8</v>
      </c>
      <c r="F24" s="3083" t="s">
        <v>2443</v>
      </c>
      <c r="G24" s="3083"/>
    </row>
    <row r="25" spans="1:13" ht="19.5" customHeight="1" thickBot="1">
      <c r="A25" s="3818"/>
      <c r="B25" s="3812"/>
      <c r="C25" s="3087" t="s">
        <v>2444</v>
      </c>
      <c r="D25" s="3088"/>
      <c r="E25" s="3089">
        <v>0.8</v>
      </c>
      <c r="F25" s="3083" t="s">
        <v>2445</v>
      </c>
      <c r="G25" s="3083"/>
    </row>
    <row r="26" spans="1:13" ht="19.5" customHeight="1" thickBot="1">
      <c r="A26" s="3090" t="s">
        <v>2624</v>
      </c>
      <c r="B26" s="3091" t="s">
        <v>2623</v>
      </c>
      <c r="C26" s="3092" t="s">
        <v>2625</v>
      </c>
      <c r="D26" s="3093"/>
      <c r="E26" s="3094">
        <v>1</v>
      </c>
      <c r="F26" s="3083" t="s">
        <v>2446</v>
      </c>
      <c r="G26" s="3083"/>
    </row>
    <row r="27" spans="1:13" ht="19.5" customHeight="1">
      <c r="A27" s="3813" t="s">
        <v>2626</v>
      </c>
      <c r="B27" s="3811" t="s">
        <v>2607</v>
      </c>
      <c r="C27" s="3080" t="s">
        <v>2447</v>
      </c>
      <c r="D27" s="3081"/>
      <c r="E27" s="3082">
        <v>1</v>
      </c>
      <c r="F27" s="3083" t="s">
        <v>2448</v>
      </c>
      <c r="G27" s="3083"/>
    </row>
    <row r="28" spans="1:13" ht="19.5" customHeight="1">
      <c r="A28" s="3814"/>
      <c r="B28" s="3810"/>
      <c r="C28" s="3084" t="s">
        <v>2449</v>
      </c>
      <c r="D28" s="3085"/>
      <c r="E28" s="3086">
        <v>1</v>
      </c>
      <c r="F28" s="3083" t="s">
        <v>2450</v>
      </c>
      <c r="G28" s="3083"/>
    </row>
    <row r="29" spans="1:13" ht="19.5" customHeight="1">
      <c r="A29" s="3814"/>
      <c r="B29" s="3810"/>
      <c r="C29" s="3084" t="s">
        <v>2451</v>
      </c>
      <c r="D29" s="3085"/>
      <c r="E29" s="3086">
        <v>0.8</v>
      </c>
      <c r="F29" s="3083" t="s">
        <v>2452</v>
      </c>
      <c r="G29" s="3083"/>
    </row>
    <row r="30" spans="1:13" ht="19.5" customHeight="1">
      <c r="A30" s="3814"/>
      <c r="B30" s="3810"/>
      <c r="C30" s="3084" t="s">
        <v>2453</v>
      </c>
      <c r="D30" s="3085"/>
      <c r="E30" s="3086">
        <v>0.8</v>
      </c>
      <c r="F30" s="3083" t="s">
        <v>2454</v>
      </c>
      <c r="G30" s="3083"/>
    </row>
    <row r="31" spans="1:13" ht="19.5" customHeight="1">
      <c r="A31" s="3814"/>
      <c r="B31" s="3810"/>
      <c r="C31" s="3084" t="s">
        <v>2455</v>
      </c>
      <c r="D31" s="3085"/>
      <c r="E31" s="3086">
        <v>0.8</v>
      </c>
      <c r="F31" s="3083" t="s">
        <v>2456</v>
      </c>
      <c r="G31" s="3083"/>
    </row>
    <row r="32" spans="1:13" ht="19.5" customHeight="1">
      <c r="A32" s="3814"/>
      <c r="B32" s="3810"/>
      <c r="C32" s="3084" t="s">
        <v>2457</v>
      </c>
      <c r="D32" s="3085"/>
      <c r="E32" s="3086">
        <v>0.7</v>
      </c>
      <c r="F32" s="3083" t="s">
        <v>2458</v>
      </c>
      <c r="G32" s="3083"/>
    </row>
    <row r="33" spans="1:7" ht="19.5" customHeight="1">
      <c r="A33" s="3814"/>
      <c r="B33" s="3810"/>
      <c r="C33" s="3084" t="s">
        <v>2459</v>
      </c>
      <c r="D33" s="3085"/>
      <c r="E33" s="3086">
        <v>0.8</v>
      </c>
      <c r="F33" s="3083" t="s">
        <v>2460</v>
      </c>
      <c r="G33" s="3083"/>
    </row>
    <row r="34" spans="1:7" ht="19.5" customHeight="1">
      <c r="A34" s="3814"/>
      <c r="B34" s="3810"/>
      <c r="C34" s="3084" t="s">
        <v>2461</v>
      </c>
      <c r="D34" s="3085"/>
      <c r="E34" s="3086">
        <v>0.6</v>
      </c>
      <c r="F34" s="3083" t="s">
        <v>2462</v>
      </c>
      <c r="G34" s="3083"/>
    </row>
    <row r="35" spans="1:7" ht="19.5" customHeight="1">
      <c r="A35" s="3814"/>
      <c r="B35" s="3810"/>
      <c r="C35" s="3084" t="s">
        <v>2463</v>
      </c>
      <c r="D35" s="3085"/>
      <c r="E35" s="3086">
        <v>0.2</v>
      </c>
      <c r="F35" s="3083" t="s">
        <v>2464</v>
      </c>
      <c r="G35" s="3083"/>
    </row>
    <row r="36" spans="1:7" ht="19.5" customHeight="1">
      <c r="A36" s="3814"/>
      <c r="B36" s="3810"/>
      <c r="C36" s="3084" t="s">
        <v>2465</v>
      </c>
      <c r="D36" s="3085"/>
      <c r="E36" s="3086">
        <v>0.2</v>
      </c>
      <c r="F36" s="3083" t="s">
        <v>2466</v>
      </c>
      <c r="G36" s="3083"/>
    </row>
    <row r="37" spans="1:7" ht="19.5" customHeight="1">
      <c r="A37" s="3814"/>
      <c r="B37" s="3808" t="s">
        <v>2627</v>
      </c>
      <c r="C37" s="3084" t="s">
        <v>2467</v>
      </c>
      <c r="D37" s="3085"/>
      <c r="E37" s="3086">
        <v>0.6</v>
      </c>
      <c r="F37" s="3083" t="s">
        <v>2468</v>
      </c>
      <c r="G37" s="3083"/>
    </row>
    <row r="38" spans="1:7" ht="19.5" customHeight="1">
      <c r="A38" s="3814"/>
      <c r="B38" s="3810"/>
      <c r="C38" s="3084" t="s">
        <v>2469</v>
      </c>
      <c r="D38" s="3085"/>
      <c r="E38" s="3086">
        <v>0.6</v>
      </c>
      <c r="F38" s="3083" t="s">
        <v>2470</v>
      </c>
      <c r="G38" s="3083"/>
    </row>
    <row r="39" spans="1:7" ht="19.5" customHeight="1" thickBot="1">
      <c r="A39" s="3815"/>
      <c r="B39" s="3812"/>
      <c r="C39" s="3087" t="s">
        <v>2471</v>
      </c>
      <c r="D39" s="3088"/>
      <c r="E39" s="3089">
        <v>0.6</v>
      </c>
      <c r="F39" s="3083" t="s">
        <v>2472</v>
      </c>
      <c r="G39" s="3083"/>
    </row>
    <row r="40" spans="1:7" ht="19.5" customHeight="1" thickBot="1">
      <c r="A40" s="3090" t="s">
        <v>2604</v>
      </c>
      <c r="B40" s="3091" t="s">
        <v>2604</v>
      </c>
      <c r="C40" s="3092" t="s">
        <v>2628</v>
      </c>
      <c r="D40" s="3093"/>
      <c r="E40" s="3094">
        <v>1</v>
      </c>
      <c r="F40" s="3083" t="s">
        <v>2473</v>
      </c>
      <c r="G40" s="3083"/>
    </row>
    <row r="41" spans="1:7" ht="19.5" customHeight="1">
      <c r="A41" s="3816" t="s">
        <v>2605</v>
      </c>
      <c r="B41" s="3811" t="s">
        <v>2629</v>
      </c>
      <c r="C41" s="3080" t="s">
        <v>2474</v>
      </c>
      <c r="D41" s="3081"/>
      <c r="E41" s="3082">
        <v>1</v>
      </c>
      <c r="F41" s="3083" t="s">
        <v>2475</v>
      </c>
      <c r="G41" s="3083"/>
    </row>
    <row r="42" spans="1:7" ht="19.5" customHeight="1">
      <c r="A42" s="3817"/>
      <c r="B42" s="3810"/>
      <c r="C42" s="3084" t="s">
        <v>2476</v>
      </c>
      <c r="D42" s="3085"/>
      <c r="E42" s="3086">
        <v>1</v>
      </c>
      <c r="F42" s="3083" t="s">
        <v>2477</v>
      </c>
      <c r="G42" s="3083"/>
    </row>
    <row r="43" spans="1:7" ht="19.5" customHeight="1">
      <c r="A43" s="3817"/>
      <c r="B43" s="3809"/>
      <c r="C43" s="3084" t="s">
        <v>2478</v>
      </c>
      <c r="D43" s="3085"/>
      <c r="E43" s="3086">
        <v>1.5</v>
      </c>
      <c r="F43" s="3083" t="s">
        <v>2479</v>
      </c>
      <c r="G43" s="3083"/>
    </row>
    <row r="44" spans="1:7" ht="19.5" customHeight="1">
      <c r="A44" s="3817"/>
      <c r="B44" s="3095" t="s">
        <v>2630</v>
      </c>
      <c r="C44" s="3084" t="s">
        <v>2631</v>
      </c>
      <c r="D44" s="3085"/>
      <c r="E44" s="3086">
        <v>2</v>
      </c>
      <c r="F44" s="3083" t="s">
        <v>2480</v>
      </c>
      <c r="G44" s="3083"/>
    </row>
    <row r="45" spans="1:7" ht="19.5" customHeight="1">
      <c r="A45" s="3817"/>
      <c r="B45" s="3808" t="s">
        <v>2632</v>
      </c>
      <c r="C45" s="3084" t="s">
        <v>2481</v>
      </c>
      <c r="D45" s="3085"/>
      <c r="E45" s="3086">
        <v>1</v>
      </c>
      <c r="F45" s="3083" t="s">
        <v>2482</v>
      </c>
      <c r="G45" s="3083"/>
    </row>
    <row r="46" spans="1:7" ht="19.5" customHeight="1">
      <c r="A46" s="3817"/>
      <c r="B46" s="3810"/>
      <c r="C46" s="3084" t="s">
        <v>2483</v>
      </c>
      <c r="D46" s="3085"/>
      <c r="E46" s="3086">
        <v>1</v>
      </c>
      <c r="F46" s="3083" t="s">
        <v>2484</v>
      </c>
      <c r="G46" s="3083"/>
    </row>
    <row r="47" spans="1:7" ht="19.5" customHeight="1">
      <c r="A47" s="3817"/>
      <c r="B47" s="3810"/>
      <c r="C47" s="3084" t="s">
        <v>2485</v>
      </c>
      <c r="D47" s="3085"/>
      <c r="E47" s="3086">
        <v>1</v>
      </c>
      <c r="F47" s="3083" t="s">
        <v>2486</v>
      </c>
      <c r="G47" s="3083"/>
    </row>
    <row r="48" spans="1:7" ht="19.5" customHeight="1">
      <c r="A48" s="3817"/>
      <c r="B48" s="3810"/>
      <c r="C48" s="3084" t="s">
        <v>2487</v>
      </c>
      <c r="D48" s="3085"/>
      <c r="E48" s="3086">
        <v>1</v>
      </c>
      <c r="F48" s="3083" t="s">
        <v>2488</v>
      </c>
      <c r="G48" s="3083"/>
    </row>
    <row r="49" spans="1:7" ht="19.5" customHeight="1">
      <c r="A49" s="3817"/>
      <c r="B49" s="3810"/>
      <c r="C49" s="3084" t="s">
        <v>2489</v>
      </c>
      <c r="D49" s="3085"/>
      <c r="E49" s="3086">
        <v>1</v>
      </c>
      <c r="F49" s="3083" t="s">
        <v>2490</v>
      </c>
      <c r="G49" s="3083"/>
    </row>
    <row r="50" spans="1:7" ht="19.5" customHeight="1">
      <c r="A50" s="3817"/>
      <c r="B50" s="3810"/>
      <c r="C50" s="3084" t="s">
        <v>2491</v>
      </c>
      <c r="D50" s="3085"/>
      <c r="E50" s="3086">
        <v>1</v>
      </c>
      <c r="F50" s="3083" t="s">
        <v>2492</v>
      </c>
      <c r="G50" s="3083"/>
    </row>
    <row r="51" spans="1:7" ht="19.5" customHeight="1" thickBot="1">
      <c r="A51" s="3818"/>
      <c r="B51" s="3812"/>
      <c r="C51" s="3087" t="s">
        <v>2493</v>
      </c>
      <c r="D51" s="3088"/>
      <c r="E51" s="3089">
        <v>1</v>
      </c>
      <c r="F51" s="3083" t="s">
        <v>2494</v>
      </c>
      <c r="G51" s="3083"/>
    </row>
    <row r="52" spans="1:7" ht="19.5" customHeight="1">
      <c r="A52" s="3096"/>
      <c r="B52" s="3096"/>
      <c r="C52" s="3096"/>
      <c r="D52" s="3096"/>
      <c r="E52" s="3096"/>
      <c r="F52" s="3096"/>
      <c r="G52" s="3096"/>
    </row>
    <row r="54" spans="1:7" ht="19.5" customHeight="1">
      <c r="A54" s="3097"/>
      <c r="B54" s="3069" t="s">
        <v>2633</v>
      </c>
      <c r="C54" s="3069" t="s">
        <v>2633</v>
      </c>
      <c r="D54" s="3069" t="s">
        <v>2633</v>
      </c>
      <c r="E54" s="3072" t="s">
        <v>2633</v>
      </c>
      <c r="F54" s="3072" t="s">
        <v>2634</v>
      </c>
      <c r="G54" s="3072" t="s">
        <v>2635</v>
      </c>
    </row>
    <row r="55" spans="1:7" ht="19.5" customHeight="1">
      <c r="A55" s="3098"/>
      <c r="B55" s="3072" t="s">
        <v>2602</v>
      </c>
      <c r="C55" s="3072" t="s">
        <v>2602</v>
      </c>
      <c r="D55" s="3072" t="s">
        <v>2602</v>
      </c>
      <c r="E55" s="3069" t="s">
        <v>2603</v>
      </c>
      <c r="F55" s="3069" t="s">
        <v>2605</v>
      </c>
      <c r="G55" s="3069" t="s">
        <v>2636</v>
      </c>
    </row>
    <row r="56" spans="1:7" ht="19.5" customHeight="1">
      <c r="A56" s="3099"/>
      <c r="B56" s="3069">
        <v>1</v>
      </c>
      <c r="C56" s="3069">
        <v>2</v>
      </c>
      <c r="D56" s="3069">
        <v>3</v>
      </c>
      <c r="E56" s="3100" t="s">
        <v>2637</v>
      </c>
      <c r="F56" s="3100" t="s">
        <v>2637</v>
      </c>
      <c r="G56" s="3100" t="s">
        <v>2637</v>
      </c>
    </row>
    <row r="57" spans="1:7" ht="19.5" customHeight="1">
      <c r="A57" s="3101" t="s">
        <v>2590</v>
      </c>
      <c r="B57" s="3069">
        <v>0.7</v>
      </c>
      <c r="C57" s="3069">
        <v>0.4</v>
      </c>
      <c r="D57" s="3069">
        <v>0.3</v>
      </c>
      <c r="E57" s="3100">
        <v>0.3</v>
      </c>
      <c r="F57" s="3069">
        <v>0.3</v>
      </c>
      <c r="G57" s="3069">
        <v>0.2</v>
      </c>
    </row>
    <row r="58" spans="1:7" ht="19.5" customHeight="1">
      <c r="A58" s="3101" t="s">
        <v>2591</v>
      </c>
      <c r="B58" s="3069">
        <v>0.7</v>
      </c>
      <c r="C58" s="3069">
        <v>0.4</v>
      </c>
      <c r="D58" s="3069">
        <v>0.3</v>
      </c>
      <c r="E58" s="3069">
        <v>0.3</v>
      </c>
      <c r="F58" s="3069">
        <v>0.3</v>
      </c>
      <c r="G58" s="3069">
        <v>0.2</v>
      </c>
    </row>
    <row r="59" spans="1:7" ht="19.5" customHeight="1">
      <c r="A59" s="3101" t="s">
        <v>2592</v>
      </c>
      <c r="B59" s="3069">
        <v>0.6</v>
      </c>
      <c r="C59" s="3069">
        <v>0.3</v>
      </c>
      <c r="D59" s="3069">
        <v>0.25</v>
      </c>
      <c r="E59" s="3069">
        <v>0.25</v>
      </c>
      <c r="F59" s="3069">
        <v>0.25</v>
      </c>
      <c r="G59" s="3069">
        <v>0.15</v>
      </c>
    </row>
    <row r="60" spans="1:7" ht="19.5" customHeight="1">
      <c r="A60" s="3101" t="s">
        <v>2593</v>
      </c>
      <c r="B60" s="3069">
        <v>0.6</v>
      </c>
      <c r="C60" s="3069">
        <v>0.3</v>
      </c>
      <c r="D60" s="3069">
        <v>0.25</v>
      </c>
      <c r="E60" s="3069">
        <v>0.25</v>
      </c>
      <c r="F60" s="3069">
        <v>0.25</v>
      </c>
      <c r="G60" s="3069">
        <v>0.15</v>
      </c>
    </row>
    <row r="61" spans="1:7" ht="19.5" customHeight="1">
      <c r="A61" s="3101" t="s">
        <v>2594</v>
      </c>
      <c r="B61" s="3069">
        <v>0.6</v>
      </c>
      <c r="C61" s="3069">
        <v>0.3</v>
      </c>
      <c r="D61" s="3069">
        <v>0.25</v>
      </c>
      <c r="E61" s="3069">
        <v>0.25</v>
      </c>
      <c r="F61" s="3069">
        <v>0.25</v>
      </c>
      <c r="G61" s="3069">
        <v>0.15</v>
      </c>
    </row>
    <row r="62" spans="1:7" ht="19.5" customHeight="1">
      <c r="A62" s="3101" t="s">
        <v>2595</v>
      </c>
      <c r="B62" s="3069">
        <v>0.6</v>
      </c>
      <c r="C62" s="3069">
        <v>0.3</v>
      </c>
      <c r="D62" s="3069">
        <v>0.25</v>
      </c>
      <c r="E62" s="3069">
        <v>0.25</v>
      </c>
      <c r="F62" s="3069">
        <v>0.25</v>
      </c>
      <c r="G62" s="3069">
        <v>0.15</v>
      </c>
    </row>
    <row r="63" spans="1:7" ht="19.5" customHeight="1">
      <c r="A63" s="3101" t="s">
        <v>2596</v>
      </c>
      <c r="B63" s="3069">
        <v>0.6</v>
      </c>
      <c r="C63" s="3069">
        <v>0.3</v>
      </c>
      <c r="D63" s="3069">
        <v>0.25</v>
      </c>
      <c r="E63" s="3069">
        <v>0.25</v>
      </c>
      <c r="F63" s="3069">
        <v>0.25</v>
      </c>
      <c r="G63" s="3069">
        <v>0.15</v>
      </c>
    </row>
    <row r="64" spans="1:7" ht="19.5" customHeight="1">
      <c r="A64" s="3101" t="s">
        <v>2597</v>
      </c>
      <c r="B64" s="3069">
        <v>0.5</v>
      </c>
      <c r="C64" s="3069">
        <v>0.2</v>
      </c>
      <c r="D64" s="3069">
        <v>0.2</v>
      </c>
      <c r="E64" s="3069">
        <v>0.2</v>
      </c>
      <c r="F64" s="3069">
        <v>0.2</v>
      </c>
      <c r="G64" s="3069">
        <v>0.1</v>
      </c>
    </row>
    <row r="65" spans="1:7" ht="19.5" customHeight="1">
      <c r="A65" s="3101" t="s">
        <v>2598</v>
      </c>
      <c r="B65" s="3069">
        <v>0.5</v>
      </c>
      <c r="C65" s="3069">
        <v>0.2</v>
      </c>
      <c r="D65" s="3069">
        <v>0.2</v>
      </c>
      <c r="E65" s="3069">
        <v>0.2</v>
      </c>
      <c r="F65" s="3069">
        <v>0.2</v>
      </c>
      <c r="G65" s="3069">
        <v>0.1</v>
      </c>
    </row>
    <row r="66" spans="1:7" ht="19.5" customHeight="1">
      <c r="A66" s="3101" t="s">
        <v>2599</v>
      </c>
      <c r="B66" s="3069">
        <v>0.5</v>
      </c>
      <c r="C66" s="3069">
        <v>0.2</v>
      </c>
      <c r="D66" s="3069">
        <v>0.2</v>
      </c>
      <c r="E66" s="3069">
        <v>0.2</v>
      </c>
      <c r="F66" s="3069">
        <v>0.2</v>
      </c>
      <c r="G66" s="3069">
        <v>0.1</v>
      </c>
    </row>
    <row r="67" spans="1:7" ht="19.5" customHeight="1">
      <c r="A67" s="3101" t="s">
        <v>2600</v>
      </c>
      <c r="B67" s="3069">
        <v>0.5</v>
      </c>
      <c r="C67" s="3069">
        <v>0.2</v>
      </c>
      <c r="D67" s="3069">
        <v>0.2</v>
      </c>
      <c r="E67" s="3069">
        <v>0.2</v>
      </c>
      <c r="F67" s="3069">
        <v>0.2</v>
      </c>
      <c r="G67" s="3069">
        <v>0.1</v>
      </c>
    </row>
    <row r="68" spans="1:7" ht="19.5" customHeight="1">
      <c r="A68" s="3101" t="s">
        <v>2601</v>
      </c>
      <c r="B68" s="3069">
        <v>0.5</v>
      </c>
      <c r="C68" s="3069">
        <v>0.2</v>
      </c>
      <c r="D68" s="3069">
        <v>0.2</v>
      </c>
      <c r="E68" s="3069">
        <v>0.2</v>
      </c>
      <c r="F68" s="3069">
        <v>0.2</v>
      </c>
      <c r="G68" s="3069">
        <v>0.1</v>
      </c>
    </row>
    <row r="70" spans="1:7" ht="19.5" customHeight="1">
      <c r="A70" s="3102"/>
      <c r="B70" s="3103"/>
      <c r="C70" s="3103"/>
      <c r="D70" s="3103" t="s">
        <v>2638</v>
      </c>
      <c r="E70" s="3103"/>
      <c r="F70" s="3103"/>
    </row>
    <row r="71" spans="1:7" ht="19.5" customHeight="1">
      <c r="A71" s="3095" t="s">
        <v>2639</v>
      </c>
      <c r="B71" s="3095" t="s">
        <v>2640</v>
      </c>
      <c r="C71" s="3095" t="s">
        <v>2641</v>
      </c>
      <c r="D71" s="3095" t="s">
        <v>2642</v>
      </c>
      <c r="E71" s="3095" t="s">
        <v>2643</v>
      </c>
      <c r="F71" s="3095" t="s">
        <v>2644</v>
      </c>
    </row>
    <row r="72" spans="1:7" ht="13.5">
      <c r="A72" s="3095"/>
      <c r="B72" s="3095"/>
      <c r="C72" s="3095" t="s">
        <v>2645</v>
      </c>
      <c r="D72" s="3095"/>
      <c r="E72" s="3095" t="s">
        <v>2616</v>
      </c>
      <c r="F72" s="3095" t="s">
        <v>2616</v>
      </c>
    </row>
    <row r="73" spans="1:7" ht="13.5">
      <c r="A73" s="3095">
        <v>1</v>
      </c>
      <c r="B73" s="3808" t="s">
        <v>2646</v>
      </c>
      <c r="C73" s="3069" t="s">
        <v>2647</v>
      </c>
      <c r="D73" s="3069" t="s">
        <v>2648</v>
      </c>
      <c r="E73" s="3095">
        <v>0.2</v>
      </c>
      <c r="F73" s="3095">
        <v>25</v>
      </c>
    </row>
    <row r="74" spans="1:7" ht="24">
      <c r="A74" s="3095">
        <v>2</v>
      </c>
      <c r="B74" s="3810"/>
      <c r="C74" s="3069" t="s">
        <v>2649</v>
      </c>
      <c r="D74" s="3069" t="s">
        <v>2650</v>
      </c>
      <c r="E74" s="3095">
        <v>0.2</v>
      </c>
      <c r="F74" s="3095">
        <v>25</v>
      </c>
    </row>
    <row r="75" spans="1:7" ht="24">
      <c r="A75" s="3095">
        <v>3</v>
      </c>
      <c r="B75" s="3810"/>
      <c r="C75" s="3069" t="s">
        <v>2651</v>
      </c>
      <c r="D75" s="3069" t="s">
        <v>2652</v>
      </c>
      <c r="E75" s="3095">
        <v>0.2</v>
      </c>
      <c r="F75" s="3095">
        <v>25</v>
      </c>
    </row>
    <row r="76" spans="1:7" ht="13.5">
      <c r="A76" s="3095">
        <v>4</v>
      </c>
      <c r="B76" s="3810"/>
      <c r="C76" s="3069" t="s">
        <v>2653</v>
      </c>
      <c r="D76" s="3069" t="s">
        <v>2654</v>
      </c>
      <c r="E76" s="3095">
        <v>0.15</v>
      </c>
      <c r="F76" s="3095">
        <v>20</v>
      </c>
    </row>
    <row r="77" spans="1:7" ht="24">
      <c r="A77" s="3095">
        <v>5</v>
      </c>
      <c r="B77" s="3810"/>
      <c r="C77" s="3069" t="s">
        <v>2655</v>
      </c>
      <c r="D77" s="3069" t="s">
        <v>2656</v>
      </c>
      <c r="E77" s="3095">
        <v>0.15</v>
      </c>
      <c r="F77" s="3095">
        <v>20</v>
      </c>
    </row>
    <row r="78" spans="1:7" ht="24">
      <c r="A78" s="3095">
        <v>6</v>
      </c>
      <c r="B78" s="3810"/>
      <c r="C78" s="3069" t="s">
        <v>2657</v>
      </c>
      <c r="D78" s="3069" t="s">
        <v>2658</v>
      </c>
      <c r="E78" s="3095">
        <v>0.15</v>
      </c>
      <c r="F78" s="3095">
        <v>20</v>
      </c>
    </row>
    <row r="79" spans="1:7" ht="24">
      <c r="A79" s="3095">
        <v>7</v>
      </c>
      <c r="B79" s="3810"/>
      <c r="C79" s="3069" t="s">
        <v>2659</v>
      </c>
      <c r="D79" s="3069" t="s">
        <v>2660</v>
      </c>
      <c r="E79" s="3095">
        <v>0.15</v>
      </c>
      <c r="F79" s="3095">
        <v>20</v>
      </c>
    </row>
    <row r="80" spans="1:7" ht="24">
      <c r="A80" s="3095">
        <v>8</v>
      </c>
      <c r="B80" s="3810"/>
      <c r="C80" s="3069" t="s">
        <v>2661</v>
      </c>
      <c r="D80" s="3069" t="s">
        <v>2662</v>
      </c>
      <c r="E80" s="3095">
        <v>0.1</v>
      </c>
      <c r="F80" s="3095">
        <v>15</v>
      </c>
    </row>
    <row r="81" spans="1:6" ht="24">
      <c r="A81" s="3095">
        <v>9</v>
      </c>
      <c r="B81" s="3810"/>
      <c r="C81" s="3069" t="s">
        <v>2663</v>
      </c>
      <c r="D81" s="3069" t="s">
        <v>2664</v>
      </c>
      <c r="E81" s="3095">
        <v>0.1</v>
      </c>
      <c r="F81" s="3095">
        <v>15</v>
      </c>
    </row>
    <row r="82" spans="1:6" ht="24">
      <c r="A82" s="3095">
        <v>10</v>
      </c>
      <c r="B82" s="3810"/>
      <c r="C82" s="3069" t="s">
        <v>2665</v>
      </c>
      <c r="D82" s="3069" t="s">
        <v>2666</v>
      </c>
      <c r="E82" s="3095">
        <v>0.1</v>
      </c>
      <c r="F82" s="3095">
        <v>15</v>
      </c>
    </row>
    <row r="83" spans="1:6" ht="24">
      <c r="A83" s="3095">
        <v>11</v>
      </c>
      <c r="B83" s="3810"/>
      <c r="C83" s="3069" t="s">
        <v>2667</v>
      </c>
      <c r="D83" s="3069" t="s">
        <v>2668</v>
      </c>
      <c r="E83" s="3095">
        <v>0.1</v>
      </c>
      <c r="F83" s="3095">
        <v>15</v>
      </c>
    </row>
    <row r="84" spans="1:6" ht="24">
      <c r="A84" s="3095">
        <v>12</v>
      </c>
      <c r="B84" s="3810"/>
      <c r="C84" s="3069" t="s">
        <v>2669</v>
      </c>
      <c r="D84" s="3069" t="s">
        <v>2670</v>
      </c>
      <c r="E84" s="3095">
        <v>0.1</v>
      </c>
      <c r="F84" s="3095">
        <v>15</v>
      </c>
    </row>
    <row r="85" spans="1:6" ht="13.5">
      <c r="A85" s="3095">
        <v>13</v>
      </c>
      <c r="B85" s="3810"/>
      <c r="C85" s="3069" t="s">
        <v>2671</v>
      </c>
      <c r="D85" s="3069" t="s">
        <v>2672</v>
      </c>
      <c r="E85" s="3095">
        <v>0.1</v>
      </c>
      <c r="F85" s="3095">
        <v>15</v>
      </c>
    </row>
    <row r="86" spans="1:6" ht="13.5">
      <c r="A86" s="3095">
        <v>14</v>
      </c>
      <c r="B86" s="3810"/>
      <c r="C86" s="3069" t="s">
        <v>2673</v>
      </c>
      <c r="D86" s="3069" t="s">
        <v>2674</v>
      </c>
      <c r="E86" s="3095">
        <v>0.1</v>
      </c>
      <c r="F86" s="3095">
        <v>15</v>
      </c>
    </row>
    <row r="87" spans="1:6" ht="13.5">
      <c r="A87" s="3095">
        <v>15</v>
      </c>
      <c r="B87" s="3810"/>
      <c r="C87" s="3069" t="s">
        <v>2675</v>
      </c>
      <c r="D87" s="3069" t="s">
        <v>2676</v>
      </c>
      <c r="E87" s="3095">
        <v>0.1</v>
      </c>
      <c r="F87" s="3095">
        <v>15</v>
      </c>
    </row>
    <row r="88" spans="1:6" ht="24">
      <c r="A88" s="3095">
        <v>16</v>
      </c>
      <c r="B88" s="3810"/>
      <c r="C88" s="3069" t="s">
        <v>2677</v>
      </c>
      <c r="D88" s="3069" t="s">
        <v>2678</v>
      </c>
      <c r="E88" s="3095">
        <v>0.1</v>
      </c>
      <c r="F88" s="3095">
        <v>15</v>
      </c>
    </row>
    <row r="89" spans="1:6" ht="24">
      <c r="A89" s="3095">
        <v>17</v>
      </c>
      <c r="B89" s="3809"/>
      <c r="C89" s="3069" t="s">
        <v>2679</v>
      </c>
      <c r="D89" s="3069" t="s">
        <v>2680</v>
      </c>
      <c r="E89" s="3095">
        <v>0.1</v>
      </c>
      <c r="F89" s="3095">
        <v>15</v>
      </c>
    </row>
    <row r="90" spans="1:6" ht="13.5">
      <c r="A90" s="3095">
        <v>18</v>
      </c>
      <c r="B90" s="3808" t="s">
        <v>2681</v>
      </c>
      <c r="C90" s="3069" t="s">
        <v>2682</v>
      </c>
      <c r="D90" s="3069" t="s">
        <v>2683</v>
      </c>
      <c r="E90" s="3095">
        <v>0.2</v>
      </c>
      <c r="F90" s="3095">
        <v>25</v>
      </c>
    </row>
    <row r="91" spans="1:6" ht="24">
      <c r="A91" s="3095">
        <v>19</v>
      </c>
      <c r="B91" s="3810"/>
      <c r="C91" s="3069" t="s">
        <v>2684</v>
      </c>
      <c r="D91" s="3069" t="s">
        <v>2685</v>
      </c>
      <c r="E91" s="3095">
        <v>0.2</v>
      </c>
      <c r="F91" s="3095">
        <v>25</v>
      </c>
    </row>
    <row r="92" spans="1:6" ht="13.5">
      <c r="A92" s="3095">
        <v>20</v>
      </c>
      <c r="B92" s="3810"/>
      <c r="C92" s="3069" t="s">
        <v>2686</v>
      </c>
      <c r="D92" s="3069" t="s">
        <v>2687</v>
      </c>
      <c r="E92" s="3095">
        <v>0.15</v>
      </c>
      <c r="F92" s="3095">
        <v>20</v>
      </c>
    </row>
    <row r="93" spans="1:6" ht="13.5">
      <c r="A93" s="3095">
        <v>21</v>
      </c>
      <c r="B93" s="3810"/>
      <c r="C93" s="3069" t="s">
        <v>2688</v>
      </c>
      <c r="D93" s="3069" t="s">
        <v>2689</v>
      </c>
      <c r="E93" s="3095">
        <v>0.15</v>
      </c>
      <c r="F93" s="3095">
        <v>20</v>
      </c>
    </row>
    <row r="94" spans="1:6" ht="13.5">
      <c r="A94" s="3095">
        <v>22</v>
      </c>
      <c r="B94" s="3810"/>
      <c r="C94" s="3069" t="s">
        <v>2690</v>
      </c>
      <c r="D94" s="3069" t="s">
        <v>2691</v>
      </c>
      <c r="E94" s="3095">
        <v>0.15</v>
      </c>
      <c r="F94" s="3095">
        <v>20</v>
      </c>
    </row>
    <row r="95" spans="1:6" ht="36">
      <c r="A95" s="3095">
        <v>23</v>
      </c>
      <c r="B95" s="3810"/>
      <c r="C95" s="3069" t="s">
        <v>2692</v>
      </c>
      <c r="D95" s="3069" t="s">
        <v>2693</v>
      </c>
      <c r="E95" s="3095">
        <v>0.15</v>
      </c>
      <c r="F95" s="3095">
        <v>20</v>
      </c>
    </row>
    <row r="96" spans="1:6" ht="13.5">
      <c r="A96" s="3095">
        <v>24</v>
      </c>
      <c r="B96" s="3810"/>
      <c r="C96" s="3069" t="s">
        <v>2694</v>
      </c>
      <c r="D96" s="3069" t="s">
        <v>2695</v>
      </c>
      <c r="E96" s="3095">
        <v>0.1</v>
      </c>
      <c r="F96" s="3095">
        <v>15</v>
      </c>
    </row>
    <row r="97" spans="1:6" ht="13.5">
      <c r="A97" s="3095">
        <v>25</v>
      </c>
      <c r="B97" s="3810"/>
      <c r="C97" s="3069" t="s">
        <v>2696</v>
      </c>
      <c r="D97" s="3069" t="s">
        <v>2697</v>
      </c>
      <c r="E97" s="3095">
        <v>0.1</v>
      </c>
      <c r="F97" s="3095">
        <v>15</v>
      </c>
    </row>
    <row r="98" spans="1:6" ht="24">
      <c r="A98" s="3095">
        <v>26</v>
      </c>
      <c r="B98" s="3810"/>
      <c r="C98" s="3069" t="s">
        <v>2698</v>
      </c>
      <c r="D98" s="3069" t="s">
        <v>2699</v>
      </c>
      <c r="E98" s="3095">
        <v>0.1</v>
      </c>
      <c r="F98" s="3095">
        <v>15</v>
      </c>
    </row>
    <row r="99" spans="1:6" ht="24">
      <c r="A99" s="3095">
        <v>27</v>
      </c>
      <c r="B99" s="3810"/>
      <c r="C99" s="3069" t="s">
        <v>2700</v>
      </c>
      <c r="D99" s="3069" t="s">
        <v>2701</v>
      </c>
      <c r="E99" s="3095">
        <v>0.1</v>
      </c>
      <c r="F99" s="3095">
        <v>15</v>
      </c>
    </row>
    <row r="100" spans="1:6" ht="13.5">
      <c r="A100" s="3095">
        <v>28</v>
      </c>
      <c r="B100" s="3810"/>
      <c r="C100" s="3069" t="s">
        <v>2702</v>
      </c>
      <c r="D100" s="3069" t="s">
        <v>2703</v>
      </c>
      <c r="E100" s="3095">
        <v>0.1</v>
      </c>
      <c r="F100" s="3095">
        <v>15</v>
      </c>
    </row>
    <row r="101" spans="1:6" ht="13.5">
      <c r="A101" s="3095">
        <v>29</v>
      </c>
      <c r="B101" s="3810"/>
      <c r="C101" s="3069" t="s">
        <v>2704</v>
      </c>
      <c r="D101" s="3069" t="s">
        <v>2705</v>
      </c>
      <c r="E101" s="3095">
        <v>0.1</v>
      </c>
      <c r="F101" s="3095">
        <v>15</v>
      </c>
    </row>
    <row r="102" spans="1:6" ht="13.5">
      <c r="A102" s="3095">
        <v>30</v>
      </c>
      <c r="B102" s="3810"/>
      <c r="C102" s="3069" t="s">
        <v>2706</v>
      </c>
      <c r="D102" s="3069" t="s">
        <v>2707</v>
      </c>
      <c r="E102" s="3095">
        <v>0.1</v>
      </c>
      <c r="F102" s="3095">
        <v>15</v>
      </c>
    </row>
    <row r="103" spans="1:6" ht="24">
      <c r="A103" s="3095">
        <v>31</v>
      </c>
      <c r="B103" s="3810"/>
      <c r="C103" s="3069" t="s">
        <v>2708</v>
      </c>
      <c r="D103" s="3069" t="s">
        <v>2709</v>
      </c>
      <c r="E103" s="3095">
        <v>0.1</v>
      </c>
      <c r="F103" s="3095">
        <v>15</v>
      </c>
    </row>
    <row r="104" spans="1:6" ht="24">
      <c r="A104" s="3095">
        <v>32</v>
      </c>
      <c r="B104" s="3810"/>
      <c r="C104" s="3069" t="s">
        <v>2710</v>
      </c>
      <c r="D104" s="3069" t="s">
        <v>2711</v>
      </c>
      <c r="E104" s="3095">
        <v>0.1</v>
      </c>
      <c r="F104" s="3095">
        <v>15</v>
      </c>
    </row>
    <row r="105" spans="1:6" ht="24">
      <c r="A105" s="3095">
        <v>33</v>
      </c>
      <c r="B105" s="3810"/>
      <c r="C105" s="3069" t="s">
        <v>2712</v>
      </c>
      <c r="D105" s="3069" t="s">
        <v>2713</v>
      </c>
      <c r="E105" s="3095">
        <v>0.1</v>
      </c>
      <c r="F105" s="3095">
        <v>15</v>
      </c>
    </row>
    <row r="106" spans="1:6" ht="24">
      <c r="A106" s="3095">
        <v>34</v>
      </c>
      <c r="B106" s="3809"/>
      <c r="C106" s="3069" t="s">
        <v>2714</v>
      </c>
      <c r="D106" s="3069" t="s">
        <v>2715</v>
      </c>
      <c r="E106" s="3095">
        <v>0.1</v>
      </c>
      <c r="F106" s="3095">
        <v>15</v>
      </c>
    </row>
    <row r="107" spans="1:6" ht="24">
      <c r="A107" s="3095">
        <v>35</v>
      </c>
      <c r="B107" s="3808" t="s">
        <v>2716</v>
      </c>
      <c r="C107" s="3095" t="s">
        <v>2717</v>
      </c>
      <c r="D107" s="3069" t="s">
        <v>2718</v>
      </c>
      <c r="E107" s="3095">
        <v>0.15</v>
      </c>
      <c r="F107" s="3095">
        <v>20</v>
      </c>
    </row>
    <row r="108" spans="1:6" ht="13.5">
      <c r="A108" s="3095">
        <v>36</v>
      </c>
      <c r="B108" s="3810"/>
      <c r="C108" s="3095" t="s">
        <v>2719</v>
      </c>
      <c r="D108" s="3069" t="s">
        <v>2720</v>
      </c>
      <c r="E108" s="3095">
        <v>0.15</v>
      </c>
      <c r="F108" s="3095">
        <v>20</v>
      </c>
    </row>
    <row r="109" spans="1:6" ht="13.5">
      <c r="A109" s="3095">
        <v>37</v>
      </c>
      <c r="B109" s="3810"/>
      <c r="C109" s="3095" t="s">
        <v>2721</v>
      </c>
      <c r="D109" s="3069" t="s">
        <v>2722</v>
      </c>
      <c r="E109" s="3095">
        <v>0.15</v>
      </c>
      <c r="F109" s="3095">
        <v>20</v>
      </c>
    </row>
    <row r="110" spans="1:6" ht="13.5">
      <c r="A110" s="3095">
        <v>38</v>
      </c>
      <c r="B110" s="3810"/>
      <c r="C110" s="3095" t="s">
        <v>2723</v>
      </c>
      <c r="D110" s="3069" t="s">
        <v>2724</v>
      </c>
      <c r="E110" s="3095">
        <v>0.1</v>
      </c>
      <c r="F110" s="3095">
        <v>15</v>
      </c>
    </row>
    <row r="111" spans="1:6" ht="24">
      <c r="A111" s="3095">
        <v>39</v>
      </c>
      <c r="B111" s="3810"/>
      <c r="C111" s="3095" t="s">
        <v>2725</v>
      </c>
      <c r="D111" s="3069" t="s">
        <v>2726</v>
      </c>
      <c r="E111" s="3095">
        <v>0.1</v>
      </c>
      <c r="F111" s="3095">
        <v>15</v>
      </c>
    </row>
    <row r="112" spans="1:6" ht="24">
      <c r="A112" s="3095">
        <v>40</v>
      </c>
      <c r="B112" s="3809"/>
      <c r="C112" s="3095" t="s">
        <v>2727</v>
      </c>
      <c r="D112" s="3069" t="s">
        <v>2728</v>
      </c>
      <c r="E112" s="3095">
        <v>0.1</v>
      </c>
      <c r="F112" s="3095">
        <v>15</v>
      </c>
    </row>
    <row r="113" spans="1:6" ht="13.5">
      <c r="A113" s="3095">
        <v>41</v>
      </c>
      <c r="B113" s="3807" t="s">
        <v>2729</v>
      </c>
      <c r="C113" s="3095" t="s">
        <v>2730</v>
      </c>
      <c r="D113" s="3069" t="s">
        <v>2731</v>
      </c>
      <c r="E113" s="3095">
        <v>0.1</v>
      </c>
      <c r="F113" s="3095">
        <v>15</v>
      </c>
    </row>
    <row r="114" spans="1:6" ht="13.5">
      <c r="A114" s="3095">
        <v>42</v>
      </c>
      <c r="B114" s="3807"/>
      <c r="C114" s="3095" t="s">
        <v>2732</v>
      </c>
      <c r="D114" s="3069" t="s">
        <v>2733</v>
      </c>
      <c r="E114" s="3095">
        <v>0.1</v>
      </c>
      <c r="F114" s="3095">
        <v>15</v>
      </c>
    </row>
    <row r="115" spans="1:6" ht="24">
      <c r="A115" s="3095">
        <v>43</v>
      </c>
      <c r="B115" s="3807"/>
      <c r="C115" s="3095" t="s">
        <v>2734</v>
      </c>
      <c r="D115" s="3069" t="s">
        <v>2735</v>
      </c>
      <c r="E115" s="3095">
        <v>0.1</v>
      </c>
      <c r="F115" s="3095">
        <v>15</v>
      </c>
    </row>
    <row r="116" spans="1:6" ht="13.5">
      <c r="A116" s="3095">
        <v>44</v>
      </c>
      <c r="B116" s="3808" t="s">
        <v>2736</v>
      </c>
      <c r="C116" s="3095" t="s">
        <v>2737</v>
      </c>
      <c r="D116" s="3069" t="s">
        <v>2738</v>
      </c>
      <c r="E116" s="3095">
        <v>0.1</v>
      </c>
      <c r="F116" s="3095">
        <v>15</v>
      </c>
    </row>
    <row r="117" spans="1:6" ht="24">
      <c r="A117" s="3095">
        <v>45</v>
      </c>
      <c r="B117" s="3809"/>
      <c r="C117" s="3069" t="s">
        <v>2739</v>
      </c>
      <c r="D117" s="3069" t="s">
        <v>2740</v>
      </c>
      <c r="E117" s="3095">
        <v>0.1</v>
      </c>
      <c r="F117" s="3095">
        <v>15</v>
      </c>
    </row>
    <row r="118" spans="1:6" ht="24">
      <c r="A118" s="3095">
        <v>46</v>
      </c>
      <c r="B118" s="3808" t="s">
        <v>2741</v>
      </c>
      <c r="C118" s="3095" t="s">
        <v>2742</v>
      </c>
      <c r="D118" s="3069" t="s">
        <v>2743</v>
      </c>
      <c r="E118" s="3095">
        <v>0.1</v>
      </c>
      <c r="F118" s="3095">
        <v>15</v>
      </c>
    </row>
    <row r="119" spans="1:6" ht="24">
      <c r="A119" s="3095">
        <v>47</v>
      </c>
      <c r="B119" s="3809"/>
      <c r="C119" s="3095" t="s">
        <v>2744</v>
      </c>
      <c r="D119" s="3069" t="s">
        <v>2745</v>
      </c>
      <c r="E119" s="3095">
        <v>0.1</v>
      </c>
      <c r="F119" s="3095">
        <v>15</v>
      </c>
    </row>
    <row r="120" spans="1:6" ht="13.5">
      <c r="A120" s="3095">
        <v>48</v>
      </c>
      <c r="B120" s="3808" t="s">
        <v>2746</v>
      </c>
      <c r="C120" s="3095" t="s">
        <v>2747</v>
      </c>
      <c r="D120" s="3069" t="s">
        <v>2748</v>
      </c>
      <c r="E120" s="3095">
        <v>0.1</v>
      </c>
      <c r="F120" s="3095">
        <v>15</v>
      </c>
    </row>
    <row r="121" spans="1:6" ht="13.5">
      <c r="A121" s="3095">
        <v>49</v>
      </c>
      <c r="B121" s="3809"/>
      <c r="C121" s="3095" t="s">
        <v>2749</v>
      </c>
      <c r="D121" s="3069" t="s">
        <v>2750</v>
      </c>
      <c r="E121" s="3095">
        <v>0.1</v>
      </c>
      <c r="F121" s="3095">
        <v>15</v>
      </c>
    </row>
    <row r="122" spans="1:6" ht="24">
      <c r="A122" s="3095">
        <v>50</v>
      </c>
      <c r="B122" s="3807" t="s">
        <v>2751</v>
      </c>
      <c r="C122" s="3095" t="s">
        <v>2752</v>
      </c>
      <c r="D122" s="3069" t="s">
        <v>2753</v>
      </c>
      <c r="E122" s="3095">
        <v>0.1</v>
      </c>
      <c r="F122" s="3095">
        <v>15</v>
      </c>
    </row>
    <row r="123" spans="1:6" ht="24">
      <c r="A123" s="3095">
        <v>51</v>
      </c>
      <c r="B123" s="3807"/>
      <c r="C123" s="3095" t="s">
        <v>2754</v>
      </c>
      <c r="D123" s="3069" t="s">
        <v>2755</v>
      </c>
      <c r="E123" s="3095">
        <v>0.1</v>
      </c>
      <c r="F123" s="3095">
        <v>15</v>
      </c>
    </row>
    <row r="124" spans="1:6" ht="24">
      <c r="A124" s="3095">
        <v>52</v>
      </c>
      <c r="B124" s="3807" t="s">
        <v>2756</v>
      </c>
      <c r="C124" s="3095" t="s">
        <v>2757</v>
      </c>
      <c r="D124" s="3069" t="s">
        <v>2758</v>
      </c>
      <c r="E124" s="3095">
        <v>0.1</v>
      </c>
      <c r="F124" s="3095">
        <v>15</v>
      </c>
    </row>
    <row r="125" spans="1:6" ht="24">
      <c r="A125" s="3095">
        <v>53</v>
      </c>
      <c r="B125" s="3807"/>
      <c r="C125" s="3095" t="s">
        <v>2759</v>
      </c>
      <c r="D125" s="3069" t="s">
        <v>2760</v>
      </c>
      <c r="E125" s="3095">
        <v>0.1</v>
      </c>
      <c r="F125" s="3095">
        <v>15</v>
      </c>
    </row>
    <row r="126" spans="1:6" ht="13.5">
      <c r="A126" s="3095">
        <v>54</v>
      </c>
      <c r="B126" s="3095" t="s">
        <v>2761</v>
      </c>
      <c r="C126" s="3095" t="s">
        <v>2762</v>
      </c>
      <c r="D126" s="3069" t="s">
        <v>2763</v>
      </c>
      <c r="E126" s="3095">
        <v>0.1</v>
      </c>
      <c r="F126" s="3095">
        <v>15</v>
      </c>
    </row>
    <row r="127" spans="1:6" ht="13.5">
      <c r="A127" s="3095">
        <v>55</v>
      </c>
      <c r="B127" s="3807" t="s">
        <v>2764</v>
      </c>
      <c r="C127" s="3095" t="s">
        <v>2765</v>
      </c>
      <c r="D127" s="3069" t="s">
        <v>2766</v>
      </c>
      <c r="E127" s="3095">
        <v>0.1</v>
      </c>
      <c r="F127" s="3095">
        <v>15</v>
      </c>
    </row>
    <row r="128" spans="1:6" ht="13.5">
      <c r="A128" s="3095">
        <v>56</v>
      </c>
      <c r="B128" s="3807"/>
      <c r="C128" s="3095" t="s">
        <v>2767</v>
      </c>
      <c r="D128" s="3069" t="s">
        <v>2768</v>
      </c>
      <c r="E128" s="3095">
        <v>0.1</v>
      </c>
      <c r="F128" s="3095">
        <v>15</v>
      </c>
    </row>
    <row r="129" spans="1:6" ht="24">
      <c r="A129" s="3095">
        <v>57</v>
      </c>
      <c r="B129" s="3807"/>
      <c r="C129" s="3095" t="s">
        <v>2769</v>
      </c>
      <c r="D129" s="3069" t="s">
        <v>2770</v>
      </c>
      <c r="E129" s="3095">
        <v>0.1</v>
      </c>
      <c r="F129" s="3095">
        <v>15</v>
      </c>
    </row>
    <row r="130" spans="1:6" ht="24">
      <c r="A130" s="3095">
        <v>58</v>
      </c>
      <c r="B130" s="3807" t="s">
        <v>2771</v>
      </c>
      <c r="C130" s="3095" t="s">
        <v>2772</v>
      </c>
      <c r="D130" s="3069" t="s">
        <v>2773</v>
      </c>
      <c r="E130" s="3095">
        <v>0.1</v>
      </c>
      <c r="F130" s="3095">
        <v>15</v>
      </c>
    </row>
    <row r="131" spans="1:6" ht="13.5">
      <c r="A131" s="3095">
        <v>59</v>
      </c>
      <c r="B131" s="3807"/>
      <c r="C131" s="3095" t="s">
        <v>2774</v>
      </c>
      <c r="D131" s="3069" t="s">
        <v>2775</v>
      </c>
      <c r="E131" s="3095">
        <v>0.1</v>
      </c>
      <c r="F131" s="3095">
        <v>15</v>
      </c>
    </row>
    <row r="132" spans="1:6" ht="13.5">
      <c r="A132" s="3095">
        <v>60</v>
      </c>
      <c r="B132" s="3808" t="s">
        <v>2776</v>
      </c>
      <c r="C132" s="3095" t="s">
        <v>2777</v>
      </c>
      <c r="D132" s="3069" t="s">
        <v>2778</v>
      </c>
      <c r="E132" s="3095">
        <v>0.1</v>
      </c>
      <c r="F132" s="3095">
        <v>15</v>
      </c>
    </row>
    <row r="133" spans="1:6" ht="13.5">
      <c r="A133" s="3095">
        <v>61</v>
      </c>
      <c r="B133" s="3809"/>
      <c r="C133" s="3095" t="s">
        <v>2779</v>
      </c>
      <c r="D133" s="3069" t="s">
        <v>2780</v>
      </c>
      <c r="E133" s="3095">
        <v>0.1</v>
      </c>
      <c r="F133" s="3095">
        <v>15</v>
      </c>
    </row>
    <row r="134" spans="1:6" ht="24">
      <c r="A134" s="3095">
        <v>62</v>
      </c>
      <c r="B134" s="3095" t="s">
        <v>2781</v>
      </c>
      <c r="C134" s="3095" t="s">
        <v>2782</v>
      </c>
      <c r="D134" s="3069" t="s">
        <v>2783</v>
      </c>
      <c r="E134" s="3095">
        <v>0.1</v>
      </c>
      <c r="F134" s="3095">
        <v>15</v>
      </c>
    </row>
    <row r="135" spans="1:6" ht="13.5">
      <c r="A135" s="3095">
        <v>63</v>
      </c>
      <c r="B135" s="3807" t="s">
        <v>2784</v>
      </c>
      <c r="C135" s="3095" t="s">
        <v>2785</v>
      </c>
      <c r="D135" s="3069" t="s">
        <v>2786</v>
      </c>
      <c r="E135" s="3095">
        <v>0.1</v>
      </c>
      <c r="F135" s="3095">
        <v>15</v>
      </c>
    </row>
    <row r="136" spans="1:6" ht="13.5">
      <c r="A136" s="3095">
        <v>64</v>
      </c>
      <c r="B136" s="3807"/>
      <c r="C136" s="3095" t="s">
        <v>2787</v>
      </c>
      <c r="D136" s="3069" t="s">
        <v>2788</v>
      </c>
      <c r="E136" s="3095">
        <v>0.1</v>
      </c>
      <c r="F136" s="3095">
        <v>15</v>
      </c>
    </row>
    <row r="137" spans="1:6" ht="13.5">
      <c r="A137" s="3095">
        <v>65</v>
      </c>
      <c r="B137" s="3095" t="s">
        <v>2789</v>
      </c>
      <c r="C137" s="3095" t="s">
        <v>2790</v>
      </c>
      <c r="D137" s="3069" t="s">
        <v>2791</v>
      </c>
      <c r="E137" s="3095">
        <v>0.1</v>
      </c>
      <c r="F137" s="3095">
        <v>15</v>
      </c>
    </row>
    <row r="138" spans="1:6" ht="13.5">
      <c r="A138" s="3095"/>
      <c r="B138" s="3095"/>
      <c r="C138" s="3095"/>
      <c r="D138" s="3095"/>
      <c r="E138" s="3095" t="s">
        <v>2792</v>
      </c>
      <c r="F138" s="309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18"/>
    <col min="14" max="16384" width="9" style="737"/>
  </cols>
  <sheetData>
    <row r="1" spans="1:20" ht="15" thickBot="1">
      <c r="A1" s="3104" t="s">
        <v>2793</v>
      </c>
      <c r="B1" s="3104"/>
      <c r="C1" s="3104"/>
      <c r="D1" s="3104"/>
      <c r="E1" s="3104"/>
      <c r="F1" s="3104"/>
      <c r="G1" s="3104"/>
      <c r="H1" s="3104"/>
      <c r="I1" s="3104"/>
      <c r="J1" s="3104"/>
      <c r="K1" s="3104"/>
      <c r="L1" s="3104"/>
      <c r="M1" s="3104"/>
      <c r="N1" s="736"/>
    </row>
    <row r="2" spans="1:20">
      <c r="A2" s="3105" t="s">
        <v>2794</v>
      </c>
      <c r="B2" s="3106" t="s">
        <v>2590</v>
      </c>
      <c r="C2" s="3106" t="s">
        <v>2591</v>
      </c>
      <c r="D2" s="3106" t="s">
        <v>2592</v>
      </c>
      <c r="E2" s="3106" t="s">
        <v>2593</v>
      </c>
      <c r="F2" s="3106" t="s">
        <v>2594</v>
      </c>
      <c r="G2" s="3106" t="s">
        <v>2595</v>
      </c>
      <c r="H2" s="3107" t="s">
        <v>2596</v>
      </c>
      <c r="I2" s="3107" t="s">
        <v>2597</v>
      </c>
      <c r="J2" s="3108" t="s">
        <v>2598</v>
      </c>
      <c r="K2" s="3108" t="s">
        <v>2599</v>
      </c>
      <c r="L2" s="3108" t="s">
        <v>2600</v>
      </c>
      <c r="M2" s="3109" t="s">
        <v>2601</v>
      </c>
      <c r="Q2" s="3119" t="s">
        <v>2799</v>
      </c>
      <c r="R2" s="3119" t="s">
        <v>2800</v>
      </c>
      <c r="S2" s="3119" t="s">
        <v>2801</v>
      </c>
      <c r="T2" s="3119" t="s">
        <v>2802</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38"/>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38"/>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38"/>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2795</v>
      </c>
      <c r="B93" s="3104"/>
      <c r="C93" s="3104"/>
      <c r="D93" s="3104"/>
      <c r="E93" s="3104"/>
      <c r="F93" s="3104"/>
      <c r="G93" s="3104"/>
      <c r="H93" s="3104"/>
      <c r="I93" s="3104"/>
      <c r="J93" s="3104"/>
      <c r="K93" s="3104"/>
      <c r="L93" s="3104"/>
      <c r="M93" s="3104"/>
    </row>
    <row r="94" spans="1:20">
      <c r="A94" s="3105" t="s">
        <v>2794</v>
      </c>
      <c r="B94" s="3106" t="s">
        <v>2590</v>
      </c>
      <c r="C94" s="3106" t="s">
        <v>2591</v>
      </c>
      <c r="D94" s="3106" t="s">
        <v>2592</v>
      </c>
      <c r="E94" s="3106" t="s">
        <v>2593</v>
      </c>
      <c r="F94" s="3106" t="s">
        <v>2594</v>
      </c>
      <c r="G94" s="3106" t="s">
        <v>2595</v>
      </c>
      <c r="H94" s="3107" t="s">
        <v>2596</v>
      </c>
      <c r="I94" s="3107" t="s">
        <v>2597</v>
      </c>
      <c r="J94" s="3108" t="s">
        <v>2598</v>
      </c>
      <c r="K94" s="3108" t="s">
        <v>2599</v>
      </c>
      <c r="L94" s="3108" t="s">
        <v>2600</v>
      </c>
      <c r="M94" s="3109" t="s">
        <v>2601</v>
      </c>
      <c r="N94" s="737">
        <f>SUMPRODUCT((A95:A184=ROUNDDOWN(基准地价修正!G3,1))*(B94:M94=基准地价修正!G2)*(B95:M184))</f>
        <v>1.0637000000000001</v>
      </c>
      <c r="Q94" s="3119" t="s">
        <v>2799</v>
      </c>
      <c r="R94" s="3119" t="s">
        <v>2800</v>
      </c>
      <c r="S94" s="3119" t="s">
        <v>2801</v>
      </c>
      <c r="T94" s="3119" t="s">
        <v>2802</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36"/>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36"/>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2796</v>
      </c>
      <c r="B185" s="3104"/>
      <c r="C185" s="3104"/>
      <c r="D185" s="3104"/>
      <c r="E185" s="3104"/>
      <c r="F185" s="3104"/>
      <c r="G185" s="3104"/>
      <c r="H185" s="3104"/>
      <c r="I185" s="3104"/>
      <c r="J185" s="3104"/>
      <c r="K185" s="3104"/>
      <c r="L185" s="3104"/>
      <c r="M185" s="3104"/>
    </row>
    <row r="186" spans="1:20">
      <c r="A186" s="3105" t="s">
        <v>2794</v>
      </c>
      <c r="B186" s="3106" t="s">
        <v>2590</v>
      </c>
      <c r="C186" s="3106" t="s">
        <v>2591</v>
      </c>
      <c r="D186" s="3106" t="s">
        <v>2592</v>
      </c>
      <c r="E186" s="3106" t="s">
        <v>2593</v>
      </c>
      <c r="F186" s="3106" t="s">
        <v>2594</v>
      </c>
      <c r="G186" s="3106" t="s">
        <v>2595</v>
      </c>
      <c r="H186" s="3107" t="s">
        <v>2596</v>
      </c>
      <c r="I186" s="3107" t="s">
        <v>2597</v>
      </c>
      <c r="J186" s="3108" t="s">
        <v>2598</v>
      </c>
      <c r="K186" s="3108" t="s">
        <v>2599</v>
      </c>
      <c r="L186" s="3108" t="s">
        <v>2600</v>
      </c>
      <c r="M186" s="3109" t="s">
        <v>2601</v>
      </c>
      <c r="Q186" s="3119" t="s">
        <v>2799</v>
      </c>
      <c r="R186" s="3119" t="s">
        <v>2800</v>
      </c>
      <c r="S186" s="3119" t="s">
        <v>2801</v>
      </c>
      <c r="T186" s="3119" t="s">
        <v>2802</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2797</v>
      </c>
      <c r="B277" s="3104"/>
      <c r="C277" s="3104"/>
      <c r="D277" s="3104"/>
      <c r="E277" s="3104"/>
      <c r="F277" s="3104"/>
      <c r="G277" s="3104"/>
      <c r="H277" s="3104"/>
      <c r="I277" s="3104"/>
      <c r="J277" s="3104"/>
      <c r="K277" s="3104"/>
      <c r="L277" s="3104"/>
      <c r="M277" s="3104"/>
    </row>
    <row r="278" spans="1:21">
      <c r="A278" s="3105" t="s">
        <v>2794</v>
      </c>
      <c r="B278" s="3106" t="s">
        <v>2590</v>
      </c>
      <c r="C278" s="3106" t="s">
        <v>2591</v>
      </c>
      <c r="D278" s="3106" t="s">
        <v>2592</v>
      </c>
      <c r="E278" s="3106" t="s">
        <v>2593</v>
      </c>
      <c r="F278" s="3106" t="s">
        <v>2594</v>
      </c>
      <c r="G278" s="3106" t="s">
        <v>2595</v>
      </c>
      <c r="H278" s="3107" t="s">
        <v>2596</v>
      </c>
      <c r="I278" s="3107" t="s">
        <v>2597</v>
      </c>
      <c r="J278" s="3108" t="s">
        <v>2598</v>
      </c>
      <c r="K278" s="3108" t="s">
        <v>2599</v>
      </c>
      <c r="L278" s="3108" t="s">
        <v>2600</v>
      </c>
      <c r="M278" s="3109" t="s">
        <v>2601</v>
      </c>
      <c r="Q278" s="3119" t="s">
        <v>2799</v>
      </c>
      <c r="R278" s="3119" t="s">
        <v>2800</v>
      </c>
      <c r="S278" s="3119" t="s">
        <v>2803</v>
      </c>
      <c r="T278" s="3119" t="s">
        <v>2804</v>
      </c>
      <c r="U278" s="3119" t="s">
        <v>2802</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2798</v>
      </c>
      <c r="B369" s="3117"/>
      <c r="C369" s="3117"/>
      <c r="D369" s="3117"/>
      <c r="E369" s="3117"/>
      <c r="F369" s="3117"/>
      <c r="G369" s="3117"/>
      <c r="H369" s="3117"/>
      <c r="I369" s="3117"/>
      <c r="J369" s="3117"/>
      <c r="K369" s="3117"/>
      <c r="L369" s="3117"/>
      <c r="M369" s="3117"/>
    </row>
    <row r="370" spans="1:20">
      <c r="A370" s="3105" t="s">
        <v>2794</v>
      </c>
      <c r="B370" s="3106" t="s">
        <v>2590</v>
      </c>
      <c r="C370" s="3106" t="s">
        <v>2591</v>
      </c>
      <c r="D370" s="3106" t="s">
        <v>2592</v>
      </c>
      <c r="E370" s="3106" t="s">
        <v>2593</v>
      </c>
      <c r="F370" s="3106" t="s">
        <v>2594</v>
      </c>
      <c r="G370" s="3106" t="s">
        <v>2595</v>
      </c>
      <c r="H370" s="3107" t="s">
        <v>2596</v>
      </c>
      <c r="I370" s="3107" t="s">
        <v>2597</v>
      </c>
      <c r="J370" s="3108" t="s">
        <v>2598</v>
      </c>
      <c r="K370" s="3108" t="s">
        <v>2599</v>
      </c>
      <c r="L370" s="3108" t="s">
        <v>2600</v>
      </c>
      <c r="M370" s="3109" t="s">
        <v>2601</v>
      </c>
      <c r="N370" s="737">
        <f>SUMPRODUCT((A371:A460=ROUNDDOWN(基准地价修正!G3,1))*(B370:M370=基准地价修正!G2)*(B371:M460))</f>
        <v>1.0118</v>
      </c>
      <c r="Q370" s="3119" t="s">
        <v>2799</v>
      </c>
      <c r="R370" s="3119" t="s">
        <v>2800</v>
      </c>
      <c r="S370" s="3119" t="s">
        <v>2801</v>
      </c>
      <c r="T370" s="3119" t="s">
        <v>2802</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133616</v>
      </c>
      <c r="C2" s="2" t="s">
        <v>106</v>
      </c>
      <c r="D2" s="189"/>
      <c r="E2" s="189"/>
      <c r="F2" s="189"/>
      <c r="G2" s="189"/>
    </row>
    <row r="3" spans="1:7" s="190" customFormat="1" ht="18" customHeight="1" thickBot="1">
      <c r="A3" s="193" t="s">
        <v>58</v>
      </c>
      <c r="B3" s="194">
        <f ca="1">ROUND(B2*10000/'数据-汇总表'!E3,0)</f>
        <v>13591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160</v>
      </c>
      <c r="F9" s="211"/>
      <c r="G9" s="216"/>
    </row>
    <row r="10" spans="1:7" s="204" customFormat="1" ht="13.5" customHeight="1">
      <c r="A10" s="766" t="s">
        <v>356</v>
      </c>
      <c r="B10" s="214" t="s">
        <v>67</v>
      </c>
      <c r="C10" s="215">
        <f>ROUND(D10*E10/10000,0)</f>
        <v>1966</v>
      </c>
      <c r="D10" s="832">
        <f>'数据-汇总表'!E6</f>
        <v>98312.17</v>
      </c>
      <c r="E10" s="215">
        <f>'数据-取费表'!B28</f>
        <v>200</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1966</v>
      </c>
      <c r="D19" s="836">
        <f>'数据-汇总表'!E3</f>
        <v>98312.17</v>
      </c>
      <c r="E19" s="201">
        <f>'数据-取费表'!B31</f>
        <v>200</v>
      </c>
      <c r="F19" s="221"/>
      <c r="G19" s="1" t="s">
        <v>436</v>
      </c>
    </row>
    <row r="20" spans="1:7" s="204" customFormat="1" ht="13.5" customHeight="1">
      <c r="A20" s="764" t="s">
        <v>419</v>
      </c>
      <c r="B20" s="200" t="s">
        <v>77</v>
      </c>
      <c r="C20" s="222">
        <f>ROUND((C5+C19)*F20,0)</f>
        <v>452</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2443</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211</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4606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4606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32633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85729</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78650</v>
      </c>
      <c r="D34" s="207"/>
      <c r="E34" s="210"/>
      <c r="F34" s="247">
        <f>IF('数据-取费表'!B24=0,1,'数据-取费表'!N16)</f>
        <v>1</v>
      </c>
      <c r="G34" s="209" t="s">
        <v>89</v>
      </c>
    </row>
    <row r="35" spans="1:7" ht="13.5" customHeight="1">
      <c r="A35" s="767" t="s">
        <v>351</v>
      </c>
      <c r="B35" s="205" t="s">
        <v>33</v>
      </c>
      <c r="C35" s="210">
        <f>ROUND(C34*F35,0)</f>
        <v>3933</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1966</v>
      </c>
      <c r="D37" s="207">
        <f>'数据-汇总表'!E3</f>
        <v>98312.17</v>
      </c>
      <c r="E37" s="239">
        <f>'数据-取费表'!B35</f>
        <v>200</v>
      </c>
      <c r="F37" s="249"/>
      <c r="G37" s="251" t="s">
        <v>92</v>
      </c>
    </row>
    <row r="38" spans="1:7" ht="13.5" customHeight="1">
      <c r="A38" s="767" t="s">
        <v>354</v>
      </c>
      <c r="B38" s="205" t="s">
        <v>36</v>
      </c>
      <c r="C38" s="210">
        <f>ROUND(C34*F38,0)</f>
        <v>1180</v>
      </c>
      <c r="D38" s="210"/>
      <c r="E38" s="210"/>
      <c r="F38" s="249">
        <f>'数据-取费表'!B36</f>
        <v>1.4999999999999999E-2</v>
      </c>
      <c r="G38" s="209" t="s">
        <v>90</v>
      </c>
    </row>
    <row r="39" spans="1:7" s="204" customFormat="1" ht="13.5" customHeight="1">
      <c r="A39" s="764" t="s">
        <v>338</v>
      </c>
      <c r="B39" s="200" t="s">
        <v>77</v>
      </c>
      <c r="C39" s="222">
        <f>ROUND(C33*F20,0)</f>
        <v>1715</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4565</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4475</v>
      </c>
      <c r="D42" s="228"/>
      <c r="E42" s="228"/>
      <c r="F42" s="229"/>
      <c r="G42" s="3747" t="s">
        <v>94</v>
      </c>
    </row>
    <row r="43" spans="1:7" ht="13.5" customHeight="1">
      <c r="A43" s="767" t="s">
        <v>347</v>
      </c>
      <c r="B43" s="205" t="s">
        <v>426</v>
      </c>
      <c r="C43" s="228">
        <f ca="1">ROUND(IF('数据-取费表'!B22&lt;=1,C39*F22*'数据-取费表'!B21/2,C39*(POWER((1+F22),'数据-取费表'!B21/2)-1)),0)</f>
        <v>90</v>
      </c>
      <c r="D43" s="228"/>
      <c r="E43" s="228"/>
      <c r="F43" s="229"/>
      <c r="G43" s="3748"/>
    </row>
    <row r="44" spans="1:7" ht="13.5" customHeight="1">
      <c r="A44" s="767" t="s">
        <v>348</v>
      </c>
      <c r="B44" s="205" t="s">
        <v>428</v>
      </c>
      <c r="C44" s="228">
        <f ca="1">ROUND(IF('数据-取费表'!B22&lt;=1,C40*F22*'数据-取费表'!B21/2,C40*(POWER((1+F22),'数据-取费表'!B21/2)-1)),4)</f>
        <v>1E-3</v>
      </c>
      <c r="D44" s="228"/>
      <c r="E44" s="228"/>
      <c r="F44" s="229"/>
      <c r="G44" s="3749"/>
    </row>
    <row r="45" spans="1:7" s="204" customFormat="1" ht="13.5" customHeight="1">
      <c r="A45" s="764" t="s">
        <v>341</v>
      </c>
      <c r="B45" s="234" t="s">
        <v>85</v>
      </c>
      <c r="C45" s="235">
        <f>C46</f>
        <v>17489</v>
      </c>
      <c r="D45" s="225">
        <f>C47</f>
        <v>4.0000000000000001E-3</v>
      </c>
      <c r="E45" s="226" t="s">
        <v>102</v>
      </c>
      <c r="F45" s="236"/>
      <c r="G45" s="237" t="s">
        <v>434</v>
      </c>
    </row>
    <row r="46" spans="1:7" s="204" customFormat="1" ht="13.5" customHeight="1">
      <c r="A46" s="767" t="s">
        <v>349</v>
      </c>
      <c r="B46" s="238" t="s">
        <v>427</v>
      </c>
      <c r="C46" s="239">
        <f>ROUND((C33+C39)*F27,0)</f>
        <v>17489</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5.6000000000000001E-2</v>
      </c>
      <c r="D48" s="226" t="s">
        <v>103</v>
      </c>
      <c r="E48" s="222"/>
      <c r="F48" s="227"/>
      <c r="G48" s="224" t="s">
        <v>96</v>
      </c>
    </row>
    <row r="49" spans="1:7" ht="16.5" customHeight="1">
      <c r="A49" s="764" t="s">
        <v>343</v>
      </c>
      <c r="B49" s="200" t="s">
        <v>104</v>
      </c>
      <c r="C49" s="222">
        <f ca="1">ROUND((C33+C39+C41+C45)/(1-C40-D41-D45-C48/(1+'数据-取费表'!B42)),0)</f>
        <v>118804</v>
      </c>
      <c r="D49" s="222"/>
      <c r="E49" s="222"/>
      <c r="F49" s="254"/>
      <c r="G49" s="224" t="s">
        <v>435</v>
      </c>
    </row>
    <row r="50" spans="1:7" s="248" customFormat="1" ht="24">
      <c r="A50" s="764" t="s">
        <v>344</v>
      </c>
      <c r="B50" s="200" t="s">
        <v>97</v>
      </c>
      <c r="C50" s="222"/>
      <c r="D50" s="222"/>
      <c r="E50" s="222"/>
      <c r="F50" s="254">
        <f>IF('数据-取费表'!B24=0,'数据-取费表'!N16,1)</f>
        <v>0.85</v>
      </c>
      <c r="G50" s="237" t="s">
        <v>98</v>
      </c>
    </row>
    <row r="51" spans="1:7" ht="16.5" customHeight="1">
      <c r="A51" s="764" t="s">
        <v>345</v>
      </c>
      <c r="B51" s="200" t="s">
        <v>105</v>
      </c>
      <c r="C51" s="222">
        <f ca="1">ROUND(C49*F50,0)</f>
        <v>100983</v>
      </c>
      <c r="D51" s="222"/>
      <c r="E51" s="222"/>
      <c r="F51" s="254"/>
      <c r="G51" s="224" t="s">
        <v>37</v>
      </c>
    </row>
    <row r="52" spans="1:7" s="198" customFormat="1" ht="16.5" thickBot="1">
      <c r="A52" s="255" t="s">
        <v>38</v>
      </c>
      <c r="B52" s="256"/>
      <c r="C52" s="257">
        <f ca="1">C31+C51</f>
        <v>133616</v>
      </c>
      <c r="D52" s="256"/>
      <c r="E52" s="256"/>
      <c r="F52" s="256"/>
      <c r="G52" s="258"/>
    </row>
    <row r="55" spans="1:7" ht="15">
      <c r="B55" s="260" t="s">
        <v>39</v>
      </c>
      <c r="C55" s="261"/>
    </row>
    <row r="56" spans="1:7">
      <c r="B56" s="263" t="s">
        <v>40</v>
      </c>
      <c r="C56" s="264">
        <f ca="1">ROUND(C51/C52,3)</f>
        <v>0.75600000000000001</v>
      </c>
    </row>
    <row r="57" spans="1:7">
      <c r="B57" s="263" t="s">
        <v>41</v>
      </c>
      <c r="C57" s="265">
        <f ca="1">1-C56</f>
        <v>0.24399999999999999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821" t="s">
        <v>2834</v>
      </c>
      <c r="B1" s="3821"/>
      <c r="C1" s="3821"/>
      <c r="D1" s="3821"/>
      <c r="E1" s="3821"/>
      <c r="F1" s="3821"/>
      <c r="G1" s="3822"/>
      <c r="I1" s="3200" t="s">
        <v>2835</v>
      </c>
      <c r="J1" s="3201" t="s">
        <v>2836</v>
      </c>
      <c r="K1" s="3201" t="s">
        <v>2837</v>
      </c>
      <c r="L1" s="3201" t="s">
        <v>2838</v>
      </c>
      <c r="M1" s="3201" t="s">
        <v>2839</v>
      </c>
      <c r="N1" s="3201" t="s">
        <v>2840</v>
      </c>
      <c r="O1" s="3201" t="s">
        <v>2841</v>
      </c>
      <c r="P1" s="3201" t="s">
        <v>2842</v>
      </c>
      <c r="Q1" s="3201" t="s">
        <v>2843</v>
      </c>
      <c r="R1" s="3201" t="s">
        <v>2844</v>
      </c>
      <c r="S1" s="3201" t="s">
        <v>2845</v>
      </c>
      <c r="T1" s="3202" t="s">
        <v>2846</v>
      </c>
    </row>
    <row r="2" spans="1:20" ht="12" thickBot="1">
      <c r="A2" s="3204" t="s">
        <v>2847</v>
      </c>
      <c r="B2" s="3204"/>
      <c r="C2" s="3204"/>
      <c r="D2" s="3204"/>
      <c r="E2" s="3204"/>
      <c r="F2" s="3204"/>
      <c r="G2" s="3205" t="s">
        <v>2848</v>
      </c>
      <c r="I2" s="3206" t="s">
        <v>2849</v>
      </c>
      <c r="J2" s="3206" t="s">
        <v>2850</v>
      </c>
      <c r="K2" s="3206" t="s">
        <v>2851</v>
      </c>
      <c r="L2" s="3206" t="s">
        <v>2852</v>
      </c>
      <c r="M2" s="3206" t="s">
        <v>2853</v>
      </c>
      <c r="N2" s="3206" t="s">
        <v>2854</v>
      </c>
      <c r="O2" s="3206" t="s">
        <v>2855</v>
      </c>
      <c r="P2" s="3206" t="s">
        <v>2856</v>
      </c>
      <c r="Q2" s="3206" t="s">
        <v>2857</v>
      </c>
      <c r="R2" s="3206" t="s">
        <v>2858</v>
      </c>
      <c r="S2" s="3206" t="s">
        <v>2859</v>
      </c>
      <c r="T2" s="3206" t="s">
        <v>2860</v>
      </c>
    </row>
    <row r="3" spans="1:20" s="3212" customFormat="1">
      <c r="A3" s="3819" t="s">
        <v>2861</v>
      </c>
      <c r="B3" s="3207"/>
      <c r="C3" s="3208" t="s">
        <v>2806</v>
      </c>
      <c r="D3" s="3208" t="s">
        <v>2862</v>
      </c>
      <c r="E3" s="3208" t="s">
        <v>2808</v>
      </c>
      <c r="F3" s="3208" t="s">
        <v>2863</v>
      </c>
      <c r="G3" s="3208" t="s">
        <v>2626</v>
      </c>
      <c r="H3" s="3209"/>
      <c r="I3" s="3210" t="s">
        <v>2864</v>
      </c>
      <c r="J3" s="3211" t="s">
        <v>128</v>
      </c>
      <c r="K3" s="3211" t="s">
        <v>129</v>
      </c>
      <c r="L3" s="3210" t="s">
        <v>130</v>
      </c>
      <c r="M3" s="3210" t="s">
        <v>131</v>
      </c>
      <c r="N3" s="3210" t="s">
        <v>132</v>
      </c>
      <c r="O3" s="3210" t="s">
        <v>133</v>
      </c>
      <c r="P3" s="3210" t="s">
        <v>134</v>
      </c>
      <c r="Q3" s="3210" t="s">
        <v>135</v>
      </c>
      <c r="R3" s="3210" t="s">
        <v>136</v>
      </c>
      <c r="S3" s="3210" t="s">
        <v>2865</v>
      </c>
      <c r="T3" s="3210" t="s">
        <v>2866</v>
      </c>
    </row>
    <row r="4" spans="1:20" s="3212" customFormat="1" ht="12" thickBot="1">
      <c r="A4" s="3820"/>
      <c r="B4" s="3213" t="s">
        <v>2867</v>
      </c>
      <c r="C4" s="3213" t="s">
        <v>2868</v>
      </c>
      <c r="D4" s="3213" t="s">
        <v>2868</v>
      </c>
      <c r="E4" s="3213" t="s">
        <v>2868</v>
      </c>
      <c r="F4" s="3214" t="s">
        <v>2868</v>
      </c>
      <c r="G4" s="3214" t="s">
        <v>2868</v>
      </c>
      <c r="H4" s="3209"/>
      <c r="I4" s="3211" t="s">
        <v>137</v>
      </c>
      <c r="J4" s="3211" t="s">
        <v>111</v>
      </c>
      <c r="K4" s="3211" t="s">
        <v>138</v>
      </c>
      <c r="L4" s="3210" t="s">
        <v>139</v>
      </c>
      <c r="M4" s="3210" t="s">
        <v>140</v>
      </c>
      <c r="N4" s="3210" t="s">
        <v>141</v>
      </c>
      <c r="O4" s="3210" t="s">
        <v>142</v>
      </c>
      <c r="P4" s="3210" t="s">
        <v>143</v>
      </c>
      <c r="Q4" s="3210" t="s">
        <v>2869</v>
      </c>
      <c r="R4" s="3210" t="s">
        <v>2870</v>
      </c>
      <c r="S4" s="3210" t="s">
        <v>2871</v>
      </c>
      <c r="T4" s="3210" t="s">
        <v>2872</v>
      </c>
    </row>
    <row r="5" spans="1:20">
      <c r="A5" s="3215" t="s">
        <v>2835</v>
      </c>
      <c r="B5" s="3206" t="s">
        <v>2849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2873</v>
      </c>
      <c r="R5" s="3210" t="s">
        <v>2874</v>
      </c>
      <c r="S5" s="3210" t="s">
        <v>153</v>
      </c>
      <c r="T5" s="3210" t="s">
        <v>2875</v>
      </c>
    </row>
    <row r="6" spans="1:20" ht="12" thickBot="1">
      <c r="A6" s="3210" t="s">
        <v>144</v>
      </c>
      <c r="B6" s="3210" t="s">
        <v>2864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2876</v>
      </c>
      <c r="Q6" s="3210" t="s">
        <v>2877</v>
      </c>
      <c r="R6" s="3210" t="s">
        <v>161</v>
      </c>
      <c r="S6" s="3210" t="s">
        <v>2878</v>
      </c>
      <c r="T6" s="3210" t="s">
        <v>2879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2880</v>
      </c>
      <c r="Q7" s="3210" t="s">
        <v>2881</v>
      </c>
      <c r="R7" s="3210" t="s">
        <v>2882</v>
      </c>
      <c r="S7" s="3210" t="s">
        <v>2883</v>
      </c>
      <c r="T7" s="3210" t="s">
        <v>2884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2885</v>
      </c>
      <c r="Q8" s="3210" t="s">
        <v>174</v>
      </c>
      <c r="R8" s="3210" t="s">
        <v>2886</v>
      </c>
      <c r="S8" s="3210" t="s">
        <v>2887</v>
      </c>
      <c r="T8" s="3217" t="s">
        <v>2888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2889</v>
      </c>
      <c r="Q9" s="3210" t="s">
        <v>182</v>
      </c>
      <c r="R9" s="3210" t="s">
        <v>183</v>
      </c>
      <c r="S9" s="3210" t="s">
        <v>200</v>
      </c>
    </row>
    <row r="10" spans="1:20">
      <c r="A10" s="3215" t="s">
        <v>184</v>
      </c>
      <c r="B10" s="3206" t="s">
        <v>2850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2890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2891</v>
      </c>
      <c r="P11" s="3210" t="s">
        <v>191</v>
      </c>
      <c r="Q11" s="3210" t="s">
        <v>199</v>
      </c>
      <c r="R11" s="3210" t="s">
        <v>2892</v>
      </c>
      <c r="S11" s="3210" t="s">
        <v>2893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2894</v>
      </c>
      <c r="P12" s="3210" t="s">
        <v>2895</v>
      </c>
      <c r="Q12" s="3210" t="s">
        <v>2896</v>
      </c>
      <c r="R12" s="3210" t="s">
        <v>2897</v>
      </c>
      <c r="S12" s="3210" t="s">
        <v>2898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2899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2900</v>
      </c>
      <c r="K14" s="3211" t="s">
        <v>215</v>
      </c>
      <c r="L14" s="3210" t="s">
        <v>216</v>
      </c>
      <c r="M14" s="3210" t="s">
        <v>217</v>
      </c>
      <c r="N14" s="3210" t="s">
        <v>218</v>
      </c>
      <c r="O14" s="3210" t="s">
        <v>240</v>
      </c>
      <c r="P14" s="3210" t="s">
        <v>213</v>
      </c>
      <c r="Q14" s="3210" t="s">
        <v>2901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2902</v>
      </c>
      <c r="P15" s="3210" t="s">
        <v>2903</v>
      </c>
      <c r="Q15" s="3210" t="s">
        <v>242</v>
      </c>
      <c r="R15" s="3210" t="s">
        <v>2904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2905</v>
      </c>
      <c r="P16" s="3210" t="s">
        <v>227</v>
      </c>
      <c r="Q16" s="3210" t="s">
        <v>250</v>
      </c>
      <c r="R16" s="3210" t="s">
        <v>207</v>
      </c>
      <c r="S16" s="3210" t="s">
        <v>2906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2907</v>
      </c>
      <c r="P17" s="3210" t="s">
        <v>2908</v>
      </c>
      <c r="Q17" s="3210" t="s">
        <v>256</v>
      </c>
      <c r="R17" s="3210" t="s">
        <v>2909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2910</v>
      </c>
      <c r="P18" s="3210" t="s">
        <v>241</v>
      </c>
      <c r="Q18" s="3210" t="s">
        <v>2911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2912</v>
      </c>
      <c r="P19" s="3210" t="s">
        <v>249</v>
      </c>
      <c r="Q19" s="3210" t="s">
        <v>2913</v>
      </c>
      <c r="R19" s="3210" t="s">
        <v>265</v>
      </c>
      <c r="S19" s="3210" t="s">
        <v>2914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2915</v>
      </c>
      <c r="P20" s="3210" t="s">
        <v>2916</v>
      </c>
      <c r="Q20" s="3210" t="s">
        <v>290</v>
      </c>
      <c r="R20" s="3210" t="s">
        <v>2917</v>
      </c>
      <c r="S20" s="3210" t="s">
        <v>277</v>
      </c>
    </row>
    <row r="21" spans="1:19" ht="14.25" customHeight="1" thickBot="1">
      <c r="A21" s="3210" t="s">
        <v>184</v>
      </c>
      <c r="B21" s="3211" t="s">
        <v>208</v>
      </c>
      <c r="C21" s="3210">
        <v>32370</v>
      </c>
      <c r="D21" s="3210">
        <v>26730</v>
      </c>
      <c r="E21" s="3210">
        <v>26640</v>
      </c>
      <c r="F21" s="3210"/>
      <c r="G21" s="3210">
        <v>19440</v>
      </c>
      <c r="J21" s="3217" t="s">
        <v>2918</v>
      </c>
      <c r="K21" s="3211" t="s">
        <v>267</v>
      </c>
      <c r="L21" s="3210" t="s">
        <v>268</v>
      </c>
      <c r="M21" s="3210" t="s">
        <v>269</v>
      </c>
      <c r="N21" s="3210" t="s">
        <v>270</v>
      </c>
      <c r="O21" s="3210" t="s">
        <v>264</v>
      </c>
      <c r="P21" s="3210" t="s">
        <v>283</v>
      </c>
      <c r="Q21" s="3210" t="s">
        <v>293</v>
      </c>
      <c r="R21" s="3210" t="s">
        <v>2919</v>
      </c>
      <c r="S21" s="3217" t="s">
        <v>2920</v>
      </c>
    </row>
    <row r="22" spans="1:19" ht="14.25" customHeight="1">
      <c r="A22" s="3210" t="s">
        <v>184</v>
      </c>
      <c r="B22" s="3211" t="s">
        <v>2900</v>
      </c>
      <c r="C22" s="3210">
        <v>29830</v>
      </c>
      <c r="D22" s="3210">
        <v>27600</v>
      </c>
      <c r="E22" s="3210">
        <v>28150</v>
      </c>
      <c r="F22" s="3210"/>
      <c r="G22" s="3210">
        <v>20080</v>
      </c>
      <c r="K22" s="3211" t="s">
        <v>2921</v>
      </c>
      <c r="L22" s="3210" t="s">
        <v>272</v>
      </c>
      <c r="M22" s="3210" t="s">
        <v>273</v>
      </c>
      <c r="N22" s="3210" t="s">
        <v>274</v>
      </c>
      <c r="O22" s="3210" t="s">
        <v>2922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2923</v>
      </c>
      <c r="L23" s="3210" t="s">
        <v>278</v>
      </c>
      <c r="M23" s="3210" t="s">
        <v>279</v>
      </c>
      <c r="N23" s="3210" t="s">
        <v>2924</v>
      </c>
      <c r="O23" s="3210" t="s">
        <v>2925</v>
      </c>
      <c r="P23" s="3210" t="s">
        <v>289</v>
      </c>
      <c r="Q23" s="3210" t="s">
        <v>298</v>
      </c>
      <c r="R23" s="3210" t="s">
        <v>2926</v>
      </c>
    </row>
    <row r="24" spans="1:19" ht="14.25" customHeight="1">
      <c r="A24" s="3210" t="s">
        <v>184</v>
      </c>
      <c r="B24" s="3211" t="s">
        <v>230</v>
      </c>
      <c r="C24" s="3210">
        <v>27930</v>
      </c>
      <c r="D24" s="3210">
        <v>32260</v>
      </c>
      <c r="E24" s="3210">
        <v>32120</v>
      </c>
      <c r="F24" s="3210"/>
      <c r="G24" s="3210">
        <v>23470</v>
      </c>
      <c r="K24" s="3211" t="s">
        <v>2927</v>
      </c>
      <c r="L24" s="3210" t="s">
        <v>281</v>
      </c>
      <c r="M24" s="3210" t="s">
        <v>282</v>
      </c>
      <c r="N24" s="3210" t="s">
        <v>2928</v>
      </c>
      <c r="O24" s="3210" t="s">
        <v>285</v>
      </c>
      <c r="P24" s="3210" t="s">
        <v>2929</v>
      </c>
      <c r="Q24" s="3219" t="s">
        <v>2930</v>
      </c>
      <c r="R24" s="3210" t="s">
        <v>2931</v>
      </c>
    </row>
    <row r="25" spans="1:19" ht="14.25" customHeight="1">
      <c r="A25" s="3210" t="s">
        <v>184</v>
      </c>
      <c r="B25" s="3211" t="s">
        <v>235</v>
      </c>
      <c r="C25" s="3210">
        <v>32230</v>
      </c>
      <c r="D25" s="3210">
        <v>29640</v>
      </c>
      <c r="E25" s="3210">
        <v>29510</v>
      </c>
      <c r="F25" s="3210"/>
      <c r="G25" s="3210">
        <v>21560</v>
      </c>
      <c r="K25" s="3211" t="s">
        <v>2932</v>
      </c>
      <c r="L25" s="3210" t="s">
        <v>2933</v>
      </c>
      <c r="M25" s="3210" t="s">
        <v>284</v>
      </c>
      <c r="N25" s="3210" t="s">
        <v>292</v>
      </c>
      <c r="O25" s="3210" t="s">
        <v>288</v>
      </c>
      <c r="P25" s="3210" t="s">
        <v>275</v>
      </c>
      <c r="Q25" s="3219" t="s">
        <v>271</v>
      </c>
      <c r="R25" s="3210" t="s">
        <v>2934</v>
      </c>
    </row>
    <row r="26" spans="1:19" ht="14.25" customHeight="1" thickBot="1">
      <c r="A26" s="3210" t="s">
        <v>184</v>
      </c>
      <c r="B26" s="3211" t="s">
        <v>244</v>
      </c>
      <c r="C26" s="3210">
        <v>31690</v>
      </c>
      <c r="D26" s="3210">
        <v>27650</v>
      </c>
      <c r="E26" s="3210">
        <v>28200</v>
      </c>
      <c r="F26" s="3210"/>
      <c r="G26" s="3210">
        <v>20110</v>
      </c>
      <c r="K26" s="3216" t="s">
        <v>2935</v>
      </c>
      <c r="L26" s="3210" t="s">
        <v>2936</v>
      </c>
      <c r="M26" s="3210" t="s">
        <v>287</v>
      </c>
      <c r="N26" s="3210" t="s">
        <v>294</v>
      </c>
      <c r="O26" s="3210" t="s">
        <v>2937</v>
      </c>
      <c r="P26" s="3210" t="s">
        <v>2938</v>
      </c>
      <c r="Q26" s="3219" t="s">
        <v>276</v>
      </c>
      <c r="R26" s="3210" t="s">
        <v>2939</v>
      </c>
    </row>
    <row r="27" spans="1:19" ht="14.25" customHeight="1">
      <c r="A27" s="3210" t="s">
        <v>184</v>
      </c>
      <c r="B27" s="3211" t="s">
        <v>251</v>
      </c>
      <c r="C27" s="3210">
        <v>29610</v>
      </c>
      <c r="D27" s="3210">
        <v>27770</v>
      </c>
      <c r="E27" s="3210">
        <v>28300</v>
      </c>
      <c r="F27" s="3210"/>
      <c r="G27" s="3210">
        <v>20210</v>
      </c>
      <c r="L27" s="3210" t="s">
        <v>2940</v>
      </c>
      <c r="M27" s="3210" t="s">
        <v>291</v>
      </c>
      <c r="N27" s="3210" t="s">
        <v>297</v>
      </c>
      <c r="O27" s="3210" t="s">
        <v>2941</v>
      </c>
      <c r="P27" s="3210" t="s">
        <v>2942</v>
      </c>
      <c r="Q27" s="3210" t="s">
        <v>2943</v>
      </c>
      <c r="R27" s="3210" t="s">
        <v>2944</v>
      </c>
    </row>
    <row r="28" spans="1:19" ht="14.25" customHeight="1">
      <c r="A28" s="3210" t="s">
        <v>184</v>
      </c>
      <c r="B28" s="3211" t="s">
        <v>259</v>
      </c>
      <c r="C28" s="3210"/>
      <c r="D28" s="3210">
        <v>31520</v>
      </c>
      <c r="E28" s="3210">
        <v>31410</v>
      </c>
      <c r="F28" s="3210"/>
      <c r="G28" s="3210">
        <v>22940</v>
      </c>
      <c r="L28" s="3210" t="s">
        <v>2945</v>
      </c>
      <c r="M28" s="3210" t="s">
        <v>2946</v>
      </c>
      <c r="N28" s="3210" t="s">
        <v>2947</v>
      </c>
      <c r="O28" s="3210" t="s">
        <v>2948</v>
      </c>
      <c r="P28" s="3210" t="s">
        <v>2949</v>
      </c>
      <c r="Q28" s="3210" t="s">
        <v>2950</v>
      </c>
      <c r="R28" s="3210" t="s">
        <v>2951</v>
      </c>
    </row>
    <row r="29" spans="1:19" ht="14.25" customHeight="1" thickBot="1">
      <c r="A29" s="3218" t="s">
        <v>184</v>
      </c>
      <c r="B29" s="3220" t="s">
        <v>2918</v>
      </c>
      <c r="C29" s="3221"/>
      <c r="D29" s="3221">
        <v>29460</v>
      </c>
      <c r="E29" s="3221">
        <v>28640</v>
      </c>
      <c r="F29" s="3221"/>
      <c r="G29" s="3221">
        <v>21430</v>
      </c>
      <c r="L29" s="3210" t="s">
        <v>2952</v>
      </c>
      <c r="M29" s="3210" t="s">
        <v>2953</v>
      </c>
      <c r="N29" s="3210" t="s">
        <v>2954</v>
      </c>
      <c r="O29" s="3210" t="s">
        <v>2955</v>
      </c>
      <c r="P29" s="3210" t="s">
        <v>2956</v>
      </c>
      <c r="Q29" s="3210" t="s">
        <v>2957</v>
      </c>
      <c r="R29" s="3210" t="s">
        <v>280</v>
      </c>
    </row>
    <row r="30" spans="1:19" ht="14.25" customHeight="1">
      <c r="A30" s="3215" t="s">
        <v>296</v>
      </c>
      <c r="B30" s="3206" t="s">
        <v>2851</v>
      </c>
      <c r="C30" s="3206">
        <v>26890</v>
      </c>
      <c r="D30" s="3206">
        <v>26770</v>
      </c>
      <c r="E30" s="3206">
        <v>25700</v>
      </c>
      <c r="F30" s="3206">
        <v>8180</v>
      </c>
      <c r="G30" s="3222">
        <v>18740</v>
      </c>
      <c r="L30" s="3210" t="s">
        <v>2958</v>
      </c>
      <c r="M30" s="3210" t="s">
        <v>2959</v>
      </c>
      <c r="N30" s="3210" t="s">
        <v>2960</v>
      </c>
      <c r="O30" s="3210" t="s">
        <v>2961</v>
      </c>
      <c r="P30" s="3210" t="s">
        <v>2962</v>
      </c>
      <c r="Q30" s="3210" t="s">
        <v>2963</v>
      </c>
      <c r="R30" s="3210" t="s">
        <v>2964</v>
      </c>
    </row>
    <row r="31" spans="1:19" ht="14.25" customHeight="1">
      <c r="A31" s="3210" t="s">
        <v>296</v>
      </c>
      <c r="B31" s="3211" t="s">
        <v>129</v>
      </c>
      <c r="C31" s="3210">
        <v>24550</v>
      </c>
      <c r="D31" s="3210">
        <v>23990</v>
      </c>
      <c r="E31" s="3210">
        <v>22930</v>
      </c>
      <c r="F31" s="3210">
        <v>7470</v>
      </c>
      <c r="G31" s="3223">
        <v>16790</v>
      </c>
      <c r="L31" s="3210" t="s">
        <v>2965</v>
      </c>
      <c r="M31" s="3210" t="s">
        <v>2966</v>
      </c>
      <c r="N31" s="3210" t="s">
        <v>2967</v>
      </c>
      <c r="O31" s="3210" t="s">
        <v>2968</v>
      </c>
      <c r="P31" s="3210" t="s">
        <v>2969</v>
      </c>
      <c r="Q31" s="3210" t="s">
        <v>2970</v>
      </c>
      <c r="R31" s="3210" t="s">
        <v>2971</v>
      </c>
    </row>
    <row r="32" spans="1:19" ht="14.25" customHeight="1" thickBot="1">
      <c r="A32" s="3210" t="s">
        <v>296</v>
      </c>
      <c r="B32" s="3211" t="s">
        <v>138</v>
      </c>
      <c r="C32" s="3210">
        <v>27210</v>
      </c>
      <c r="D32" s="3210">
        <v>23240</v>
      </c>
      <c r="E32" s="3210">
        <v>23260</v>
      </c>
      <c r="F32" s="3210">
        <v>7130</v>
      </c>
      <c r="G32" s="3223">
        <v>16270</v>
      </c>
      <c r="L32" s="3210" t="s">
        <v>2972</v>
      </c>
      <c r="M32" s="3210" t="s">
        <v>2973</v>
      </c>
      <c r="N32" s="3210" t="s">
        <v>300</v>
      </c>
      <c r="O32" s="3210" t="s">
        <v>2974</v>
      </c>
      <c r="P32" s="3210" t="s">
        <v>299</v>
      </c>
      <c r="Q32" s="3210" t="s">
        <v>2975</v>
      </c>
      <c r="R32" s="3217" t="s">
        <v>2976</v>
      </c>
    </row>
    <row r="33" spans="1:17" ht="14.25" customHeight="1" thickBot="1">
      <c r="A33" s="3210" t="s">
        <v>296</v>
      </c>
      <c r="B33" s="3211" t="s">
        <v>147</v>
      </c>
      <c r="C33" s="3210">
        <v>27300</v>
      </c>
      <c r="D33" s="3210">
        <v>22980</v>
      </c>
      <c r="E33" s="3210">
        <v>24260</v>
      </c>
      <c r="F33" s="3210">
        <v>5860</v>
      </c>
      <c r="G33" s="3223">
        <v>16090</v>
      </c>
      <c r="L33" s="3217" t="s">
        <v>2977</v>
      </c>
      <c r="M33" s="3210" t="s">
        <v>2978</v>
      </c>
      <c r="N33" s="3210" t="s">
        <v>301</v>
      </c>
      <c r="O33" s="3210" t="s">
        <v>2979</v>
      </c>
      <c r="P33" s="3210" t="s">
        <v>2980</v>
      </c>
      <c r="Q33" s="3210" t="s">
        <v>2981</v>
      </c>
    </row>
    <row r="34" spans="1:17" ht="14.25" customHeight="1">
      <c r="A34" s="3210" t="s">
        <v>296</v>
      </c>
      <c r="B34" s="3211" t="s">
        <v>156</v>
      </c>
      <c r="C34" s="3210">
        <v>23090</v>
      </c>
      <c r="D34" s="3210">
        <v>23390</v>
      </c>
      <c r="E34" s="3210">
        <v>23510</v>
      </c>
      <c r="F34" s="3210">
        <v>6700</v>
      </c>
      <c r="G34" s="3223">
        <v>16370</v>
      </c>
      <c r="M34" s="3210" t="s">
        <v>2982</v>
      </c>
      <c r="N34" s="3210" t="s">
        <v>302</v>
      </c>
      <c r="O34" s="3210" t="s">
        <v>2983</v>
      </c>
      <c r="P34" s="3210" t="s">
        <v>2984</v>
      </c>
      <c r="Q34" s="3210" t="s">
        <v>2985</v>
      </c>
    </row>
    <row r="35" spans="1:17" ht="14.25" customHeight="1">
      <c r="A35" s="3210" t="s">
        <v>296</v>
      </c>
      <c r="B35" s="3211" t="s">
        <v>163</v>
      </c>
      <c r="C35" s="3210">
        <v>27270</v>
      </c>
      <c r="D35" s="3210">
        <v>24270</v>
      </c>
      <c r="E35" s="3210">
        <v>24950</v>
      </c>
      <c r="F35" s="3210">
        <v>6600</v>
      </c>
      <c r="G35" s="3223">
        <v>16990</v>
      </c>
      <c r="M35" s="3210" t="s">
        <v>2986</v>
      </c>
      <c r="N35" s="3210" t="s">
        <v>2987</v>
      </c>
      <c r="O35" s="3210" t="s">
        <v>2988</v>
      </c>
      <c r="P35" s="3210" t="s">
        <v>2989</v>
      </c>
      <c r="Q35" s="3210" t="s">
        <v>2990</v>
      </c>
    </row>
    <row r="36" spans="1:17" ht="14.25" customHeight="1">
      <c r="A36" s="3210" t="s">
        <v>296</v>
      </c>
      <c r="B36" s="3211" t="s">
        <v>169</v>
      </c>
      <c r="C36" s="3210">
        <v>23490</v>
      </c>
      <c r="D36" s="3210">
        <v>23020</v>
      </c>
      <c r="E36" s="3210">
        <v>25230</v>
      </c>
      <c r="F36" s="3210">
        <v>6780</v>
      </c>
      <c r="G36" s="3223">
        <v>16120</v>
      </c>
      <c r="M36" s="3210" t="s">
        <v>2991</v>
      </c>
      <c r="N36" s="3210" t="s">
        <v>2992</v>
      </c>
      <c r="O36" s="3210" t="s">
        <v>2993</v>
      </c>
      <c r="P36" s="3210" t="s">
        <v>2994</v>
      </c>
      <c r="Q36" s="3210" t="s">
        <v>2995</v>
      </c>
    </row>
    <row r="37" spans="1:17" ht="14.25" customHeight="1">
      <c r="A37" s="3210" t="s">
        <v>296</v>
      </c>
      <c r="B37" s="3211" t="s">
        <v>176</v>
      </c>
      <c r="C37" s="3210">
        <v>24380</v>
      </c>
      <c r="D37" s="3210">
        <v>22240</v>
      </c>
      <c r="E37" s="3210">
        <v>25980</v>
      </c>
      <c r="F37" s="3210">
        <v>8160</v>
      </c>
      <c r="G37" s="3223">
        <v>15570</v>
      </c>
      <c r="M37" s="3210" t="s">
        <v>2996</v>
      </c>
      <c r="N37" s="3210" t="s">
        <v>2997</v>
      </c>
      <c r="O37" s="3210" t="s">
        <v>2998</v>
      </c>
      <c r="P37" s="3210" t="s">
        <v>2999</v>
      </c>
      <c r="Q37" s="3210" t="s">
        <v>3000</v>
      </c>
    </row>
    <row r="38" spans="1:17" ht="14.25" customHeight="1">
      <c r="A38" s="3210" t="s">
        <v>296</v>
      </c>
      <c r="B38" s="3211" t="s">
        <v>186</v>
      </c>
      <c r="C38" s="3210">
        <v>23120</v>
      </c>
      <c r="D38" s="3210">
        <v>24630</v>
      </c>
      <c r="E38" s="3210">
        <v>25030</v>
      </c>
      <c r="F38" s="3210">
        <v>7710</v>
      </c>
      <c r="G38" s="3223">
        <v>17240</v>
      </c>
      <c r="M38" s="3210" t="s">
        <v>3001</v>
      </c>
      <c r="N38" s="3210" t="s">
        <v>3002</v>
      </c>
      <c r="O38" s="3210" t="s">
        <v>3003</v>
      </c>
      <c r="P38" s="3210" t="s">
        <v>3004</v>
      </c>
      <c r="Q38" s="3210" t="s">
        <v>3005</v>
      </c>
    </row>
    <row r="39" spans="1:17" ht="14.25" customHeight="1">
      <c r="A39" s="3210" t="s">
        <v>296</v>
      </c>
      <c r="B39" s="3211" t="s">
        <v>195</v>
      </c>
      <c r="C39" s="3210">
        <v>22330</v>
      </c>
      <c r="D39" s="3210">
        <v>21140</v>
      </c>
      <c r="E39" s="3210">
        <v>23970</v>
      </c>
      <c r="F39" s="3210">
        <v>7940</v>
      </c>
      <c r="G39" s="3223">
        <v>14790</v>
      </c>
      <c r="M39" s="3210" t="s">
        <v>3006</v>
      </c>
      <c r="N39" s="3210" t="s">
        <v>3007</v>
      </c>
      <c r="O39" s="3210" t="s">
        <v>3008</v>
      </c>
      <c r="P39" s="3210" t="s">
        <v>3009</v>
      </c>
      <c r="Q39" s="3210" t="s">
        <v>3010</v>
      </c>
    </row>
    <row r="40" spans="1:17" ht="14.25" customHeight="1">
      <c r="A40" s="3210" t="s">
        <v>296</v>
      </c>
      <c r="B40" s="3211" t="s">
        <v>202</v>
      </c>
      <c r="C40" s="3210">
        <v>24740</v>
      </c>
      <c r="D40" s="3210">
        <v>24690</v>
      </c>
      <c r="E40" s="3210">
        <v>22610</v>
      </c>
      <c r="F40" s="3210"/>
      <c r="G40" s="3223">
        <v>17280</v>
      </c>
      <c r="M40" s="3210" t="s">
        <v>3011</v>
      </c>
      <c r="N40" s="3210" t="s">
        <v>3012</v>
      </c>
      <c r="O40" s="3210" t="s">
        <v>3013</v>
      </c>
      <c r="P40" s="3210" t="s">
        <v>3014</v>
      </c>
      <c r="Q40" s="3210" t="s">
        <v>3015</v>
      </c>
    </row>
    <row r="41" spans="1:17" ht="14.25" customHeight="1" thickBot="1">
      <c r="A41" s="3210" t="s">
        <v>296</v>
      </c>
      <c r="B41" s="3211" t="s">
        <v>209</v>
      </c>
      <c r="C41" s="3210">
        <v>21220</v>
      </c>
      <c r="D41" s="3210">
        <v>21120</v>
      </c>
      <c r="E41" s="3210">
        <v>22590</v>
      </c>
      <c r="F41" s="3210"/>
      <c r="G41" s="3223">
        <v>14780</v>
      </c>
      <c r="M41" s="3217" t="s">
        <v>3016</v>
      </c>
      <c r="N41" s="3210" t="s">
        <v>3017</v>
      </c>
      <c r="O41" s="3210" t="s">
        <v>3018</v>
      </c>
      <c r="P41" s="3210" t="s">
        <v>3019</v>
      </c>
      <c r="Q41" s="3210" t="s">
        <v>3020</v>
      </c>
    </row>
    <row r="42" spans="1:17" ht="14.25" customHeight="1">
      <c r="A42" s="3210" t="s">
        <v>296</v>
      </c>
      <c r="B42" s="3211" t="s">
        <v>215</v>
      </c>
      <c r="C42" s="3210">
        <v>24800</v>
      </c>
      <c r="D42" s="3210">
        <v>22280</v>
      </c>
      <c r="E42" s="3210">
        <v>24350</v>
      </c>
      <c r="F42" s="3210"/>
      <c r="G42" s="3223">
        <v>15590</v>
      </c>
      <c r="N42" s="3210" t="s">
        <v>3021</v>
      </c>
      <c r="O42" s="3210" t="s">
        <v>3022</v>
      </c>
      <c r="P42" s="3210" t="s">
        <v>3023</v>
      </c>
      <c r="Q42" s="3210" t="s">
        <v>3024</v>
      </c>
    </row>
    <row r="43" spans="1:17" ht="14.25" customHeight="1">
      <c r="A43" s="3210" t="s">
        <v>3025</v>
      </c>
      <c r="B43" s="3211" t="s">
        <v>223</v>
      </c>
      <c r="C43" s="3210">
        <v>21210</v>
      </c>
      <c r="D43" s="3210">
        <v>21160</v>
      </c>
      <c r="E43" s="3210">
        <v>22650</v>
      </c>
      <c r="F43" s="3210"/>
      <c r="G43" s="3223">
        <v>14800</v>
      </c>
      <c r="N43" s="3210" t="s">
        <v>3026</v>
      </c>
      <c r="O43" s="3210" t="s">
        <v>3027</v>
      </c>
      <c r="P43" s="3210" t="s">
        <v>3028</v>
      </c>
      <c r="Q43" s="3210" t="s">
        <v>3029</v>
      </c>
    </row>
    <row r="44" spans="1:17" ht="14.25" customHeight="1" thickBot="1">
      <c r="A44" s="3210" t="s">
        <v>296</v>
      </c>
      <c r="B44" s="3211" t="s">
        <v>231</v>
      </c>
      <c r="C44" s="3210">
        <v>22370</v>
      </c>
      <c r="D44" s="3210">
        <v>23140</v>
      </c>
      <c r="E44" s="3210">
        <v>25090</v>
      </c>
      <c r="F44" s="3210"/>
      <c r="G44" s="3223">
        <v>16190</v>
      </c>
      <c r="N44" s="3210" t="s">
        <v>3030</v>
      </c>
      <c r="O44" s="3210" t="s">
        <v>3031</v>
      </c>
      <c r="P44" s="3217" t="s">
        <v>3032</v>
      </c>
      <c r="Q44" s="3210" t="s">
        <v>3033</v>
      </c>
    </row>
    <row r="45" spans="1:17" ht="14.25" customHeight="1" thickBot="1">
      <c r="A45" s="3210" t="s">
        <v>296</v>
      </c>
      <c r="B45" s="3211" t="s">
        <v>236</v>
      </c>
      <c r="C45" s="3210">
        <v>21240</v>
      </c>
      <c r="D45" s="3210">
        <v>27050</v>
      </c>
      <c r="E45" s="3210">
        <v>28000</v>
      </c>
      <c r="F45" s="3210"/>
      <c r="G45" s="3223">
        <v>18940</v>
      </c>
      <c r="N45" s="3210" t="s">
        <v>3034</v>
      </c>
      <c r="O45" s="3217" t="s">
        <v>3035</v>
      </c>
      <c r="Q45" s="3210" t="s">
        <v>3036</v>
      </c>
    </row>
    <row r="46" spans="1:17" ht="14.25" customHeight="1">
      <c r="A46" s="3210" t="s">
        <v>296</v>
      </c>
      <c r="B46" s="3211" t="s">
        <v>245</v>
      </c>
      <c r="C46" s="3210">
        <v>23240</v>
      </c>
      <c r="D46" s="3210">
        <v>23000</v>
      </c>
      <c r="E46" s="3210">
        <v>24980</v>
      </c>
      <c r="F46" s="3210"/>
      <c r="G46" s="3223">
        <v>16100</v>
      </c>
      <c r="N46" s="3210" t="s">
        <v>3037</v>
      </c>
      <c r="Q46" s="3210" t="s">
        <v>3038</v>
      </c>
    </row>
    <row r="47" spans="1:17" ht="14.25" customHeight="1">
      <c r="A47" s="3210" t="s">
        <v>296</v>
      </c>
      <c r="B47" s="3211" t="s">
        <v>252</v>
      </c>
      <c r="C47" s="3210">
        <v>27150</v>
      </c>
      <c r="D47" s="3210">
        <v>23310</v>
      </c>
      <c r="E47" s="3210">
        <v>25150</v>
      </c>
      <c r="F47" s="3210"/>
      <c r="G47" s="3223">
        <v>16310</v>
      </c>
      <c r="N47" s="3210" t="s">
        <v>3039</v>
      </c>
      <c r="Q47" s="3210" t="s">
        <v>3040</v>
      </c>
    </row>
    <row r="48" spans="1:17" ht="14.25" customHeight="1">
      <c r="A48" s="3210" t="s">
        <v>296</v>
      </c>
      <c r="B48" s="3211" t="s">
        <v>260</v>
      </c>
      <c r="C48" s="3210">
        <v>23100</v>
      </c>
      <c r="D48" s="3210">
        <v>21110</v>
      </c>
      <c r="E48" s="3210">
        <v>23080</v>
      </c>
      <c r="F48" s="3210"/>
      <c r="G48" s="3223">
        <v>14780</v>
      </c>
      <c r="N48" s="3210" t="s">
        <v>3041</v>
      </c>
      <c r="Q48" s="3210" t="s">
        <v>3042</v>
      </c>
    </row>
    <row r="49" spans="1:17" ht="14.25" customHeight="1">
      <c r="A49" s="3210" t="s">
        <v>296</v>
      </c>
      <c r="B49" s="3211" t="s">
        <v>267</v>
      </c>
      <c r="C49" s="3210">
        <v>23400</v>
      </c>
      <c r="D49" s="3210">
        <v>22920</v>
      </c>
      <c r="E49" s="3210">
        <v>24900</v>
      </c>
      <c r="F49" s="3210"/>
      <c r="G49" s="3223">
        <v>16040</v>
      </c>
      <c r="N49" s="3210" t="s">
        <v>3043</v>
      </c>
      <c r="Q49" s="3210" t="s">
        <v>3044</v>
      </c>
    </row>
    <row r="50" spans="1:17" ht="14.25" customHeight="1">
      <c r="A50" s="3210" t="s">
        <v>296</v>
      </c>
      <c r="B50" s="3211" t="s">
        <v>2921</v>
      </c>
      <c r="C50" s="3210">
        <v>21200</v>
      </c>
      <c r="D50" s="3210">
        <v>26540</v>
      </c>
      <c r="E50" s="3210">
        <v>23200</v>
      </c>
      <c r="F50" s="3210"/>
      <c r="G50" s="3223">
        <v>18580</v>
      </c>
      <c r="N50" s="3210" t="s">
        <v>3045</v>
      </c>
      <c r="Q50" s="3211" t="s">
        <v>3046</v>
      </c>
    </row>
    <row r="51" spans="1:17" ht="14.25" customHeight="1" thickBot="1">
      <c r="A51" s="3210" t="s">
        <v>296</v>
      </c>
      <c r="B51" s="3211" t="s">
        <v>2923</v>
      </c>
      <c r="C51" s="3210">
        <v>23000</v>
      </c>
      <c r="D51" s="3210">
        <v>23460</v>
      </c>
      <c r="E51" s="3210">
        <v>25290</v>
      </c>
      <c r="F51" s="3210"/>
      <c r="G51" s="3223">
        <v>16420</v>
      </c>
      <c r="N51" s="3210" t="s">
        <v>3047</v>
      </c>
      <c r="Q51" s="3217" t="s">
        <v>3048</v>
      </c>
    </row>
    <row r="52" spans="1:17" ht="14.25" customHeight="1">
      <c r="A52" s="3210" t="s">
        <v>296</v>
      </c>
      <c r="B52" s="3211" t="s">
        <v>2927</v>
      </c>
      <c r="C52" s="3210">
        <v>26660</v>
      </c>
      <c r="D52" s="3210">
        <v>22350</v>
      </c>
      <c r="E52" s="3210">
        <v>22920</v>
      </c>
      <c r="F52" s="3210"/>
      <c r="G52" s="3223">
        <v>15640</v>
      </c>
      <c r="N52" s="3210" t="s">
        <v>3049</v>
      </c>
    </row>
    <row r="53" spans="1:17" ht="14.25" customHeight="1">
      <c r="A53" s="3210" t="s">
        <v>296</v>
      </c>
      <c r="B53" s="3211" t="s">
        <v>2932</v>
      </c>
      <c r="C53" s="3210">
        <v>23580</v>
      </c>
      <c r="D53" s="3210"/>
      <c r="E53" s="3210">
        <v>24280</v>
      </c>
      <c r="F53" s="3210"/>
      <c r="G53" s="3223"/>
      <c r="N53" s="3210" t="s">
        <v>3050</v>
      </c>
    </row>
    <row r="54" spans="1:17" ht="14.25" customHeight="1" thickBot="1">
      <c r="A54" s="3224" t="s">
        <v>296</v>
      </c>
      <c r="B54" s="3216" t="s">
        <v>2935</v>
      </c>
      <c r="C54" s="3217">
        <v>22460</v>
      </c>
      <c r="D54" s="3217"/>
      <c r="E54" s="3217"/>
      <c r="F54" s="3217"/>
      <c r="G54" s="3225"/>
      <c r="N54" s="3210" t="s">
        <v>3051</v>
      </c>
    </row>
    <row r="55" spans="1:17" ht="14.25" customHeight="1">
      <c r="A55" s="3215" t="s">
        <v>110</v>
      </c>
      <c r="B55" s="3206" t="s">
        <v>3052</v>
      </c>
      <c r="C55" s="3210">
        <v>21970</v>
      </c>
      <c r="D55" s="3210">
        <v>20370</v>
      </c>
      <c r="E55" s="3210">
        <v>20180</v>
      </c>
      <c r="F55" s="3210">
        <v>5730</v>
      </c>
      <c r="G55" s="3210">
        <v>13820</v>
      </c>
      <c r="N55" s="3210" t="s">
        <v>3053</v>
      </c>
    </row>
    <row r="56" spans="1:17" ht="14.25" customHeight="1">
      <c r="A56" s="3210" t="s">
        <v>110</v>
      </c>
      <c r="B56" s="3210" t="s">
        <v>130</v>
      </c>
      <c r="C56" s="3210">
        <v>20470</v>
      </c>
      <c r="D56" s="3210">
        <v>20700</v>
      </c>
      <c r="E56" s="3210">
        <v>20380</v>
      </c>
      <c r="F56" s="3210">
        <v>4760</v>
      </c>
      <c r="G56" s="3210">
        <v>14050</v>
      </c>
      <c r="N56" s="3210" t="s">
        <v>3054</v>
      </c>
    </row>
    <row r="57" spans="1:17" ht="14.25" customHeight="1">
      <c r="A57" s="3210" t="s">
        <v>110</v>
      </c>
      <c r="B57" s="3210" t="s">
        <v>139</v>
      </c>
      <c r="C57" s="3210">
        <v>20790</v>
      </c>
      <c r="D57" s="3210">
        <v>21370</v>
      </c>
      <c r="E57" s="3210">
        <v>20890</v>
      </c>
      <c r="F57" s="3210">
        <v>4910</v>
      </c>
      <c r="G57" s="3210">
        <v>14510</v>
      </c>
      <c r="N57" s="3210" t="s">
        <v>3055</v>
      </c>
    </row>
    <row r="58" spans="1:17" ht="14.25" customHeight="1">
      <c r="A58" s="3210" t="s">
        <v>110</v>
      </c>
      <c r="B58" s="3210" t="s">
        <v>148</v>
      </c>
      <c r="C58" s="3210">
        <v>21460</v>
      </c>
      <c r="D58" s="3210">
        <v>20920</v>
      </c>
      <c r="E58" s="3210">
        <v>23410</v>
      </c>
      <c r="F58" s="3210">
        <v>5100</v>
      </c>
      <c r="G58" s="3210">
        <v>14200</v>
      </c>
      <c r="N58" s="3210" t="s">
        <v>3056</v>
      </c>
    </row>
    <row r="59" spans="1:17" ht="14.25" customHeight="1">
      <c r="A59" s="3210" t="s">
        <v>110</v>
      </c>
      <c r="B59" s="3210" t="s">
        <v>157</v>
      </c>
      <c r="C59" s="3210">
        <v>21000</v>
      </c>
      <c r="D59" s="3210">
        <v>21550</v>
      </c>
      <c r="E59" s="3210">
        <v>21150</v>
      </c>
      <c r="F59" s="3210">
        <v>5250</v>
      </c>
      <c r="G59" s="3210">
        <v>14630</v>
      </c>
      <c r="N59" s="3210" t="s">
        <v>3057</v>
      </c>
    </row>
    <row r="60" spans="1:17" ht="14.25" customHeight="1">
      <c r="A60" s="3210" t="s">
        <v>110</v>
      </c>
      <c r="B60" s="3210" t="s">
        <v>164</v>
      </c>
      <c r="C60" s="3210">
        <v>21640</v>
      </c>
      <c r="D60" s="3210">
        <v>21260</v>
      </c>
      <c r="E60" s="3210">
        <v>24040</v>
      </c>
      <c r="F60" s="3210">
        <v>4470</v>
      </c>
      <c r="G60" s="3210">
        <v>14430</v>
      </c>
      <c r="N60" s="3210" t="s">
        <v>3058</v>
      </c>
    </row>
    <row r="61" spans="1:17" ht="14.25" customHeight="1">
      <c r="A61" s="3210" t="s">
        <v>110</v>
      </c>
      <c r="B61" s="3210" t="s">
        <v>170</v>
      </c>
      <c r="C61" s="3210">
        <v>21330</v>
      </c>
      <c r="D61" s="3210">
        <v>18640</v>
      </c>
      <c r="E61" s="3210">
        <v>21190</v>
      </c>
      <c r="F61" s="3210">
        <v>4180</v>
      </c>
      <c r="G61" s="3210">
        <v>12650</v>
      </c>
      <c r="N61" s="3210" t="s">
        <v>3059</v>
      </c>
    </row>
    <row r="62" spans="1:17" ht="14.25" customHeight="1">
      <c r="A62" s="3210" t="s">
        <v>110</v>
      </c>
      <c r="B62" s="3210" t="s">
        <v>177</v>
      </c>
      <c r="C62" s="3210">
        <v>18710</v>
      </c>
      <c r="D62" s="3210">
        <v>19400</v>
      </c>
      <c r="E62" s="3210">
        <v>23750</v>
      </c>
      <c r="F62" s="3210">
        <v>4860</v>
      </c>
      <c r="G62" s="3210">
        <v>13170</v>
      </c>
      <c r="N62" s="3210" t="s">
        <v>3060</v>
      </c>
    </row>
    <row r="63" spans="1:17" ht="14.25" customHeight="1">
      <c r="A63" s="3210" t="s">
        <v>110</v>
      </c>
      <c r="B63" s="3210" t="s">
        <v>187</v>
      </c>
      <c r="C63" s="3210">
        <v>19480</v>
      </c>
      <c r="D63" s="3210">
        <v>16830</v>
      </c>
      <c r="E63" s="3210">
        <v>21590</v>
      </c>
      <c r="F63" s="3210">
        <v>4560</v>
      </c>
      <c r="G63" s="3210">
        <v>11420</v>
      </c>
      <c r="N63" s="3210" t="s">
        <v>3061</v>
      </c>
    </row>
    <row r="64" spans="1:17" ht="14.25" customHeight="1" thickBot="1">
      <c r="A64" s="3210" t="s">
        <v>110</v>
      </c>
      <c r="B64" s="3210" t="s">
        <v>196</v>
      </c>
      <c r="C64" s="3210">
        <v>16920</v>
      </c>
      <c r="D64" s="3210">
        <v>19190</v>
      </c>
      <c r="E64" s="3210">
        <v>22200</v>
      </c>
      <c r="F64" s="3210">
        <v>4390</v>
      </c>
      <c r="G64" s="3210">
        <v>13030</v>
      </c>
      <c r="N64" s="3217" t="s">
        <v>3062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2933</v>
      </c>
      <c r="C78" s="3210">
        <v>19820</v>
      </c>
      <c r="D78" s="3210">
        <v>19780</v>
      </c>
      <c r="E78" s="3210">
        <v>18560</v>
      </c>
      <c r="F78" s="3210"/>
      <c r="G78" s="3210">
        <v>13430</v>
      </c>
    </row>
    <row r="79" spans="1:7" s="3199" customFormat="1" ht="14.25" customHeight="1">
      <c r="A79" s="3210" t="s">
        <v>110</v>
      </c>
      <c r="B79" s="3210" t="s">
        <v>2936</v>
      </c>
      <c r="C79" s="3210">
        <v>21660</v>
      </c>
      <c r="D79" s="3210">
        <v>18000</v>
      </c>
      <c r="E79" s="3210">
        <v>22570</v>
      </c>
      <c r="F79" s="3210"/>
      <c r="G79" s="3210">
        <v>12220</v>
      </c>
    </row>
    <row r="80" spans="1:7" s="3199" customFormat="1" ht="14.25" customHeight="1">
      <c r="A80" s="3210" t="s">
        <v>110</v>
      </c>
      <c r="B80" s="3210" t="s">
        <v>2940</v>
      </c>
      <c r="C80" s="3210">
        <v>19850</v>
      </c>
      <c r="D80" s="3210"/>
      <c r="E80" s="3210">
        <v>21700</v>
      </c>
      <c r="F80" s="3210"/>
      <c r="G80" s="3210"/>
    </row>
    <row r="81" spans="1:7" s="3199" customFormat="1" ht="14.25" customHeight="1">
      <c r="A81" s="3210" t="s">
        <v>110</v>
      </c>
      <c r="B81" s="3210" t="s">
        <v>2945</v>
      </c>
      <c r="C81" s="3210">
        <v>18080</v>
      </c>
      <c r="D81" s="3210"/>
      <c r="E81" s="3210">
        <v>20900</v>
      </c>
      <c r="F81" s="3210"/>
      <c r="G81" s="3210"/>
    </row>
    <row r="82" spans="1:7" s="3199" customFormat="1" ht="14.25" customHeight="1">
      <c r="A82" s="3210" t="s">
        <v>110</v>
      </c>
      <c r="B82" s="3210" t="s">
        <v>2952</v>
      </c>
      <c r="C82" s="3210"/>
      <c r="D82" s="3210"/>
      <c r="E82" s="3210">
        <v>20840</v>
      </c>
      <c r="F82" s="3210"/>
      <c r="G82" s="3210"/>
    </row>
    <row r="83" spans="1:7" s="3199" customFormat="1" ht="14.25" customHeight="1">
      <c r="A83" s="3210" t="s">
        <v>110</v>
      </c>
      <c r="B83" s="3210" t="s">
        <v>3063</v>
      </c>
      <c r="C83" s="3210"/>
      <c r="D83" s="3210"/>
      <c r="E83" s="3210"/>
      <c r="F83" s="3210">
        <v>4770</v>
      </c>
      <c r="G83" s="3210"/>
    </row>
    <row r="84" spans="1:7" s="3199" customFormat="1" ht="14.25" customHeight="1">
      <c r="A84" s="3210" t="s">
        <v>110</v>
      </c>
      <c r="B84" s="3210" t="s">
        <v>3064</v>
      </c>
      <c r="C84" s="3210"/>
      <c r="D84" s="3210"/>
      <c r="E84" s="3210"/>
      <c r="F84" s="3210">
        <v>4600</v>
      </c>
      <c r="G84" s="3210"/>
    </row>
    <row r="85" spans="1:7" s="3199" customFormat="1" ht="14.25" customHeight="1">
      <c r="A85" s="3210" t="s">
        <v>110</v>
      </c>
      <c r="B85" s="3210" t="s">
        <v>3065</v>
      </c>
      <c r="C85" s="3210"/>
      <c r="D85" s="3210"/>
      <c r="E85" s="3210"/>
      <c r="F85" s="3210">
        <v>4680</v>
      </c>
      <c r="G85" s="3210"/>
    </row>
    <row r="86" spans="1:7" s="3199" customFormat="1" ht="14.25" customHeight="1" thickBot="1">
      <c r="A86" s="3218" t="s">
        <v>110</v>
      </c>
      <c r="B86" s="3220" t="s">
        <v>3066</v>
      </c>
      <c r="C86" s="3221">
        <v>16610</v>
      </c>
      <c r="D86" s="3221">
        <v>16540</v>
      </c>
      <c r="E86" s="3221">
        <v>18850</v>
      </c>
      <c r="F86" s="3221"/>
      <c r="G86" s="3221">
        <v>11220</v>
      </c>
    </row>
    <row r="87" spans="1:7" s="3199" customFormat="1" ht="14.25" customHeight="1">
      <c r="A87" s="3215" t="s">
        <v>303</v>
      </c>
      <c r="B87" s="3206" t="s">
        <v>3067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2946</v>
      </c>
      <c r="C113" s="3210">
        <v>15520</v>
      </c>
      <c r="D113" s="3210">
        <v>15450</v>
      </c>
      <c r="E113" s="3210"/>
      <c r="F113" s="3210"/>
      <c r="G113" s="3223">
        <v>10210</v>
      </c>
    </row>
    <row r="114" spans="1:7" s="3199" customFormat="1" ht="14.25" customHeight="1">
      <c r="A114" s="3210" t="s">
        <v>303</v>
      </c>
      <c r="B114" s="3210" t="s">
        <v>2953</v>
      </c>
      <c r="C114" s="3210">
        <v>13110</v>
      </c>
      <c r="D114" s="3210">
        <v>13050</v>
      </c>
      <c r="E114" s="3210"/>
      <c r="F114" s="3210"/>
      <c r="G114" s="3223">
        <v>8620</v>
      </c>
    </row>
    <row r="115" spans="1:7" s="3199" customFormat="1" ht="14.25" customHeight="1">
      <c r="A115" s="3210" t="s">
        <v>303</v>
      </c>
      <c r="B115" s="3210" t="s">
        <v>2959</v>
      </c>
      <c r="C115" s="3210">
        <v>12460</v>
      </c>
      <c r="D115" s="3210">
        <v>12390</v>
      </c>
      <c r="E115" s="3210"/>
      <c r="F115" s="3210"/>
      <c r="G115" s="3223">
        <v>8190</v>
      </c>
    </row>
    <row r="116" spans="1:7" s="3199" customFormat="1" ht="14.25" customHeight="1">
      <c r="A116" s="3210" t="s">
        <v>303</v>
      </c>
      <c r="B116" s="3210" t="s">
        <v>2966</v>
      </c>
      <c r="C116" s="3210">
        <v>13580</v>
      </c>
      <c r="D116" s="3210">
        <v>13520</v>
      </c>
      <c r="E116" s="3210"/>
      <c r="F116" s="3210"/>
      <c r="G116" s="3223">
        <v>8930</v>
      </c>
    </row>
    <row r="117" spans="1:7" s="3199" customFormat="1" ht="14.25" customHeight="1">
      <c r="A117" s="3210" t="s">
        <v>303</v>
      </c>
      <c r="B117" s="3210" t="s">
        <v>2973</v>
      </c>
      <c r="C117" s="3210">
        <v>17120</v>
      </c>
      <c r="D117" s="3210">
        <v>17040</v>
      </c>
      <c r="E117" s="3210"/>
      <c r="F117" s="3210"/>
      <c r="G117" s="3223">
        <v>11260</v>
      </c>
    </row>
    <row r="118" spans="1:7" s="3199" customFormat="1" ht="14.25" customHeight="1">
      <c r="A118" s="3210" t="s">
        <v>303</v>
      </c>
      <c r="B118" s="3210" t="s">
        <v>2978</v>
      </c>
      <c r="C118" s="3210">
        <v>14860</v>
      </c>
      <c r="D118" s="3210">
        <v>14790</v>
      </c>
      <c r="E118" s="3210"/>
      <c r="F118" s="3210"/>
      <c r="G118" s="3223">
        <v>9780</v>
      </c>
    </row>
    <row r="119" spans="1:7" s="3199" customFormat="1" ht="14.25" customHeight="1">
      <c r="A119" s="3210" t="s">
        <v>303</v>
      </c>
      <c r="B119" s="3210" t="s">
        <v>2982</v>
      </c>
      <c r="C119" s="3210">
        <v>16470</v>
      </c>
      <c r="D119" s="3210">
        <v>16400</v>
      </c>
      <c r="E119" s="3210"/>
      <c r="F119" s="3210"/>
      <c r="G119" s="3223">
        <v>10840</v>
      </c>
    </row>
    <row r="120" spans="1:7" s="3199" customFormat="1" ht="14.25" customHeight="1">
      <c r="A120" s="3210" t="s">
        <v>303</v>
      </c>
      <c r="B120" s="3210" t="s">
        <v>3068</v>
      </c>
      <c r="C120" s="3210"/>
      <c r="D120" s="3210"/>
      <c r="E120" s="3210"/>
      <c r="F120" s="3210">
        <v>4160</v>
      </c>
      <c r="G120" s="3223"/>
    </row>
    <row r="121" spans="1:7" s="3199" customFormat="1" ht="14.25" customHeight="1">
      <c r="A121" s="3210" t="s">
        <v>303</v>
      </c>
      <c r="B121" s="3210" t="s">
        <v>3069</v>
      </c>
      <c r="C121" s="3210"/>
      <c r="D121" s="3210"/>
      <c r="E121" s="3210"/>
      <c r="F121" s="3210">
        <v>3880</v>
      </c>
      <c r="G121" s="3223"/>
    </row>
    <row r="122" spans="1:7" s="3199" customFormat="1" ht="14.25" customHeight="1">
      <c r="A122" s="3210" t="s">
        <v>303</v>
      </c>
      <c r="B122" s="3210" t="s">
        <v>3070</v>
      </c>
      <c r="C122" s="3210">
        <v>13750</v>
      </c>
      <c r="D122" s="3210">
        <v>13680</v>
      </c>
      <c r="E122" s="3210">
        <v>16460</v>
      </c>
      <c r="F122" s="3210">
        <v>2880</v>
      </c>
      <c r="G122" s="3223">
        <v>9040</v>
      </c>
    </row>
    <row r="123" spans="1:7" s="3199" customFormat="1" ht="14.25" customHeight="1">
      <c r="A123" s="3210" t="s">
        <v>303</v>
      </c>
      <c r="B123" s="3210" t="s">
        <v>3001</v>
      </c>
      <c r="C123" s="3210">
        <v>13590</v>
      </c>
      <c r="D123" s="3210">
        <v>13520</v>
      </c>
      <c r="E123" s="3210">
        <v>16290</v>
      </c>
      <c r="F123" s="3210">
        <v>2790</v>
      </c>
      <c r="G123" s="3223">
        <v>8930</v>
      </c>
    </row>
    <row r="124" spans="1:7" s="3199" customFormat="1" ht="14.25" customHeight="1">
      <c r="A124" s="3210" t="s">
        <v>303</v>
      </c>
      <c r="B124" s="3210" t="s">
        <v>3006</v>
      </c>
      <c r="C124" s="3210">
        <v>13400</v>
      </c>
      <c r="D124" s="3210">
        <v>13320</v>
      </c>
      <c r="E124" s="3210">
        <v>16100</v>
      </c>
      <c r="F124" s="3210">
        <v>2320</v>
      </c>
      <c r="G124" s="3223">
        <v>8800</v>
      </c>
    </row>
    <row r="125" spans="1:7" s="3199" customFormat="1" ht="14.25" customHeight="1">
      <c r="A125" s="3210" t="s">
        <v>303</v>
      </c>
      <c r="B125" s="3210" t="s">
        <v>3011</v>
      </c>
      <c r="C125" s="3210">
        <v>12860</v>
      </c>
      <c r="D125" s="3210">
        <v>12790</v>
      </c>
      <c r="E125" s="3210">
        <v>15370</v>
      </c>
      <c r="F125" s="3210">
        <v>2280</v>
      </c>
      <c r="G125" s="3223">
        <v>8450</v>
      </c>
    </row>
    <row r="126" spans="1:7" s="3199" customFormat="1" ht="14.25" customHeight="1" thickBot="1">
      <c r="A126" s="3224" t="s">
        <v>303</v>
      </c>
      <c r="B126" s="3217" t="s">
        <v>3016</v>
      </c>
      <c r="C126" s="3217">
        <v>12960</v>
      </c>
      <c r="D126" s="3217">
        <v>12890</v>
      </c>
      <c r="E126" s="3217">
        <v>15530</v>
      </c>
      <c r="F126" s="3217">
        <v>2910</v>
      </c>
      <c r="G126" s="3225">
        <v>8520</v>
      </c>
    </row>
    <row r="127" spans="1:7" s="3199" customFormat="1" ht="14.25" customHeight="1">
      <c r="A127" s="3215" t="s">
        <v>29</v>
      </c>
      <c r="B127" s="3206" t="s">
        <v>3071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3072</v>
      </c>
      <c r="C148" s="3210">
        <v>10370</v>
      </c>
      <c r="D148" s="3210">
        <v>10310</v>
      </c>
      <c r="E148" s="3210">
        <v>12970</v>
      </c>
      <c r="F148" s="3210"/>
      <c r="G148" s="3210">
        <v>6630</v>
      </c>
    </row>
    <row r="149" spans="1:7" s="3199" customFormat="1" ht="14.25" customHeight="1">
      <c r="A149" s="3210" t="s">
        <v>29</v>
      </c>
      <c r="B149" s="3210" t="s">
        <v>3073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2947</v>
      </c>
      <c r="C153" s="3210">
        <v>10880</v>
      </c>
      <c r="D153" s="3210">
        <v>10820</v>
      </c>
      <c r="E153" s="3210">
        <v>13660</v>
      </c>
      <c r="F153" s="3210">
        <v>2260</v>
      </c>
      <c r="G153" s="3210">
        <v>6970</v>
      </c>
    </row>
    <row r="154" spans="1:7" s="3199" customFormat="1" ht="14.25" customHeight="1">
      <c r="A154" s="3210" t="s">
        <v>29</v>
      </c>
      <c r="B154" s="3210" t="s">
        <v>3074</v>
      </c>
      <c r="C154" s="3210">
        <v>11220</v>
      </c>
      <c r="D154" s="3210">
        <v>11160</v>
      </c>
      <c r="E154" s="3210">
        <v>14130</v>
      </c>
      <c r="F154" s="3210">
        <v>2230</v>
      </c>
      <c r="G154" s="3210">
        <v>7180</v>
      </c>
    </row>
    <row r="155" spans="1:7" s="3199" customFormat="1" ht="14.25" customHeight="1">
      <c r="A155" s="3210" t="s">
        <v>29</v>
      </c>
      <c r="B155" s="3210" t="s">
        <v>2960</v>
      </c>
      <c r="C155" s="3210">
        <v>10430</v>
      </c>
      <c r="D155" s="3210">
        <v>10380</v>
      </c>
      <c r="E155" s="3210">
        <v>13140</v>
      </c>
      <c r="F155" s="3210">
        <v>2080</v>
      </c>
      <c r="G155" s="3210">
        <v>6650</v>
      </c>
    </row>
    <row r="156" spans="1:7" s="3199" customFormat="1" ht="14.25" customHeight="1">
      <c r="A156" s="3210" t="s">
        <v>29</v>
      </c>
      <c r="B156" s="3210" t="s">
        <v>3075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3076</v>
      </c>
      <c r="C160" s="3210">
        <v>11180</v>
      </c>
      <c r="D160" s="3210">
        <v>11140</v>
      </c>
      <c r="E160" s="3210">
        <v>14050</v>
      </c>
      <c r="F160" s="3210">
        <v>2270</v>
      </c>
      <c r="G160" s="3210">
        <v>7170</v>
      </c>
    </row>
    <row r="161" spans="1:7" s="3199" customFormat="1" ht="14.25" customHeight="1">
      <c r="A161" s="3210" t="s">
        <v>29</v>
      </c>
      <c r="B161" s="3210" t="s">
        <v>2992</v>
      </c>
      <c r="C161" s="3210">
        <v>11160</v>
      </c>
      <c r="D161" s="3210">
        <v>11120</v>
      </c>
      <c r="E161" s="3210">
        <v>14020</v>
      </c>
      <c r="F161" s="3210">
        <v>2150</v>
      </c>
      <c r="G161" s="3210">
        <v>7160</v>
      </c>
    </row>
    <row r="162" spans="1:7" s="3199" customFormat="1" ht="14.25" customHeight="1">
      <c r="A162" s="3210" t="s">
        <v>29</v>
      </c>
      <c r="B162" s="3210" t="s">
        <v>2997</v>
      </c>
      <c r="C162" s="3210">
        <v>9620</v>
      </c>
      <c r="D162" s="3210">
        <v>9570</v>
      </c>
      <c r="E162" s="3210">
        <v>12320</v>
      </c>
      <c r="F162" s="3210">
        <v>2010</v>
      </c>
      <c r="G162" s="3210">
        <v>6160</v>
      </c>
    </row>
    <row r="163" spans="1:7" s="3199" customFormat="1" ht="14.25" customHeight="1">
      <c r="A163" s="3210" t="s">
        <v>29</v>
      </c>
      <c r="B163" s="3210" t="s">
        <v>3002</v>
      </c>
      <c r="C163" s="3210">
        <v>9320</v>
      </c>
      <c r="D163" s="3210">
        <v>9270</v>
      </c>
      <c r="E163" s="3210">
        <v>11790</v>
      </c>
      <c r="F163" s="3210">
        <v>1920</v>
      </c>
      <c r="G163" s="3210">
        <v>5960</v>
      </c>
    </row>
    <row r="164" spans="1:7" s="3199" customFormat="1" ht="14.25" customHeight="1">
      <c r="A164" s="3210" t="s">
        <v>29</v>
      </c>
      <c r="B164" s="3210" t="s">
        <v>3007</v>
      </c>
      <c r="C164" s="3210"/>
      <c r="D164" s="3210"/>
      <c r="E164" s="3210"/>
      <c r="F164" s="3210">
        <v>1980</v>
      </c>
      <c r="G164" s="3210"/>
    </row>
    <row r="165" spans="1:7" s="3199" customFormat="1" ht="14.25" customHeight="1">
      <c r="A165" s="3210" t="s">
        <v>29</v>
      </c>
      <c r="B165" s="3210" t="s">
        <v>3077</v>
      </c>
      <c r="C165" s="3210">
        <v>11060</v>
      </c>
      <c r="D165" s="3210">
        <v>11030</v>
      </c>
      <c r="E165" s="3210">
        <v>13850</v>
      </c>
      <c r="F165" s="3210">
        <v>2170</v>
      </c>
      <c r="G165" s="3210">
        <v>7090</v>
      </c>
    </row>
    <row r="166" spans="1:7" s="3199" customFormat="1" ht="14.25" customHeight="1">
      <c r="A166" s="3210" t="s">
        <v>29</v>
      </c>
      <c r="B166" s="3210" t="s">
        <v>3017</v>
      </c>
      <c r="C166" s="3210">
        <v>11050</v>
      </c>
      <c r="D166" s="3210">
        <v>11010</v>
      </c>
      <c r="E166" s="3210">
        <v>13920</v>
      </c>
      <c r="F166" s="3210">
        <v>2140</v>
      </c>
      <c r="G166" s="3210">
        <v>7080</v>
      </c>
    </row>
    <row r="167" spans="1:7" s="3199" customFormat="1" ht="14.25" customHeight="1">
      <c r="A167" s="3210" t="s">
        <v>29</v>
      </c>
      <c r="B167" s="3210" t="s">
        <v>3021</v>
      </c>
      <c r="C167" s="3210">
        <v>10930</v>
      </c>
      <c r="D167" s="3210">
        <v>10890</v>
      </c>
      <c r="E167" s="3210">
        <v>13790</v>
      </c>
      <c r="F167" s="3210">
        <v>2010</v>
      </c>
      <c r="G167" s="3210">
        <v>7000</v>
      </c>
    </row>
    <row r="168" spans="1:7" s="3199" customFormat="1" ht="14.25" customHeight="1">
      <c r="A168" s="3210" t="s">
        <v>29</v>
      </c>
      <c r="B168" s="3210" t="s">
        <v>3026</v>
      </c>
      <c r="C168" s="3210">
        <v>9420</v>
      </c>
      <c r="D168" s="3210">
        <v>9380</v>
      </c>
      <c r="E168" s="3210">
        <v>11970</v>
      </c>
      <c r="F168" s="3210"/>
      <c r="G168" s="3210">
        <v>6040</v>
      </c>
    </row>
    <row r="169" spans="1:7" s="3199" customFormat="1" ht="14.25" customHeight="1">
      <c r="A169" s="3210" t="s">
        <v>29</v>
      </c>
      <c r="B169" s="3210" t="s">
        <v>3078</v>
      </c>
      <c r="C169" s="3210"/>
      <c r="D169" s="3210"/>
      <c r="E169" s="3210"/>
      <c r="F169" s="3210">
        <v>2880</v>
      </c>
      <c r="G169" s="3210"/>
    </row>
    <row r="170" spans="1:7" s="3199" customFormat="1" ht="14.25" customHeight="1">
      <c r="A170" s="3210" t="s">
        <v>29</v>
      </c>
      <c r="B170" s="3210" t="s">
        <v>3034</v>
      </c>
      <c r="C170" s="3210"/>
      <c r="D170" s="3210"/>
      <c r="E170" s="3210"/>
      <c r="F170" s="3210">
        <v>2880</v>
      </c>
      <c r="G170" s="3210"/>
    </row>
    <row r="171" spans="1:7" s="3199" customFormat="1" ht="14.25" customHeight="1">
      <c r="A171" s="3210" t="s">
        <v>29</v>
      </c>
      <c r="B171" s="3210" t="s">
        <v>3037</v>
      </c>
      <c r="C171" s="3210"/>
      <c r="D171" s="3210"/>
      <c r="E171" s="3210"/>
      <c r="F171" s="3210">
        <v>2880</v>
      </c>
      <c r="G171" s="3210"/>
    </row>
    <row r="172" spans="1:7" s="3199" customFormat="1" ht="14.25" customHeight="1">
      <c r="A172" s="3210" t="s">
        <v>29</v>
      </c>
      <c r="B172" s="3210" t="s">
        <v>3039</v>
      </c>
      <c r="C172" s="3210"/>
      <c r="D172" s="3210"/>
      <c r="E172" s="3210"/>
      <c r="F172" s="3210">
        <v>2880</v>
      </c>
      <c r="G172" s="3210"/>
    </row>
    <row r="173" spans="1:7" s="3199" customFormat="1" ht="14.25" customHeight="1">
      <c r="A173" s="3210" t="s">
        <v>29</v>
      </c>
      <c r="B173" s="3210" t="s">
        <v>3041</v>
      </c>
      <c r="C173" s="3210"/>
      <c r="D173" s="3210"/>
      <c r="E173" s="3210"/>
      <c r="F173" s="3210">
        <v>2150</v>
      </c>
      <c r="G173" s="3210"/>
    </row>
    <row r="174" spans="1:7" s="3199" customFormat="1" ht="14.25" customHeight="1">
      <c r="A174" s="3210" t="s">
        <v>29</v>
      </c>
      <c r="B174" s="3210" t="s">
        <v>3043</v>
      </c>
      <c r="C174" s="3210"/>
      <c r="D174" s="3210"/>
      <c r="E174" s="3210"/>
      <c r="F174" s="3210">
        <v>2030</v>
      </c>
      <c r="G174" s="3210"/>
    </row>
    <row r="175" spans="1:7" s="3199" customFormat="1" ht="14.25" customHeight="1">
      <c r="A175" s="3210" t="s">
        <v>29</v>
      </c>
      <c r="B175" s="3210" t="s">
        <v>3045</v>
      </c>
      <c r="C175" s="3210"/>
      <c r="D175" s="3210"/>
      <c r="E175" s="3210"/>
      <c r="F175" s="3210">
        <v>2780</v>
      </c>
      <c r="G175" s="3210"/>
    </row>
    <row r="176" spans="1:7" s="3199" customFormat="1" ht="14.25" customHeight="1">
      <c r="A176" s="3210" t="s">
        <v>29</v>
      </c>
      <c r="B176" s="3210" t="s">
        <v>3047</v>
      </c>
      <c r="C176" s="3210"/>
      <c r="D176" s="3210"/>
      <c r="E176" s="3210"/>
      <c r="F176" s="3210">
        <v>2780</v>
      </c>
      <c r="G176" s="3210"/>
    </row>
    <row r="177" spans="1:7" s="3199" customFormat="1" ht="14.25" customHeight="1">
      <c r="A177" s="3210" t="s">
        <v>29</v>
      </c>
      <c r="B177" s="3210" t="s">
        <v>3079</v>
      </c>
      <c r="C177" s="3210"/>
      <c r="D177" s="3210"/>
      <c r="E177" s="3210"/>
      <c r="F177" s="3210">
        <v>2780</v>
      </c>
      <c r="G177" s="3210"/>
    </row>
    <row r="178" spans="1:7" s="3199" customFormat="1" ht="14.25" customHeight="1">
      <c r="A178" s="3210" t="s">
        <v>29</v>
      </c>
      <c r="B178" s="3210" t="s">
        <v>3080</v>
      </c>
      <c r="C178" s="3210"/>
      <c r="D178" s="3210"/>
      <c r="E178" s="3210"/>
      <c r="F178" s="3210">
        <v>2060</v>
      </c>
      <c r="G178" s="3210"/>
    </row>
    <row r="179" spans="1:7" s="3199" customFormat="1" ht="14.25" customHeight="1">
      <c r="A179" s="3210" t="s">
        <v>29</v>
      </c>
      <c r="B179" s="3210" t="s">
        <v>3081</v>
      </c>
      <c r="C179" s="3210"/>
      <c r="D179" s="3210"/>
      <c r="E179" s="3210"/>
      <c r="F179" s="3210">
        <v>2120</v>
      </c>
      <c r="G179" s="3210"/>
    </row>
    <row r="180" spans="1:7" s="3199" customFormat="1" ht="14.25" customHeight="1">
      <c r="A180" s="3210" t="s">
        <v>29</v>
      </c>
      <c r="B180" s="3210" t="s">
        <v>3053</v>
      </c>
      <c r="C180" s="3210"/>
      <c r="D180" s="3210"/>
      <c r="E180" s="3210"/>
      <c r="F180" s="3210">
        <v>2340</v>
      </c>
      <c r="G180" s="3210"/>
    </row>
    <row r="181" spans="1:7" s="3199" customFormat="1" ht="14.25" customHeight="1">
      <c r="A181" s="3210" t="s">
        <v>29</v>
      </c>
      <c r="B181" s="3210" t="s">
        <v>3054</v>
      </c>
      <c r="C181" s="3210"/>
      <c r="D181" s="3210"/>
      <c r="E181" s="3210"/>
      <c r="F181" s="3210">
        <v>2340</v>
      </c>
      <c r="G181" s="3210"/>
    </row>
    <row r="182" spans="1:7" s="3199" customFormat="1" ht="14.25" customHeight="1">
      <c r="A182" s="3210" t="s">
        <v>29</v>
      </c>
      <c r="B182" s="3210" t="s">
        <v>3055</v>
      </c>
      <c r="C182" s="3210"/>
      <c r="D182" s="3210"/>
      <c r="E182" s="3210"/>
      <c r="F182" s="3210">
        <v>2340</v>
      </c>
      <c r="G182" s="3210"/>
    </row>
    <row r="183" spans="1:7" s="3199" customFormat="1" ht="14.25" customHeight="1">
      <c r="A183" s="3210" t="s">
        <v>29</v>
      </c>
      <c r="B183" s="3210" t="s">
        <v>3056</v>
      </c>
      <c r="C183" s="3210"/>
      <c r="D183" s="3210"/>
      <c r="E183" s="3210"/>
      <c r="F183" s="3210">
        <v>2340</v>
      </c>
      <c r="G183" s="3210"/>
    </row>
    <row r="184" spans="1:7" s="3199" customFormat="1" ht="14.25" customHeight="1">
      <c r="A184" s="3210" t="s">
        <v>29</v>
      </c>
      <c r="B184" s="3210" t="s">
        <v>3057</v>
      </c>
      <c r="C184" s="3210"/>
      <c r="D184" s="3210"/>
      <c r="E184" s="3210"/>
      <c r="F184" s="3210">
        <v>2340</v>
      </c>
      <c r="G184" s="3210"/>
    </row>
    <row r="185" spans="1:7" s="3199" customFormat="1" ht="14.25" customHeight="1">
      <c r="A185" s="3210" t="s">
        <v>29</v>
      </c>
      <c r="B185" s="3210" t="s">
        <v>3058</v>
      </c>
      <c r="C185" s="3210"/>
      <c r="D185" s="3210"/>
      <c r="E185" s="3210"/>
      <c r="F185" s="3210">
        <v>2530</v>
      </c>
      <c r="G185" s="3210"/>
    </row>
    <row r="186" spans="1:7" s="3199" customFormat="1" ht="14.25" customHeight="1">
      <c r="A186" s="3210" t="s">
        <v>29</v>
      </c>
      <c r="B186" s="3210" t="s">
        <v>3059</v>
      </c>
      <c r="C186" s="3210"/>
      <c r="D186" s="3210"/>
      <c r="E186" s="3210"/>
      <c r="F186" s="3210">
        <v>2550</v>
      </c>
      <c r="G186" s="3210"/>
    </row>
    <row r="187" spans="1:7" s="3199" customFormat="1" ht="14.25" customHeight="1">
      <c r="A187" s="3210" t="s">
        <v>29</v>
      </c>
      <c r="B187" s="3210" t="s">
        <v>3060</v>
      </c>
      <c r="C187" s="3210"/>
      <c r="D187" s="3210"/>
      <c r="E187" s="3210"/>
      <c r="F187" s="3210">
        <v>2070</v>
      </c>
      <c r="G187" s="3210"/>
    </row>
    <row r="188" spans="1:7" s="3199" customFormat="1" ht="14.25" customHeight="1">
      <c r="A188" s="3210" t="s">
        <v>29</v>
      </c>
      <c r="B188" s="3210" t="s">
        <v>3061</v>
      </c>
      <c r="C188" s="3210"/>
      <c r="D188" s="3210"/>
      <c r="E188" s="3210"/>
      <c r="F188" s="3210">
        <v>2340</v>
      </c>
      <c r="G188" s="3210"/>
    </row>
    <row r="189" spans="1:7" s="3199" customFormat="1" ht="14.25" customHeight="1" thickBot="1">
      <c r="A189" s="3218" t="s">
        <v>29</v>
      </c>
      <c r="B189" s="3221" t="s">
        <v>3062</v>
      </c>
      <c r="C189" s="3221"/>
      <c r="D189" s="3221"/>
      <c r="E189" s="3221"/>
      <c r="F189" s="3221">
        <v>2050</v>
      </c>
      <c r="G189" s="3221"/>
    </row>
    <row r="190" spans="1:7" s="3199" customFormat="1" ht="14.25" customHeight="1">
      <c r="A190" s="3215" t="s">
        <v>304</v>
      </c>
      <c r="B190" s="3206" t="s">
        <v>3082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3083</v>
      </c>
      <c r="C199" s="3210">
        <v>8690</v>
      </c>
      <c r="D199" s="3210">
        <v>8630</v>
      </c>
      <c r="E199" s="3210">
        <v>11350</v>
      </c>
      <c r="F199" s="3210">
        <v>1600</v>
      </c>
      <c r="G199" s="3223">
        <v>5450</v>
      </c>
    </row>
    <row r="200" spans="1:7" s="3199" customFormat="1" ht="14.25" customHeight="1">
      <c r="A200" s="3210" t="s">
        <v>304</v>
      </c>
      <c r="B200" s="3210" t="s">
        <v>2894</v>
      </c>
      <c r="C200" s="3210"/>
      <c r="D200" s="3210"/>
      <c r="E200" s="3210"/>
      <c r="F200" s="3210">
        <v>1510</v>
      </c>
      <c r="G200" s="3223"/>
    </row>
    <row r="201" spans="1:7" s="3199" customFormat="1" ht="14.25" customHeight="1">
      <c r="A201" s="3210" t="s">
        <v>304</v>
      </c>
      <c r="B201" s="3210" t="s">
        <v>3084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3085</v>
      </c>
      <c r="C203" s="3210">
        <v>8130</v>
      </c>
      <c r="D203" s="3210">
        <v>8070</v>
      </c>
      <c r="E203" s="3210">
        <v>10820</v>
      </c>
      <c r="F203" s="3210">
        <v>1690</v>
      </c>
      <c r="G203" s="3223">
        <v>5100</v>
      </c>
    </row>
    <row r="204" spans="1:7" s="3199" customFormat="1" ht="14.25" customHeight="1">
      <c r="A204" s="3210" t="s">
        <v>304</v>
      </c>
      <c r="B204" s="3210" t="s">
        <v>2905</v>
      </c>
      <c r="C204" s="3210">
        <v>8350</v>
      </c>
      <c r="D204" s="3210">
        <v>8290</v>
      </c>
      <c r="E204" s="3210">
        <v>11080</v>
      </c>
      <c r="F204" s="3210">
        <v>1450</v>
      </c>
      <c r="G204" s="3223">
        <v>5240</v>
      </c>
    </row>
    <row r="205" spans="1:7" s="3199" customFormat="1" ht="14.25" customHeight="1">
      <c r="A205" s="3210" t="s">
        <v>304</v>
      </c>
      <c r="B205" s="3210" t="s">
        <v>2907</v>
      </c>
      <c r="C205" s="3210">
        <v>7190</v>
      </c>
      <c r="D205" s="3210">
        <v>7130</v>
      </c>
      <c r="E205" s="3210">
        <v>9490</v>
      </c>
      <c r="F205" s="3210">
        <v>1470</v>
      </c>
      <c r="G205" s="3223">
        <v>4510</v>
      </c>
    </row>
    <row r="206" spans="1:7" s="3199" customFormat="1" ht="14.25" customHeight="1">
      <c r="A206" s="3210" t="s">
        <v>304</v>
      </c>
      <c r="B206" s="3210" t="s">
        <v>2910</v>
      </c>
      <c r="C206" s="3210">
        <v>7000</v>
      </c>
      <c r="D206" s="3210">
        <v>6950</v>
      </c>
      <c r="E206" s="3210">
        <v>9170</v>
      </c>
      <c r="F206" s="3210">
        <v>1400</v>
      </c>
      <c r="G206" s="3223">
        <v>4380</v>
      </c>
    </row>
    <row r="207" spans="1:7" s="3199" customFormat="1" ht="14.25" customHeight="1">
      <c r="A207" s="3210" t="s">
        <v>304</v>
      </c>
      <c r="B207" s="3210" t="s">
        <v>2912</v>
      </c>
      <c r="C207" s="3210">
        <v>6950</v>
      </c>
      <c r="D207" s="3210">
        <v>6900</v>
      </c>
      <c r="E207" s="3210">
        <v>9110</v>
      </c>
      <c r="F207" s="3210">
        <v>1790</v>
      </c>
      <c r="G207" s="3223">
        <v>4360</v>
      </c>
    </row>
    <row r="208" spans="1:7" s="3199" customFormat="1" ht="14.25" customHeight="1">
      <c r="A208" s="3210" t="s">
        <v>304</v>
      </c>
      <c r="B208" s="3210" t="s">
        <v>3086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2922</v>
      </c>
      <c r="C210" s="3210">
        <v>8710</v>
      </c>
      <c r="D210" s="3210">
        <v>8660</v>
      </c>
      <c r="E210" s="3210">
        <v>11440</v>
      </c>
      <c r="F210" s="3210">
        <v>1740</v>
      </c>
      <c r="G210" s="3223">
        <v>5470</v>
      </c>
    </row>
    <row r="211" spans="1:7" s="3199" customFormat="1" ht="14.25" customHeight="1">
      <c r="A211" s="3210" t="s">
        <v>304</v>
      </c>
      <c r="B211" s="3210" t="s">
        <v>3087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3088</v>
      </c>
      <c r="C214" s="3210">
        <v>8090</v>
      </c>
      <c r="D214" s="3210">
        <v>8030</v>
      </c>
      <c r="E214" s="3210">
        <v>10780</v>
      </c>
      <c r="F214" s="3210">
        <v>1570</v>
      </c>
      <c r="G214" s="3223">
        <v>5070</v>
      </c>
    </row>
    <row r="215" spans="1:7" s="3199" customFormat="1" ht="14.25" customHeight="1">
      <c r="A215" s="3210" t="s">
        <v>304</v>
      </c>
      <c r="B215" s="3210" t="s">
        <v>3089</v>
      </c>
      <c r="C215" s="3210">
        <v>7950</v>
      </c>
      <c r="D215" s="3210">
        <v>7900</v>
      </c>
      <c r="E215" s="3210">
        <v>10560</v>
      </c>
      <c r="F215" s="3210">
        <v>1630</v>
      </c>
      <c r="G215" s="3223">
        <v>4990</v>
      </c>
    </row>
    <row r="216" spans="1:7" s="3199" customFormat="1" ht="14.25" customHeight="1">
      <c r="A216" s="3210" t="s">
        <v>304</v>
      </c>
      <c r="B216" s="3210" t="s">
        <v>3090</v>
      </c>
      <c r="C216" s="3210">
        <v>8490</v>
      </c>
      <c r="D216" s="3210">
        <v>8440</v>
      </c>
      <c r="E216" s="3210">
        <v>11260</v>
      </c>
      <c r="F216" s="3210">
        <v>1690</v>
      </c>
      <c r="G216" s="3223">
        <v>5330</v>
      </c>
    </row>
    <row r="217" spans="1:7" s="3199" customFormat="1" ht="14.25" customHeight="1">
      <c r="A217" s="3210" t="s">
        <v>304</v>
      </c>
      <c r="B217" s="3210" t="s">
        <v>2955</v>
      </c>
      <c r="C217" s="3210">
        <v>8200</v>
      </c>
      <c r="D217" s="3210">
        <v>8150</v>
      </c>
      <c r="E217" s="3210">
        <v>10910</v>
      </c>
      <c r="F217" s="3210">
        <v>1670</v>
      </c>
      <c r="G217" s="3223">
        <v>5150</v>
      </c>
    </row>
    <row r="218" spans="1:7" s="3199" customFormat="1" ht="14.25" customHeight="1">
      <c r="A218" s="3210" t="s">
        <v>304</v>
      </c>
      <c r="B218" s="3210" t="s">
        <v>3091</v>
      </c>
      <c r="C218" s="3210"/>
      <c r="D218" s="3210"/>
      <c r="E218" s="3210"/>
      <c r="F218" s="3210">
        <v>2040</v>
      </c>
      <c r="G218" s="3223"/>
    </row>
    <row r="219" spans="1:7" s="3199" customFormat="1" ht="14.25" customHeight="1">
      <c r="A219" s="3210" t="s">
        <v>304</v>
      </c>
      <c r="B219" s="3210" t="s">
        <v>3092</v>
      </c>
      <c r="C219" s="3210"/>
      <c r="D219" s="3210"/>
      <c r="E219" s="3210"/>
      <c r="F219" s="3210">
        <v>2040</v>
      </c>
      <c r="G219" s="3223"/>
    </row>
    <row r="220" spans="1:7" s="3199" customFormat="1" ht="14.25" customHeight="1">
      <c r="A220" s="3210" t="s">
        <v>304</v>
      </c>
      <c r="B220" s="3210" t="s">
        <v>3093</v>
      </c>
      <c r="C220" s="3210"/>
      <c r="D220" s="3210"/>
      <c r="E220" s="3210"/>
      <c r="F220" s="3210">
        <v>2040</v>
      </c>
      <c r="G220" s="3223"/>
    </row>
    <row r="221" spans="1:7" s="3199" customFormat="1" ht="14.25" customHeight="1">
      <c r="A221" s="3210" t="s">
        <v>304</v>
      </c>
      <c r="B221" s="3210" t="s">
        <v>3094</v>
      </c>
      <c r="C221" s="3210"/>
      <c r="D221" s="3210"/>
      <c r="E221" s="3210"/>
      <c r="F221" s="3210">
        <v>2040</v>
      </c>
      <c r="G221" s="3223"/>
    </row>
    <row r="222" spans="1:7" s="3199" customFormat="1" ht="14.25" customHeight="1">
      <c r="A222" s="3210" t="s">
        <v>304</v>
      </c>
      <c r="B222" s="3210" t="s">
        <v>3095</v>
      </c>
      <c r="C222" s="3210"/>
      <c r="D222" s="3210"/>
      <c r="E222" s="3210"/>
      <c r="F222" s="3210">
        <v>2040</v>
      </c>
      <c r="G222" s="3223"/>
    </row>
    <row r="223" spans="1:7" s="3199" customFormat="1" ht="14.25" customHeight="1">
      <c r="A223" s="3210" t="s">
        <v>304</v>
      </c>
      <c r="B223" s="3210" t="s">
        <v>3096</v>
      </c>
      <c r="C223" s="3210"/>
      <c r="D223" s="3210"/>
      <c r="E223" s="3210"/>
      <c r="F223" s="3210">
        <v>1930</v>
      </c>
      <c r="G223" s="3223"/>
    </row>
    <row r="224" spans="1:7" s="3199" customFormat="1" ht="14.25" customHeight="1">
      <c r="A224" s="3210" t="s">
        <v>304</v>
      </c>
      <c r="B224" s="3210" t="s">
        <v>3097</v>
      </c>
      <c r="C224" s="3210"/>
      <c r="D224" s="3210"/>
      <c r="E224" s="3210"/>
      <c r="F224" s="3210">
        <v>1930</v>
      </c>
      <c r="G224" s="3223"/>
    </row>
    <row r="225" spans="1:7" s="3199" customFormat="1" ht="14.25" customHeight="1">
      <c r="A225" s="3210" t="s">
        <v>304</v>
      </c>
      <c r="B225" s="3210" t="s">
        <v>3098</v>
      </c>
      <c r="C225" s="3210"/>
      <c r="D225" s="3210"/>
      <c r="E225" s="3210"/>
      <c r="F225" s="3210">
        <v>1930</v>
      </c>
      <c r="G225" s="3223"/>
    </row>
    <row r="226" spans="1:7" s="3199" customFormat="1" ht="14.25" customHeight="1">
      <c r="A226" s="3210" t="s">
        <v>304</v>
      </c>
      <c r="B226" s="3210" t="s">
        <v>3099</v>
      </c>
      <c r="C226" s="3210"/>
      <c r="D226" s="3210"/>
      <c r="E226" s="3210"/>
      <c r="F226" s="3210">
        <v>1700</v>
      </c>
      <c r="G226" s="3223"/>
    </row>
    <row r="227" spans="1:7" s="3199" customFormat="1" ht="14.25" customHeight="1">
      <c r="A227" s="3210" t="s">
        <v>304</v>
      </c>
      <c r="B227" s="3210" t="s">
        <v>3100</v>
      </c>
      <c r="C227" s="3210"/>
      <c r="D227" s="3210"/>
      <c r="E227" s="3210"/>
      <c r="F227" s="3210">
        <v>1520</v>
      </c>
      <c r="G227" s="3223"/>
    </row>
    <row r="228" spans="1:7" s="3199" customFormat="1" ht="14.25" customHeight="1">
      <c r="A228" s="3210" t="s">
        <v>304</v>
      </c>
      <c r="B228" s="3210" t="s">
        <v>3101</v>
      </c>
      <c r="C228" s="3210"/>
      <c r="D228" s="3210"/>
      <c r="E228" s="3210"/>
      <c r="F228" s="3210">
        <v>1520</v>
      </c>
      <c r="G228" s="3223"/>
    </row>
    <row r="229" spans="1:7" s="3199" customFormat="1" ht="14.25" customHeight="1">
      <c r="A229" s="3210" t="s">
        <v>304</v>
      </c>
      <c r="B229" s="3210" t="s">
        <v>3018</v>
      </c>
      <c r="C229" s="3210"/>
      <c r="D229" s="3210"/>
      <c r="E229" s="3210"/>
      <c r="F229" s="3210">
        <v>1520</v>
      </c>
      <c r="G229" s="3223"/>
    </row>
    <row r="230" spans="1:7" s="3199" customFormat="1" ht="14.25" customHeight="1">
      <c r="A230" s="3210" t="s">
        <v>304</v>
      </c>
      <c r="B230" s="3210" t="s">
        <v>3102</v>
      </c>
      <c r="C230" s="3210"/>
      <c r="D230" s="3210"/>
      <c r="E230" s="3210"/>
      <c r="F230" s="3210">
        <v>1820</v>
      </c>
      <c r="G230" s="3223"/>
    </row>
    <row r="231" spans="1:7" s="3199" customFormat="1" ht="14.25" customHeight="1">
      <c r="A231" s="3210" t="s">
        <v>304</v>
      </c>
      <c r="B231" s="3210" t="s">
        <v>3103</v>
      </c>
      <c r="C231" s="3210"/>
      <c r="D231" s="3210"/>
      <c r="E231" s="3210"/>
      <c r="F231" s="3210">
        <v>1760</v>
      </c>
      <c r="G231" s="3223"/>
    </row>
    <row r="232" spans="1:7" s="3199" customFormat="1" ht="14.25" customHeight="1">
      <c r="A232" s="3210" t="s">
        <v>304</v>
      </c>
      <c r="B232" s="3210" t="s">
        <v>3104</v>
      </c>
      <c r="C232" s="3210"/>
      <c r="D232" s="3210"/>
      <c r="E232" s="3210"/>
      <c r="F232" s="3210">
        <v>1840</v>
      </c>
      <c r="G232" s="3223"/>
    </row>
    <row r="233" spans="1:7" s="3199" customFormat="1" ht="14.25" customHeight="1" thickBot="1">
      <c r="A233" s="3224" t="s">
        <v>304</v>
      </c>
      <c r="B233" s="3217" t="s">
        <v>3035</v>
      </c>
      <c r="C233" s="3217"/>
      <c r="D233" s="3217"/>
      <c r="E233" s="3217"/>
      <c r="F233" s="3217">
        <v>1770</v>
      </c>
      <c r="G233" s="3225"/>
    </row>
    <row r="234" spans="1:7" s="3199" customFormat="1" ht="14.25" customHeight="1">
      <c r="A234" s="3215" t="s">
        <v>305</v>
      </c>
      <c r="B234" s="3206" t="s">
        <v>3105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2876</v>
      </c>
      <c r="C238" s="3210">
        <v>6920</v>
      </c>
      <c r="D238" s="3210">
        <v>6890</v>
      </c>
      <c r="E238" s="3210">
        <v>8640</v>
      </c>
      <c r="F238" s="3210">
        <v>1310</v>
      </c>
      <c r="G238" s="3210">
        <v>4230</v>
      </c>
    </row>
    <row r="239" spans="1:7" s="3199" customFormat="1" ht="14.25" customHeight="1">
      <c r="A239" s="3210" t="s">
        <v>305</v>
      </c>
      <c r="B239" s="3210" t="s">
        <v>3106</v>
      </c>
      <c r="C239" s="3210">
        <v>6780</v>
      </c>
      <c r="D239" s="3210">
        <v>6750</v>
      </c>
      <c r="E239" s="3210">
        <v>8440</v>
      </c>
      <c r="F239" s="3210">
        <v>1160</v>
      </c>
      <c r="G239" s="3210">
        <v>4140</v>
      </c>
    </row>
    <row r="240" spans="1:7" s="3199" customFormat="1" ht="14.25" customHeight="1">
      <c r="A240" s="3210" t="s">
        <v>305</v>
      </c>
      <c r="B240" s="3210" t="s">
        <v>3107</v>
      </c>
      <c r="C240" s="3210">
        <v>5420</v>
      </c>
      <c r="D240" s="3210">
        <v>5380</v>
      </c>
      <c r="E240" s="3210">
        <v>6640</v>
      </c>
      <c r="F240" s="3210">
        <v>1020</v>
      </c>
      <c r="G240" s="3210">
        <v>3300</v>
      </c>
    </row>
    <row r="241" spans="1:7" s="3199" customFormat="1" ht="14.25" customHeight="1">
      <c r="A241" s="3210" t="s">
        <v>305</v>
      </c>
      <c r="B241" s="3210" t="s">
        <v>3108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3109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3110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3111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3112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3113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2938</v>
      </c>
      <c r="C258" s="3210">
        <v>6190</v>
      </c>
      <c r="D258" s="3210">
        <v>6160</v>
      </c>
      <c r="E258" s="3210">
        <v>7680</v>
      </c>
      <c r="F258" s="3210">
        <v>1170</v>
      </c>
      <c r="G258" s="3210">
        <v>3780</v>
      </c>
    </row>
    <row r="259" spans="1:7" s="3199" customFormat="1" ht="14.25" customHeight="1">
      <c r="A259" s="3210" t="s">
        <v>305</v>
      </c>
      <c r="B259" s="3210" t="s">
        <v>3114</v>
      </c>
      <c r="C259" s="3210">
        <v>7610</v>
      </c>
      <c r="D259" s="3210">
        <v>7570</v>
      </c>
      <c r="E259" s="3210">
        <v>9350</v>
      </c>
      <c r="F259" s="3210">
        <v>1350</v>
      </c>
      <c r="G259" s="3210">
        <v>4650</v>
      </c>
    </row>
    <row r="260" spans="1:7" s="3199" customFormat="1" ht="14.25" customHeight="1">
      <c r="A260" s="3210" t="s">
        <v>305</v>
      </c>
      <c r="B260" s="3210" t="s">
        <v>3115</v>
      </c>
      <c r="C260" s="3210">
        <v>6920</v>
      </c>
      <c r="D260" s="3210">
        <v>6880</v>
      </c>
      <c r="E260" s="3210">
        <v>8380</v>
      </c>
      <c r="F260" s="3210">
        <v>1160</v>
      </c>
      <c r="G260" s="3210">
        <v>4220</v>
      </c>
    </row>
    <row r="261" spans="1:7" s="3199" customFormat="1" ht="14.25" customHeight="1">
      <c r="A261" s="3210" t="s">
        <v>305</v>
      </c>
      <c r="B261" s="3210" t="s">
        <v>3116</v>
      </c>
      <c r="C261" s="3210">
        <v>6850</v>
      </c>
      <c r="D261" s="3210">
        <v>6810</v>
      </c>
      <c r="E261" s="3210">
        <v>8290</v>
      </c>
      <c r="F261" s="3210">
        <v>1130</v>
      </c>
      <c r="G261" s="3210">
        <v>4180</v>
      </c>
    </row>
    <row r="262" spans="1:7" s="3199" customFormat="1" ht="14.25" customHeight="1">
      <c r="A262" s="3210" t="s">
        <v>305</v>
      </c>
      <c r="B262" s="3210" t="s">
        <v>3117</v>
      </c>
      <c r="C262" s="3210">
        <v>5860</v>
      </c>
      <c r="D262" s="3210">
        <v>5820</v>
      </c>
      <c r="E262" s="3210">
        <v>7640</v>
      </c>
      <c r="F262" s="3210">
        <v>1070</v>
      </c>
      <c r="G262" s="3210">
        <v>3570</v>
      </c>
    </row>
    <row r="263" spans="1:7" s="3199" customFormat="1" ht="14.25" customHeight="1">
      <c r="A263" s="3210" t="s">
        <v>305</v>
      </c>
      <c r="B263" s="3210" t="s">
        <v>3118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3119</v>
      </c>
      <c r="C265" s="3210"/>
      <c r="D265" s="3210"/>
      <c r="E265" s="3210"/>
      <c r="F265" s="3210">
        <v>1500</v>
      </c>
      <c r="G265" s="3210"/>
    </row>
    <row r="266" spans="1:7" s="3199" customFormat="1" ht="14.25" customHeight="1">
      <c r="A266" s="3210" t="s">
        <v>305</v>
      </c>
      <c r="B266" s="3210" t="s">
        <v>3120</v>
      </c>
      <c r="C266" s="3210"/>
      <c r="D266" s="3210"/>
      <c r="E266" s="3210"/>
      <c r="F266" s="3210">
        <v>1500</v>
      </c>
      <c r="G266" s="3210"/>
    </row>
    <row r="267" spans="1:7" s="3199" customFormat="1" ht="14.25" customHeight="1">
      <c r="A267" s="3210" t="s">
        <v>305</v>
      </c>
      <c r="B267" s="3210" t="s">
        <v>3121</v>
      </c>
      <c r="C267" s="3210"/>
      <c r="D267" s="3210"/>
      <c r="E267" s="3210"/>
      <c r="F267" s="3210">
        <v>1500</v>
      </c>
      <c r="G267" s="3210"/>
    </row>
    <row r="268" spans="1:7" s="3199" customFormat="1" ht="14.25" customHeight="1">
      <c r="A268" s="3210" t="s">
        <v>305</v>
      </c>
      <c r="B268" s="3210" t="s">
        <v>3122</v>
      </c>
      <c r="C268" s="3210"/>
      <c r="D268" s="3210"/>
      <c r="E268" s="3210"/>
      <c r="F268" s="3210">
        <v>1290</v>
      </c>
      <c r="G268" s="3210"/>
    </row>
    <row r="269" spans="1:7" s="3199" customFormat="1" ht="14.25" customHeight="1">
      <c r="A269" s="3210" t="s">
        <v>305</v>
      </c>
      <c r="B269" s="3210" t="s">
        <v>3123</v>
      </c>
      <c r="C269" s="3210"/>
      <c r="D269" s="3210"/>
      <c r="E269" s="3210"/>
      <c r="F269" s="3210">
        <v>1150</v>
      </c>
      <c r="G269" s="3210"/>
    </row>
    <row r="270" spans="1:7" s="3199" customFormat="1" ht="14.25" customHeight="1">
      <c r="A270" s="3210" t="s">
        <v>305</v>
      </c>
      <c r="B270" s="3210" t="s">
        <v>3124</v>
      </c>
      <c r="C270" s="3210"/>
      <c r="D270" s="3210"/>
      <c r="E270" s="3210"/>
      <c r="F270" s="3210">
        <v>1380</v>
      </c>
      <c r="G270" s="3210"/>
    </row>
    <row r="271" spans="1:7" s="3199" customFormat="1" ht="14.25" customHeight="1">
      <c r="A271" s="3210" t="s">
        <v>305</v>
      </c>
      <c r="B271" s="3210" t="s">
        <v>3125</v>
      </c>
      <c r="C271" s="3210"/>
      <c r="D271" s="3210"/>
      <c r="E271" s="3210"/>
      <c r="F271" s="3210">
        <v>1460</v>
      </c>
      <c r="G271" s="3210"/>
    </row>
    <row r="272" spans="1:7" s="3199" customFormat="1" ht="14.25" customHeight="1">
      <c r="A272" s="3210" t="s">
        <v>305</v>
      </c>
      <c r="B272" s="3210" t="s">
        <v>3126</v>
      </c>
      <c r="C272" s="3210"/>
      <c r="D272" s="3210"/>
      <c r="E272" s="3210"/>
      <c r="F272" s="3210">
        <v>1460</v>
      </c>
      <c r="G272" s="3210"/>
    </row>
    <row r="273" spans="1:7" s="3199" customFormat="1" ht="14.25" customHeight="1">
      <c r="A273" s="3210" t="s">
        <v>305</v>
      </c>
      <c r="B273" s="3210" t="s">
        <v>3019</v>
      </c>
      <c r="C273" s="3210"/>
      <c r="D273" s="3210"/>
      <c r="E273" s="3210"/>
      <c r="F273" s="3210">
        <v>1490</v>
      </c>
      <c r="G273" s="3210"/>
    </row>
    <row r="274" spans="1:7" s="3199" customFormat="1" ht="14.25" customHeight="1">
      <c r="A274" s="3210" t="s">
        <v>305</v>
      </c>
      <c r="B274" s="3210" t="s">
        <v>3127</v>
      </c>
      <c r="C274" s="3210"/>
      <c r="D274" s="3210"/>
      <c r="E274" s="3210"/>
      <c r="F274" s="3210">
        <v>1490</v>
      </c>
      <c r="G274" s="3210"/>
    </row>
    <row r="275" spans="1:7" s="3199" customFormat="1" ht="14.25" customHeight="1">
      <c r="A275" s="3210" t="s">
        <v>305</v>
      </c>
      <c r="B275" s="3210" t="s">
        <v>3128</v>
      </c>
      <c r="C275" s="3210"/>
      <c r="D275" s="3210"/>
      <c r="E275" s="3210"/>
      <c r="F275" s="3210">
        <v>1220</v>
      </c>
      <c r="G275" s="3210"/>
    </row>
    <row r="276" spans="1:7" s="3199" customFormat="1" ht="14.25" customHeight="1" thickBot="1">
      <c r="A276" s="3218" t="s">
        <v>305</v>
      </c>
      <c r="B276" s="3220" t="s">
        <v>3129</v>
      </c>
      <c r="C276" s="3221"/>
      <c r="D276" s="3221"/>
      <c r="E276" s="3221"/>
      <c r="F276" s="3221">
        <v>1380</v>
      </c>
      <c r="G276" s="3221"/>
    </row>
    <row r="277" spans="1:7" s="3199" customFormat="1" ht="14.25" customHeight="1">
      <c r="A277" s="3215" t="s">
        <v>306</v>
      </c>
      <c r="B277" s="3206" t="s">
        <v>3130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3131</v>
      </c>
      <c r="C279" s="3210">
        <v>4760</v>
      </c>
      <c r="D279" s="3210">
        <v>4720</v>
      </c>
      <c r="E279" s="3210">
        <v>5540</v>
      </c>
      <c r="F279" s="3210">
        <v>810</v>
      </c>
      <c r="G279" s="3223">
        <v>2850</v>
      </c>
    </row>
    <row r="280" spans="1:7" s="3199" customFormat="1" ht="14.25" customHeight="1">
      <c r="A280" s="3210" t="s">
        <v>306</v>
      </c>
      <c r="B280" s="3210" t="s">
        <v>3132</v>
      </c>
      <c r="C280" s="3210">
        <v>4010</v>
      </c>
      <c r="D280" s="3210">
        <v>3950</v>
      </c>
      <c r="E280" s="3210">
        <v>4710</v>
      </c>
      <c r="F280" s="3210">
        <v>800</v>
      </c>
      <c r="G280" s="3223">
        <v>2390</v>
      </c>
    </row>
    <row r="281" spans="1:7" s="3199" customFormat="1" ht="14.25" customHeight="1">
      <c r="A281" s="3210" t="s">
        <v>306</v>
      </c>
      <c r="B281" s="3210" t="s">
        <v>3133</v>
      </c>
      <c r="C281" s="3210">
        <v>4480</v>
      </c>
      <c r="D281" s="3210">
        <v>4420</v>
      </c>
      <c r="E281" s="3210">
        <v>5230</v>
      </c>
      <c r="F281" s="3210">
        <v>870</v>
      </c>
      <c r="G281" s="3223">
        <v>2660</v>
      </c>
    </row>
    <row r="282" spans="1:7" s="3199" customFormat="1" ht="14.25" customHeight="1">
      <c r="A282" s="3210" t="s">
        <v>306</v>
      </c>
      <c r="B282" s="3210" t="s">
        <v>3134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3135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3136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2911</v>
      </c>
      <c r="C293" s="3210">
        <v>5320</v>
      </c>
      <c r="D293" s="3210">
        <v>5270</v>
      </c>
      <c r="E293" s="3210">
        <v>6160</v>
      </c>
      <c r="F293" s="3210">
        <v>990</v>
      </c>
      <c r="G293" s="3223">
        <v>3170</v>
      </c>
    </row>
    <row r="294" spans="1:7" s="3199" customFormat="1" ht="14.25" customHeight="1">
      <c r="A294" s="3210" t="s">
        <v>306</v>
      </c>
      <c r="B294" s="3210" t="s">
        <v>3137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2930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3138</v>
      </c>
      <c r="C302" s="3210">
        <v>5520</v>
      </c>
      <c r="D302" s="3210">
        <v>5470</v>
      </c>
      <c r="E302" s="3210">
        <v>6410</v>
      </c>
      <c r="F302" s="3210">
        <v>950</v>
      </c>
      <c r="G302" s="3223">
        <v>3300</v>
      </c>
    </row>
    <row r="303" spans="1:7" s="3199" customFormat="1" ht="14.25" customHeight="1">
      <c r="A303" s="3210" t="s">
        <v>306</v>
      </c>
      <c r="B303" s="3210" t="s">
        <v>2950</v>
      </c>
      <c r="C303" s="3210">
        <v>5630</v>
      </c>
      <c r="D303" s="3210">
        <v>5590</v>
      </c>
      <c r="E303" s="3210">
        <v>6550</v>
      </c>
      <c r="F303" s="3210">
        <v>1010</v>
      </c>
      <c r="G303" s="3223">
        <v>3370</v>
      </c>
    </row>
    <row r="304" spans="1:7" s="3199" customFormat="1" ht="14.25" customHeight="1">
      <c r="A304" s="3210" t="s">
        <v>306</v>
      </c>
      <c r="B304" s="3210" t="s">
        <v>2957</v>
      </c>
      <c r="C304" s="3210">
        <v>5680</v>
      </c>
      <c r="D304" s="3210">
        <v>5620</v>
      </c>
      <c r="E304" s="3210">
        <v>6620</v>
      </c>
      <c r="F304" s="3210">
        <v>1050</v>
      </c>
      <c r="G304" s="3223">
        <v>3390</v>
      </c>
    </row>
    <row r="305" spans="1:7" s="3199" customFormat="1" ht="14.25" customHeight="1">
      <c r="A305" s="3210" t="s">
        <v>306</v>
      </c>
      <c r="B305" s="3210" t="s">
        <v>2963</v>
      </c>
      <c r="C305" s="3210">
        <v>5590</v>
      </c>
      <c r="D305" s="3210">
        <v>5530</v>
      </c>
      <c r="E305" s="3210">
        <v>6460</v>
      </c>
      <c r="F305" s="3210">
        <v>900</v>
      </c>
      <c r="G305" s="3223">
        <v>3340</v>
      </c>
    </row>
    <row r="306" spans="1:7" s="3199" customFormat="1" ht="14.25" customHeight="1">
      <c r="A306" s="3210" t="s">
        <v>306</v>
      </c>
      <c r="B306" s="3210" t="s">
        <v>3139</v>
      </c>
      <c r="C306" s="3210">
        <v>5560</v>
      </c>
      <c r="D306" s="3210">
        <v>5510</v>
      </c>
      <c r="E306" s="3210">
        <v>6440</v>
      </c>
      <c r="F306" s="3210">
        <v>900</v>
      </c>
      <c r="G306" s="3223">
        <v>3320</v>
      </c>
    </row>
    <row r="307" spans="1:7" s="3199" customFormat="1" ht="14.25" customHeight="1">
      <c r="A307" s="3210" t="s">
        <v>306</v>
      </c>
      <c r="B307" s="3210" t="s">
        <v>2975</v>
      </c>
      <c r="C307" s="3210">
        <v>5650</v>
      </c>
      <c r="D307" s="3210">
        <v>5600</v>
      </c>
      <c r="E307" s="3210">
        <v>6590</v>
      </c>
      <c r="F307" s="3210">
        <v>930</v>
      </c>
      <c r="G307" s="3223">
        <v>3380</v>
      </c>
    </row>
    <row r="308" spans="1:7" s="3199" customFormat="1" ht="14.25" customHeight="1">
      <c r="A308" s="3210" t="s">
        <v>306</v>
      </c>
      <c r="B308" s="3210" t="s">
        <v>3140</v>
      </c>
      <c r="C308" s="3210">
        <v>5620</v>
      </c>
      <c r="D308" s="3210">
        <v>5580</v>
      </c>
      <c r="E308" s="3210">
        <v>6540</v>
      </c>
      <c r="F308" s="3210">
        <v>910</v>
      </c>
      <c r="G308" s="3223">
        <v>3370</v>
      </c>
    </row>
    <row r="309" spans="1:7" s="3199" customFormat="1" ht="14.25" customHeight="1">
      <c r="A309" s="3210" t="s">
        <v>306</v>
      </c>
      <c r="B309" s="3210" t="s">
        <v>3141</v>
      </c>
      <c r="C309" s="3210">
        <v>5060</v>
      </c>
      <c r="D309" s="3210">
        <v>5020</v>
      </c>
      <c r="E309" s="3210">
        <v>6370</v>
      </c>
      <c r="F309" s="3210">
        <v>800</v>
      </c>
      <c r="G309" s="3223">
        <v>3020</v>
      </c>
    </row>
    <row r="310" spans="1:7" s="3199" customFormat="1" ht="14.25" customHeight="1">
      <c r="A310" s="3210" t="s">
        <v>306</v>
      </c>
      <c r="B310" s="3210" t="s">
        <v>2990</v>
      </c>
      <c r="C310" s="3210">
        <v>5150</v>
      </c>
      <c r="D310" s="3210">
        <v>5110</v>
      </c>
      <c r="E310" s="3210">
        <v>6500</v>
      </c>
      <c r="F310" s="3210">
        <v>880</v>
      </c>
      <c r="G310" s="3223">
        <v>3080</v>
      </c>
    </row>
    <row r="311" spans="1:7" s="3199" customFormat="1" ht="14.25" customHeight="1">
      <c r="A311" s="3210" t="s">
        <v>306</v>
      </c>
      <c r="B311" s="3210" t="s">
        <v>3142</v>
      </c>
      <c r="C311" s="3210">
        <v>4750</v>
      </c>
      <c r="D311" s="3210">
        <v>4710</v>
      </c>
      <c r="E311" s="3210">
        <v>5510</v>
      </c>
      <c r="F311" s="3210">
        <v>880</v>
      </c>
      <c r="G311" s="3223">
        <v>2840</v>
      </c>
    </row>
    <row r="312" spans="1:7" s="3199" customFormat="1" ht="14.25" customHeight="1">
      <c r="A312" s="3210" t="s">
        <v>306</v>
      </c>
      <c r="B312" s="3210" t="s">
        <v>3000</v>
      </c>
      <c r="C312" s="3210">
        <v>4690</v>
      </c>
      <c r="D312" s="3210">
        <v>4640</v>
      </c>
      <c r="E312" s="3210">
        <v>5420</v>
      </c>
      <c r="F312" s="3210">
        <v>800</v>
      </c>
      <c r="G312" s="3223">
        <v>2800</v>
      </c>
    </row>
    <row r="313" spans="1:7" s="3199" customFormat="1" ht="14.25" customHeight="1">
      <c r="A313" s="3210" t="s">
        <v>306</v>
      </c>
      <c r="B313" s="3210" t="s">
        <v>3005</v>
      </c>
      <c r="C313" s="3210">
        <v>4810</v>
      </c>
      <c r="D313" s="3210">
        <v>4760</v>
      </c>
      <c r="E313" s="3210">
        <v>5550</v>
      </c>
      <c r="F313" s="3210">
        <v>920</v>
      </c>
      <c r="G313" s="3223">
        <v>2870</v>
      </c>
    </row>
    <row r="314" spans="1:7" s="3199" customFormat="1" ht="14.25" customHeight="1">
      <c r="A314" s="3210" t="s">
        <v>306</v>
      </c>
      <c r="B314" s="3210" t="s">
        <v>3143</v>
      </c>
      <c r="C314" s="3210"/>
      <c r="D314" s="3210"/>
      <c r="E314" s="3210"/>
      <c r="F314" s="3210">
        <v>1020</v>
      </c>
      <c r="G314" s="3223"/>
    </row>
    <row r="315" spans="1:7" s="3199" customFormat="1" ht="14.25" customHeight="1">
      <c r="A315" s="3210" t="s">
        <v>306</v>
      </c>
      <c r="B315" s="3210" t="s">
        <v>3144</v>
      </c>
      <c r="C315" s="3210"/>
      <c r="D315" s="3210"/>
      <c r="E315" s="3210"/>
      <c r="F315" s="3210">
        <v>1050</v>
      </c>
      <c r="G315" s="3223"/>
    </row>
    <row r="316" spans="1:7" s="3199" customFormat="1" ht="14.25" customHeight="1">
      <c r="A316" s="3210" t="s">
        <v>306</v>
      </c>
      <c r="B316" s="3210" t="s">
        <v>3020</v>
      </c>
      <c r="C316" s="3210"/>
      <c r="D316" s="3210"/>
      <c r="E316" s="3210"/>
      <c r="F316" s="3210">
        <v>900</v>
      </c>
      <c r="G316" s="3223"/>
    </row>
    <row r="317" spans="1:7" s="3199" customFormat="1" ht="14.25" customHeight="1">
      <c r="A317" s="3210" t="s">
        <v>306</v>
      </c>
      <c r="B317" s="3210" t="s">
        <v>3145</v>
      </c>
      <c r="C317" s="3210"/>
      <c r="D317" s="3210"/>
      <c r="E317" s="3210"/>
      <c r="F317" s="3210">
        <v>920</v>
      </c>
      <c r="G317" s="3223"/>
    </row>
    <row r="318" spans="1:7" s="3199" customFormat="1" ht="14.25" customHeight="1">
      <c r="A318" s="3210" t="s">
        <v>306</v>
      </c>
      <c r="B318" s="3210" t="s">
        <v>3146</v>
      </c>
      <c r="C318" s="3210"/>
      <c r="D318" s="3210"/>
      <c r="E318" s="3210"/>
      <c r="F318" s="3210">
        <v>1080</v>
      </c>
      <c r="G318" s="3223"/>
    </row>
    <row r="319" spans="1:7" s="3199" customFormat="1" ht="14.25" customHeight="1">
      <c r="A319" s="3210" t="s">
        <v>306</v>
      </c>
      <c r="B319" s="3210" t="s">
        <v>3033</v>
      </c>
      <c r="C319" s="3210"/>
      <c r="D319" s="3210"/>
      <c r="E319" s="3210"/>
      <c r="F319" s="3210">
        <v>1020</v>
      </c>
      <c r="G319" s="3223"/>
    </row>
    <row r="320" spans="1:7" s="3199" customFormat="1" ht="14.25" customHeight="1">
      <c r="A320" s="3210" t="s">
        <v>306</v>
      </c>
      <c r="B320" s="3210" t="s">
        <v>3036</v>
      </c>
      <c r="C320" s="3210"/>
      <c r="D320" s="3210"/>
      <c r="E320" s="3210"/>
      <c r="F320" s="3210">
        <v>1050</v>
      </c>
      <c r="G320" s="3223"/>
    </row>
    <row r="321" spans="1:7" s="3199" customFormat="1" ht="14.25" customHeight="1">
      <c r="A321" s="3210" t="s">
        <v>306</v>
      </c>
      <c r="B321" s="3210" t="s">
        <v>3038</v>
      </c>
      <c r="C321" s="3210"/>
      <c r="D321" s="3210"/>
      <c r="E321" s="3210"/>
      <c r="F321" s="3210">
        <v>960</v>
      </c>
      <c r="G321" s="3223"/>
    </row>
    <row r="322" spans="1:7" s="3199" customFormat="1" ht="14.25" customHeight="1">
      <c r="A322" s="3210" t="s">
        <v>306</v>
      </c>
      <c r="B322" s="3210" t="s">
        <v>3040</v>
      </c>
      <c r="C322" s="3210"/>
      <c r="D322" s="3210"/>
      <c r="E322" s="3210"/>
      <c r="F322" s="3210">
        <v>960</v>
      </c>
      <c r="G322" s="3223"/>
    </row>
    <row r="323" spans="1:7" s="3199" customFormat="1" ht="14.25" customHeight="1">
      <c r="A323" s="3210" t="s">
        <v>306</v>
      </c>
      <c r="B323" s="3210" t="s">
        <v>3042</v>
      </c>
      <c r="C323" s="3210"/>
      <c r="D323" s="3210"/>
      <c r="E323" s="3210"/>
      <c r="F323" s="3210">
        <v>880</v>
      </c>
      <c r="G323" s="3223"/>
    </row>
    <row r="324" spans="1:7" s="3199" customFormat="1" ht="14.25" customHeight="1">
      <c r="A324" s="3210" t="s">
        <v>306</v>
      </c>
      <c r="B324" s="3210" t="s">
        <v>3044</v>
      </c>
      <c r="C324" s="3210"/>
      <c r="D324" s="3210"/>
      <c r="E324" s="3210"/>
      <c r="F324" s="3210">
        <v>930</v>
      </c>
      <c r="G324" s="3223"/>
    </row>
    <row r="325" spans="1:7" s="3199" customFormat="1" ht="14.25" customHeight="1">
      <c r="A325" s="3210" t="s">
        <v>306</v>
      </c>
      <c r="B325" s="3211" t="s">
        <v>3046</v>
      </c>
      <c r="C325" s="3210"/>
      <c r="D325" s="3210"/>
      <c r="E325" s="3210"/>
      <c r="F325" s="3210">
        <v>900</v>
      </c>
      <c r="G325" s="3223"/>
    </row>
    <row r="326" spans="1:7" s="3199" customFormat="1" ht="14.25" customHeight="1" thickBot="1">
      <c r="A326" s="3224" t="s">
        <v>306</v>
      </c>
      <c r="B326" s="3217" t="s">
        <v>3048</v>
      </c>
      <c r="C326" s="3217"/>
      <c r="D326" s="3217"/>
      <c r="E326" s="3217"/>
      <c r="F326" s="3217">
        <v>790</v>
      </c>
      <c r="G326" s="3225"/>
    </row>
    <row r="327" spans="1:7" s="3199" customFormat="1" ht="14.25" customHeight="1">
      <c r="A327" s="3215" t="s">
        <v>307</v>
      </c>
      <c r="B327" s="3206" t="s">
        <v>3147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3148</v>
      </c>
      <c r="C329" s="3210">
        <v>2730</v>
      </c>
      <c r="D329" s="3210">
        <v>2690</v>
      </c>
      <c r="E329" s="3210">
        <v>3100</v>
      </c>
      <c r="F329" s="3210">
        <v>660</v>
      </c>
      <c r="G329" s="3210">
        <v>1610</v>
      </c>
    </row>
    <row r="330" spans="1:7" s="3199" customFormat="1" ht="14.25" customHeight="1">
      <c r="A330" s="3210" t="s">
        <v>307</v>
      </c>
      <c r="B330" s="3210" t="s">
        <v>3149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2882</v>
      </c>
      <c r="C332" s="3210">
        <v>3520</v>
      </c>
      <c r="D332" s="3210">
        <v>3480</v>
      </c>
      <c r="E332" s="3210">
        <v>3830</v>
      </c>
      <c r="F332" s="3210">
        <v>720</v>
      </c>
      <c r="G332" s="3210">
        <v>2090</v>
      </c>
    </row>
    <row r="333" spans="1:7" s="3199" customFormat="1" ht="14.25" customHeight="1">
      <c r="A333" s="3210" t="s">
        <v>307</v>
      </c>
      <c r="B333" s="3210" t="s">
        <v>3150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2892</v>
      </c>
      <c r="C336" s="3210">
        <v>3570</v>
      </c>
      <c r="D336" s="3210">
        <v>3530</v>
      </c>
      <c r="E336" s="3210">
        <v>3880</v>
      </c>
      <c r="F336" s="3210">
        <v>770</v>
      </c>
      <c r="G336" s="3210">
        <v>2110</v>
      </c>
    </row>
    <row r="337" spans="1:10" s="3199" customFormat="1" ht="14.25" customHeight="1">
      <c r="A337" s="3210" t="s">
        <v>307</v>
      </c>
      <c r="B337" s="3210" t="s">
        <v>3151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3152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3153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2917</v>
      </c>
      <c r="C345" s="3210">
        <v>3190</v>
      </c>
      <c r="D345" s="3210">
        <v>3140</v>
      </c>
      <c r="E345" s="3210">
        <v>3450</v>
      </c>
      <c r="F345" s="3210">
        <v>720</v>
      </c>
      <c r="G345" s="3210">
        <v>1880</v>
      </c>
      <c r="J345" s="3199"/>
    </row>
    <row r="346" spans="1:10">
      <c r="A346" s="3210" t="s">
        <v>307</v>
      </c>
      <c r="B346" s="3210" t="s">
        <v>3154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2926</v>
      </c>
      <c r="C348" s="3210">
        <v>4000</v>
      </c>
      <c r="D348" s="3210">
        <v>3950</v>
      </c>
      <c r="E348" s="3210">
        <v>4430</v>
      </c>
      <c r="F348" s="3210">
        <v>760</v>
      </c>
      <c r="G348" s="3210">
        <v>2360</v>
      </c>
      <c r="J348" s="3199"/>
    </row>
    <row r="349" spans="1:10">
      <c r="A349" s="3210" t="s">
        <v>307</v>
      </c>
      <c r="B349" s="3210" t="s">
        <v>2931</v>
      </c>
      <c r="C349" s="3210">
        <v>3820</v>
      </c>
      <c r="D349" s="3210">
        <v>3780</v>
      </c>
      <c r="E349" s="3210">
        <v>4170</v>
      </c>
      <c r="F349" s="3210">
        <v>710</v>
      </c>
      <c r="G349" s="3210">
        <v>2260</v>
      </c>
      <c r="J349" s="3199"/>
    </row>
    <row r="350" spans="1:10">
      <c r="A350" s="3210" t="s">
        <v>307</v>
      </c>
      <c r="B350" s="3210" t="s">
        <v>3155</v>
      </c>
      <c r="C350" s="3210">
        <v>3760</v>
      </c>
      <c r="D350" s="3210">
        <v>3730</v>
      </c>
      <c r="E350" s="3210">
        <v>4100</v>
      </c>
      <c r="F350" s="3210">
        <v>800</v>
      </c>
      <c r="G350" s="3210">
        <v>2230</v>
      </c>
      <c r="J350" s="3199"/>
    </row>
    <row r="351" spans="1:10">
      <c r="A351" s="3210" t="s">
        <v>307</v>
      </c>
      <c r="B351" s="3210" t="s">
        <v>2939</v>
      </c>
      <c r="C351" s="3210">
        <v>3610</v>
      </c>
      <c r="D351" s="3210">
        <v>3580</v>
      </c>
      <c r="E351" s="3210">
        <v>3930</v>
      </c>
      <c r="F351" s="3210">
        <v>700</v>
      </c>
      <c r="G351" s="3210">
        <v>2140</v>
      </c>
      <c r="J351" s="3199"/>
    </row>
    <row r="352" spans="1:10">
      <c r="A352" s="3210" t="s">
        <v>307</v>
      </c>
      <c r="B352" s="3210" t="s">
        <v>2944</v>
      </c>
      <c r="C352" s="3210">
        <v>3670</v>
      </c>
      <c r="D352" s="3210">
        <v>3630</v>
      </c>
      <c r="E352" s="3210">
        <v>4000</v>
      </c>
      <c r="F352" s="3210">
        <v>750</v>
      </c>
      <c r="G352" s="3210">
        <v>2180</v>
      </c>
    </row>
    <row r="353" spans="1:7" s="3203" customFormat="1">
      <c r="A353" s="3210" t="s">
        <v>307</v>
      </c>
      <c r="B353" s="3210" t="s">
        <v>3156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2964</v>
      </c>
      <c r="C355" s="3210">
        <v>3650</v>
      </c>
      <c r="D355" s="3210">
        <v>3610</v>
      </c>
      <c r="E355" s="3210">
        <v>4200</v>
      </c>
      <c r="F355" s="3210">
        <v>640</v>
      </c>
      <c r="G355" s="3210">
        <v>2160</v>
      </c>
    </row>
    <row r="356" spans="1:7" s="3203" customFormat="1">
      <c r="A356" s="3210" t="s">
        <v>307</v>
      </c>
      <c r="B356" s="3210" t="s">
        <v>2971</v>
      </c>
      <c r="C356" s="3210">
        <v>3260</v>
      </c>
      <c r="D356" s="3210">
        <v>3230</v>
      </c>
      <c r="E356" s="3210">
        <v>3740</v>
      </c>
      <c r="F356" s="3210">
        <v>600</v>
      </c>
      <c r="G356" s="3210">
        <v>1930</v>
      </c>
    </row>
    <row r="357" spans="1:7" s="3203" customFormat="1" ht="12" thickBot="1">
      <c r="A357" s="3218" t="s">
        <v>307</v>
      </c>
      <c r="B357" s="3221" t="s">
        <v>3157</v>
      </c>
      <c r="C357" s="3221">
        <v>3690</v>
      </c>
      <c r="D357" s="3221">
        <v>3650</v>
      </c>
      <c r="E357" s="3221">
        <v>4020</v>
      </c>
      <c r="F357" s="3221">
        <v>700</v>
      </c>
      <c r="G357" s="3221">
        <v>2190</v>
      </c>
    </row>
    <row r="358" spans="1:7" s="3203" customFormat="1">
      <c r="A358" s="3215" t="s">
        <v>3158</v>
      </c>
      <c r="B358" s="3206" t="s">
        <v>3159</v>
      </c>
      <c r="C358" s="3206">
        <v>2080</v>
      </c>
      <c r="D358" s="3206">
        <v>2040</v>
      </c>
      <c r="E358" s="3206">
        <v>2010</v>
      </c>
      <c r="F358" s="3206">
        <v>530</v>
      </c>
      <c r="G358" s="3222">
        <v>1230</v>
      </c>
    </row>
    <row r="359" spans="1:7" s="3203" customFormat="1">
      <c r="A359" s="3210" t="s">
        <v>3158</v>
      </c>
      <c r="B359" s="3210" t="s">
        <v>3160</v>
      </c>
      <c r="C359" s="3210">
        <v>1850</v>
      </c>
      <c r="D359" s="3210">
        <v>1820</v>
      </c>
      <c r="E359" s="3210">
        <v>1780</v>
      </c>
      <c r="F359" s="3210">
        <v>520</v>
      </c>
      <c r="G359" s="3223">
        <v>1100</v>
      </c>
    </row>
    <row r="360" spans="1:7" s="3203" customFormat="1">
      <c r="A360" s="3210" t="s">
        <v>3158</v>
      </c>
      <c r="B360" s="3210" t="s">
        <v>3161</v>
      </c>
      <c r="C360" s="3210">
        <v>2020</v>
      </c>
      <c r="D360" s="3210">
        <v>1990</v>
      </c>
      <c r="E360" s="3210">
        <v>1950</v>
      </c>
      <c r="F360" s="3210">
        <v>500</v>
      </c>
      <c r="G360" s="3223">
        <v>1200</v>
      </c>
    </row>
    <row r="361" spans="1:7" s="3203" customFormat="1">
      <c r="A361" s="3210" t="s">
        <v>3158</v>
      </c>
      <c r="B361" s="3210" t="s">
        <v>153</v>
      </c>
      <c r="C361" s="3210">
        <v>2260</v>
      </c>
      <c r="D361" s="3210">
        <v>2220</v>
      </c>
      <c r="E361" s="3210">
        <v>2180</v>
      </c>
      <c r="F361" s="3210">
        <v>580</v>
      </c>
      <c r="G361" s="3223">
        <v>1340</v>
      </c>
    </row>
    <row r="362" spans="1:7" s="3203" customFormat="1">
      <c r="A362" s="3210" t="s">
        <v>3158</v>
      </c>
      <c r="B362" s="3210" t="s">
        <v>3162</v>
      </c>
      <c r="C362" s="3210">
        <v>2650</v>
      </c>
      <c r="D362" s="3210">
        <v>2610</v>
      </c>
      <c r="E362" s="3210">
        <v>2570</v>
      </c>
      <c r="F362" s="3210">
        <v>630</v>
      </c>
      <c r="G362" s="3223">
        <v>1570</v>
      </c>
    </row>
    <row r="363" spans="1:7" s="3203" customFormat="1">
      <c r="A363" s="3210" t="s">
        <v>3158</v>
      </c>
      <c r="B363" s="3210" t="s">
        <v>2883</v>
      </c>
      <c r="C363" s="3210">
        <v>2390</v>
      </c>
      <c r="D363" s="3210">
        <v>2360</v>
      </c>
      <c r="E363" s="3210">
        <v>2320</v>
      </c>
      <c r="F363" s="3210">
        <v>600</v>
      </c>
      <c r="G363" s="3223">
        <v>1420</v>
      </c>
    </row>
    <row r="364" spans="1:7" s="3203" customFormat="1">
      <c r="A364" s="3210" t="s">
        <v>3158</v>
      </c>
      <c r="B364" s="3210" t="s">
        <v>3163</v>
      </c>
      <c r="C364" s="3210">
        <v>2050</v>
      </c>
      <c r="D364" s="3210">
        <v>2030</v>
      </c>
      <c r="E364" s="3210">
        <v>1990</v>
      </c>
      <c r="F364" s="3210">
        <v>550</v>
      </c>
      <c r="G364" s="3223">
        <v>1220</v>
      </c>
    </row>
    <row r="365" spans="1:7" s="3203" customFormat="1">
      <c r="A365" s="3210" t="s">
        <v>3158</v>
      </c>
      <c r="B365" s="3210" t="s">
        <v>200</v>
      </c>
      <c r="C365" s="3210">
        <v>2140</v>
      </c>
      <c r="D365" s="3210">
        <v>2100</v>
      </c>
      <c r="E365" s="3210">
        <v>2060</v>
      </c>
      <c r="F365" s="3210">
        <v>540</v>
      </c>
      <c r="G365" s="3223">
        <v>1270</v>
      </c>
    </row>
    <row r="366" spans="1:7" s="3203" customFormat="1">
      <c r="A366" s="3210" t="s">
        <v>3158</v>
      </c>
      <c r="B366" s="3210" t="s">
        <v>2890</v>
      </c>
      <c r="C366" s="3210">
        <v>2410</v>
      </c>
      <c r="D366" s="3210">
        <v>2370</v>
      </c>
      <c r="E366" s="3210">
        <v>2330</v>
      </c>
      <c r="F366" s="3210">
        <v>570</v>
      </c>
      <c r="G366" s="3223">
        <v>1440</v>
      </c>
    </row>
    <row r="367" spans="1:7" s="3203" customFormat="1">
      <c r="A367" s="3210" t="s">
        <v>3158</v>
      </c>
      <c r="B367" s="3210" t="s">
        <v>3164</v>
      </c>
      <c r="C367" s="3210">
        <v>2300</v>
      </c>
      <c r="D367" s="3210">
        <v>2260</v>
      </c>
      <c r="E367" s="3210">
        <v>2220</v>
      </c>
      <c r="F367" s="3210">
        <v>560</v>
      </c>
      <c r="G367" s="3223">
        <v>1370</v>
      </c>
    </row>
    <row r="368" spans="1:7" s="3203" customFormat="1">
      <c r="A368" s="3210" t="s">
        <v>3158</v>
      </c>
      <c r="B368" s="3210" t="s">
        <v>3165</v>
      </c>
      <c r="C368" s="3210">
        <v>2430</v>
      </c>
      <c r="D368" s="3210">
        <v>2390</v>
      </c>
      <c r="E368" s="3210">
        <v>2350</v>
      </c>
      <c r="F368" s="3210">
        <v>570</v>
      </c>
      <c r="G368" s="3223">
        <v>1450</v>
      </c>
    </row>
    <row r="369" spans="1:7" s="3203" customFormat="1">
      <c r="A369" s="3210" t="s">
        <v>3158</v>
      </c>
      <c r="B369" s="3210" t="s">
        <v>214</v>
      </c>
      <c r="C369" s="3210">
        <v>2320</v>
      </c>
      <c r="D369" s="3210">
        <v>2290</v>
      </c>
      <c r="E369" s="3210">
        <v>2250</v>
      </c>
      <c r="F369" s="3210">
        <v>550</v>
      </c>
      <c r="G369" s="3223">
        <v>1380</v>
      </c>
    </row>
    <row r="370" spans="1:7" s="3203" customFormat="1">
      <c r="A370" s="3210" t="s">
        <v>3158</v>
      </c>
      <c r="B370" s="3210" t="s">
        <v>221</v>
      </c>
      <c r="C370" s="3210">
        <v>2190</v>
      </c>
      <c r="D370" s="3210">
        <v>2170</v>
      </c>
      <c r="E370" s="3210">
        <v>2130</v>
      </c>
      <c r="F370" s="3210">
        <v>530</v>
      </c>
      <c r="G370" s="3223">
        <v>1310</v>
      </c>
    </row>
    <row r="371" spans="1:7" s="3203" customFormat="1">
      <c r="A371" s="3210" t="s">
        <v>3158</v>
      </c>
      <c r="B371" s="3210" t="s">
        <v>229</v>
      </c>
      <c r="C371" s="3210">
        <v>2460</v>
      </c>
      <c r="D371" s="3210">
        <v>2420</v>
      </c>
      <c r="E371" s="3210">
        <v>2370</v>
      </c>
      <c r="F371" s="3210">
        <v>560</v>
      </c>
      <c r="G371" s="3223">
        <v>1470</v>
      </c>
    </row>
    <row r="372" spans="1:7" s="3203" customFormat="1">
      <c r="A372" s="3210" t="s">
        <v>3158</v>
      </c>
      <c r="B372" s="3210" t="s">
        <v>3166</v>
      </c>
      <c r="C372" s="3210">
        <v>2250</v>
      </c>
      <c r="D372" s="3210">
        <v>2210</v>
      </c>
      <c r="E372" s="3210">
        <v>2180</v>
      </c>
      <c r="F372" s="3210">
        <v>550</v>
      </c>
      <c r="G372" s="3223">
        <v>1340</v>
      </c>
    </row>
    <row r="373" spans="1:7" s="3203" customFormat="1">
      <c r="A373" s="3210" t="s">
        <v>3158</v>
      </c>
      <c r="B373" s="3210" t="s">
        <v>258</v>
      </c>
      <c r="C373" s="3210">
        <v>2210</v>
      </c>
      <c r="D373" s="3210">
        <v>2190</v>
      </c>
      <c r="E373" s="3210">
        <v>2150</v>
      </c>
      <c r="F373" s="3210">
        <v>530</v>
      </c>
      <c r="G373" s="3223">
        <v>1320</v>
      </c>
    </row>
    <row r="374" spans="1:7" s="3203" customFormat="1">
      <c r="A374" s="3210" t="s">
        <v>3158</v>
      </c>
      <c r="B374" s="3210" t="s">
        <v>266</v>
      </c>
      <c r="C374" s="3210">
        <v>2320</v>
      </c>
      <c r="D374" s="3210">
        <v>2280</v>
      </c>
      <c r="E374" s="3210">
        <v>2230</v>
      </c>
      <c r="F374" s="3210">
        <v>580</v>
      </c>
      <c r="G374" s="3223">
        <v>1380</v>
      </c>
    </row>
    <row r="375" spans="1:7" s="3203" customFormat="1">
      <c r="A375" s="3210" t="s">
        <v>3158</v>
      </c>
      <c r="B375" s="3210" t="s">
        <v>3167</v>
      </c>
      <c r="C375" s="3210">
        <v>2090</v>
      </c>
      <c r="D375" s="3210">
        <v>2050</v>
      </c>
      <c r="E375" s="3210">
        <v>2020</v>
      </c>
      <c r="F375" s="3210">
        <v>520</v>
      </c>
      <c r="G375" s="3223">
        <v>1240</v>
      </c>
    </row>
    <row r="376" spans="1:7" s="3203" customFormat="1">
      <c r="A376" s="3210" t="s">
        <v>3158</v>
      </c>
      <c r="B376" s="3210" t="s">
        <v>277</v>
      </c>
      <c r="C376" s="3210">
        <v>2010</v>
      </c>
      <c r="D376" s="3210">
        <v>1980</v>
      </c>
      <c r="E376" s="3210">
        <v>1940</v>
      </c>
      <c r="F376" s="3210">
        <v>540</v>
      </c>
      <c r="G376" s="3223">
        <v>1190</v>
      </c>
    </row>
    <row r="377" spans="1:7" s="3203" customFormat="1" ht="12" thickBot="1">
      <c r="A377" s="3218" t="s">
        <v>3158</v>
      </c>
      <c r="B377" s="3221" t="s">
        <v>2920</v>
      </c>
      <c r="C377" s="3221">
        <v>1930</v>
      </c>
      <c r="D377" s="3221">
        <v>1890</v>
      </c>
      <c r="E377" s="3221">
        <v>1860</v>
      </c>
      <c r="F377" s="3221">
        <v>530</v>
      </c>
      <c r="G377" s="3226">
        <v>1150</v>
      </c>
    </row>
    <row r="378" spans="1:7" s="3203" customFormat="1">
      <c r="A378" s="3227" t="s">
        <v>3168</v>
      </c>
      <c r="B378" s="3206" t="s">
        <v>3169</v>
      </c>
      <c r="C378" s="3206">
        <v>1520</v>
      </c>
      <c r="D378" s="3206">
        <v>1490</v>
      </c>
      <c r="E378" s="3206">
        <v>1460</v>
      </c>
      <c r="F378" s="3206">
        <v>460</v>
      </c>
      <c r="G378" s="3222">
        <v>940</v>
      </c>
    </row>
    <row r="379" spans="1:7" s="3203" customFormat="1">
      <c r="A379" s="3228" t="s">
        <v>3168</v>
      </c>
      <c r="B379" s="3210" t="s">
        <v>3170</v>
      </c>
      <c r="C379" s="3210">
        <v>1500</v>
      </c>
      <c r="D379" s="3210">
        <v>1470</v>
      </c>
      <c r="E379" s="3210">
        <v>1430</v>
      </c>
      <c r="F379" s="3210">
        <v>460</v>
      </c>
      <c r="G379" s="3223">
        <v>920</v>
      </c>
    </row>
    <row r="380" spans="1:7" s="3203" customFormat="1">
      <c r="A380" s="3228" t="s">
        <v>3168</v>
      </c>
      <c r="B380" s="3210" t="s">
        <v>3171</v>
      </c>
      <c r="C380" s="3210">
        <v>1620</v>
      </c>
      <c r="D380" s="3210">
        <v>1590</v>
      </c>
      <c r="E380" s="3210">
        <v>1560</v>
      </c>
      <c r="F380" s="3210">
        <v>480</v>
      </c>
      <c r="G380" s="3223">
        <v>1000</v>
      </c>
    </row>
    <row r="381" spans="1:7" s="3203" customFormat="1">
      <c r="A381" s="3228" t="s">
        <v>3168</v>
      </c>
      <c r="B381" s="3210" t="s">
        <v>3172</v>
      </c>
      <c r="C381" s="3210">
        <v>1460</v>
      </c>
      <c r="D381" s="3210">
        <v>1430</v>
      </c>
      <c r="E381" s="3210">
        <v>1390</v>
      </c>
      <c r="F381" s="3210">
        <v>450</v>
      </c>
      <c r="G381" s="3223">
        <v>900</v>
      </c>
    </row>
    <row r="382" spans="1:7" s="3203" customFormat="1">
      <c r="A382" s="3228" t="s">
        <v>3168</v>
      </c>
      <c r="B382" s="3210" t="s">
        <v>3173</v>
      </c>
      <c r="C382" s="3210">
        <v>1310</v>
      </c>
      <c r="D382" s="3210">
        <v>1280</v>
      </c>
      <c r="E382" s="3210">
        <v>1250</v>
      </c>
      <c r="F382" s="3210">
        <v>440</v>
      </c>
      <c r="G382" s="3223">
        <v>800</v>
      </c>
    </row>
    <row r="383" spans="1:7" s="3203" customFormat="1">
      <c r="A383" s="3228" t="s">
        <v>3168</v>
      </c>
      <c r="B383" s="3210" t="s">
        <v>3174</v>
      </c>
      <c r="C383" s="3210">
        <v>1260</v>
      </c>
      <c r="D383" s="3210">
        <v>1230</v>
      </c>
      <c r="E383" s="3210">
        <v>1200</v>
      </c>
      <c r="F383" s="3210">
        <v>420</v>
      </c>
      <c r="G383" s="3223">
        <v>770</v>
      </c>
    </row>
    <row r="384" spans="1:7" s="3203" customFormat="1" ht="12" thickBot="1">
      <c r="A384" s="3229" t="s">
        <v>3168</v>
      </c>
      <c r="B384" s="3217" t="s">
        <v>3175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823" t="s">
        <v>3176</v>
      </c>
      <c r="B1" s="3823"/>
    </row>
    <row r="2" spans="1:7" ht="14.25" thickBot="1">
      <c r="A2" s="3232"/>
      <c r="B2" s="3232"/>
    </row>
    <row r="3" spans="1:7" ht="14.25" thickBot="1">
      <c r="A3" s="3232"/>
      <c r="B3" s="3232"/>
      <c r="C3" s="3233" t="s">
        <v>2806</v>
      </c>
      <c r="D3" s="3233" t="s">
        <v>2862</v>
      </c>
      <c r="E3" s="3233" t="s">
        <v>2808</v>
      </c>
      <c r="F3" s="3233" t="s">
        <v>2863</v>
      </c>
      <c r="G3" s="3233" t="s">
        <v>2626</v>
      </c>
    </row>
    <row r="4" spans="1:7" ht="14.25" thickBot="1">
      <c r="A4" s="3234" t="s">
        <v>2861</v>
      </c>
      <c r="B4" s="3235" t="s">
        <v>2867</v>
      </c>
      <c r="C4" s="3233"/>
      <c r="D4" s="3233"/>
      <c r="E4" s="3233"/>
      <c r="F4" s="3233"/>
      <c r="G4" s="3233"/>
    </row>
    <row r="5" spans="1:7">
      <c r="A5" s="3236" t="s">
        <v>2835</v>
      </c>
      <c r="B5" s="3237" t="s">
        <v>2849</v>
      </c>
      <c r="C5" s="3238">
        <v>9.8000000000000004E-2</v>
      </c>
      <c r="D5" s="3238">
        <v>8.6999999999999994E-2</v>
      </c>
      <c r="E5" s="3238">
        <v>8.6999999999999994E-2</v>
      </c>
      <c r="F5" s="3238">
        <v>9.8000000000000004E-2</v>
      </c>
      <c r="G5" s="3239">
        <v>9.5000000000000001E-2</v>
      </c>
    </row>
    <row r="6" spans="1:7">
      <c r="A6" s="3240" t="s">
        <v>144</v>
      </c>
      <c r="B6" s="3241" t="s">
        <v>2864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2850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2900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2918</v>
      </c>
      <c r="C29" s="3250"/>
      <c r="D29" s="3246">
        <v>5.1999999999999998E-2</v>
      </c>
      <c r="E29" s="3246">
        <v>7.0000000000000007E-2</v>
      </c>
      <c r="F29" s="3250"/>
      <c r="G29" s="3248">
        <v>7.0999999999999994E-2</v>
      </c>
    </row>
    <row r="30" spans="1:7">
      <c r="A30" s="3251" t="s">
        <v>296</v>
      </c>
      <c r="B30" s="3237" t="s">
        <v>2851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2837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2921</v>
      </c>
      <c r="C50" s="3242">
        <v>9.8000000000000004E-2</v>
      </c>
      <c r="D50" s="3242">
        <v>7.2999999999999995E-2</v>
      </c>
      <c r="E50" s="3242">
        <v>7.0999999999999994E-2</v>
      </c>
      <c r="F50" s="3253"/>
      <c r="G50" s="3243">
        <v>7.2999999999999995E-2</v>
      </c>
    </row>
    <row r="51" spans="1:7">
      <c r="A51" s="3252" t="s">
        <v>296</v>
      </c>
      <c r="B51" s="3241" t="s">
        <v>2923</v>
      </c>
      <c r="C51" s="3242">
        <v>9.9000000000000005E-2</v>
      </c>
      <c r="D51" s="3242">
        <v>8.5000000000000006E-2</v>
      </c>
      <c r="E51" s="3242">
        <v>6.3E-2</v>
      </c>
      <c r="F51" s="3253"/>
      <c r="G51" s="3243">
        <v>9.6000000000000002E-2</v>
      </c>
    </row>
    <row r="52" spans="1:7">
      <c r="A52" s="3252" t="s">
        <v>296</v>
      </c>
      <c r="B52" s="3241" t="s">
        <v>2927</v>
      </c>
      <c r="C52" s="3242">
        <v>7.3999999999999996E-2</v>
      </c>
      <c r="D52" s="3242">
        <v>9.6000000000000002E-2</v>
      </c>
      <c r="E52" s="3242">
        <v>0.05</v>
      </c>
      <c r="F52" s="3253"/>
      <c r="G52" s="3243">
        <v>9.8000000000000004E-2</v>
      </c>
    </row>
    <row r="53" spans="1:7">
      <c r="A53" s="3252" t="s">
        <v>296</v>
      </c>
      <c r="B53" s="3241" t="s">
        <v>2932</v>
      </c>
      <c r="C53" s="3242">
        <v>8.5999999999999993E-2</v>
      </c>
      <c r="D53" s="3253"/>
      <c r="E53" s="3242">
        <v>9.1999999999999998E-2</v>
      </c>
      <c r="F53" s="3253"/>
      <c r="G53" s="3254"/>
    </row>
    <row r="54" spans="1:7" ht="14.25" thickBot="1">
      <c r="A54" s="3255" t="s">
        <v>296</v>
      </c>
      <c r="B54" s="3245" t="s">
        <v>2935</v>
      </c>
      <c r="C54" s="3246">
        <v>9.6000000000000002E-2</v>
      </c>
      <c r="D54" s="3247"/>
      <c r="E54" s="3256"/>
      <c r="F54" s="3247"/>
      <c r="G54" s="3257"/>
    </row>
    <row r="55" spans="1:7">
      <c r="A55" s="3251" t="s">
        <v>110</v>
      </c>
      <c r="B55" s="3237" t="s">
        <v>2852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2933</v>
      </c>
      <c r="C78" s="3242">
        <v>0.1</v>
      </c>
      <c r="D78" s="3242">
        <v>8.5000000000000006E-2</v>
      </c>
      <c r="E78" s="3242">
        <v>9.6000000000000002E-2</v>
      </c>
      <c r="F78" s="3253"/>
      <c r="G78" s="3243">
        <v>9.6000000000000002E-2</v>
      </c>
    </row>
    <row r="79" spans="1:7">
      <c r="A79" s="3252" t="s">
        <v>110</v>
      </c>
      <c r="B79" s="3241" t="s">
        <v>2936</v>
      </c>
      <c r="C79" s="3242">
        <v>0.05</v>
      </c>
      <c r="D79" s="3242">
        <v>9.6000000000000002E-2</v>
      </c>
      <c r="E79" s="3242">
        <v>9.5000000000000001E-2</v>
      </c>
      <c r="F79" s="3253"/>
      <c r="G79" s="3243">
        <v>9.8000000000000004E-2</v>
      </c>
    </row>
    <row r="80" spans="1:7">
      <c r="A80" s="3252" t="s">
        <v>110</v>
      </c>
      <c r="B80" s="3241" t="s">
        <v>2940</v>
      </c>
      <c r="C80" s="3242">
        <v>8.5999999999999993E-2</v>
      </c>
      <c r="D80" s="3258"/>
      <c r="E80" s="3242">
        <v>0.1</v>
      </c>
      <c r="F80" s="3253"/>
      <c r="G80" s="3254"/>
    </row>
    <row r="81" spans="1:7">
      <c r="A81" s="3252" t="s">
        <v>110</v>
      </c>
      <c r="B81" s="3241" t="s">
        <v>2945</v>
      </c>
      <c r="C81" s="3242">
        <v>9.6000000000000002E-2</v>
      </c>
      <c r="D81" s="3253"/>
      <c r="E81" s="3242">
        <v>9.8000000000000004E-2</v>
      </c>
      <c r="F81" s="3253"/>
      <c r="G81" s="3254"/>
    </row>
    <row r="82" spans="1:7">
      <c r="A82" s="3252" t="s">
        <v>110</v>
      </c>
      <c r="B82" s="3241" t="s">
        <v>2952</v>
      </c>
      <c r="C82" s="3258"/>
      <c r="D82" s="3253"/>
      <c r="E82" s="3242">
        <v>7.6999999999999999E-2</v>
      </c>
      <c r="F82" s="3253"/>
      <c r="G82" s="3254"/>
    </row>
    <row r="83" spans="1:7">
      <c r="A83" s="3252" t="s">
        <v>110</v>
      </c>
      <c r="B83" s="3241" t="s">
        <v>2958</v>
      </c>
      <c r="C83" s="3253"/>
      <c r="D83" s="3253"/>
      <c r="E83" s="3253"/>
      <c r="F83" s="3242">
        <v>0.1</v>
      </c>
      <c r="G83" s="3259"/>
    </row>
    <row r="84" spans="1:7">
      <c r="A84" s="3252" t="s">
        <v>110</v>
      </c>
      <c r="B84" s="3241" t="s">
        <v>2965</v>
      </c>
      <c r="C84" s="3253"/>
      <c r="D84" s="3253"/>
      <c r="E84" s="3253"/>
      <c r="F84" s="3242">
        <v>0.1</v>
      </c>
      <c r="G84" s="3259"/>
    </row>
    <row r="85" spans="1:7">
      <c r="A85" s="3252" t="s">
        <v>110</v>
      </c>
      <c r="B85" s="3241" t="s">
        <v>2972</v>
      </c>
      <c r="C85" s="3253"/>
      <c r="D85" s="3253"/>
      <c r="E85" s="3253"/>
      <c r="F85" s="3242">
        <v>0.1</v>
      </c>
      <c r="G85" s="3259"/>
    </row>
    <row r="86" spans="1:7" ht="14.25" thickBot="1">
      <c r="A86" s="3255" t="s">
        <v>110</v>
      </c>
      <c r="B86" s="3245" t="s">
        <v>2977</v>
      </c>
      <c r="C86" s="3246">
        <v>9.8000000000000004E-2</v>
      </c>
      <c r="D86" s="3246">
        <v>9.8000000000000004E-2</v>
      </c>
      <c r="E86" s="3246">
        <v>9.6000000000000002E-2</v>
      </c>
      <c r="F86" s="3256"/>
      <c r="G86" s="3248">
        <v>0.1</v>
      </c>
    </row>
    <row r="87" spans="1:7">
      <c r="A87" s="3251" t="s">
        <v>303</v>
      </c>
      <c r="B87" s="3237" t="s">
        <v>2853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2946</v>
      </c>
      <c r="C113" s="3242">
        <v>0.1</v>
      </c>
      <c r="D113" s="3242">
        <v>0.1</v>
      </c>
      <c r="E113" s="3253"/>
      <c r="F113" s="3253"/>
      <c r="G113" s="3243">
        <v>0.1</v>
      </c>
    </row>
    <row r="114" spans="1:7">
      <c r="A114" s="3252" t="s">
        <v>303</v>
      </c>
      <c r="B114" s="3241" t="s">
        <v>2953</v>
      </c>
      <c r="C114" s="3242">
        <v>9.7000000000000003E-2</v>
      </c>
      <c r="D114" s="3242">
        <v>9.7000000000000003E-2</v>
      </c>
      <c r="E114" s="3253"/>
      <c r="F114" s="3253"/>
      <c r="G114" s="3243">
        <v>9.9000000000000005E-2</v>
      </c>
    </row>
    <row r="115" spans="1:7">
      <c r="A115" s="3252" t="s">
        <v>303</v>
      </c>
      <c r="B115" s="3241" t="s">
        <v>2959</v>
      </c>
      <c r="C115" s="3242">
        <v>0.1</v>
      </c>
      <c r="D115" s="3242">
        <v>0.1</v>
      </c>
      <c r="E115" s="3253"/>
      <c r="F115" s="3253"/>
      <c r="G115" s="3243">
        <v>0.1</v>
      </c>
    </row>
    <row r="116" spans="1:7">
      <c r="A116" s="3252" t="s">
        <v>303</v>
      </c>
      <c r="B116" s="3241" t="s">
        <v>2966</v>
      </c>
      <c r="C116" s="3242">
        <v>0.1</v>
      </c>
      <c r="D116" s="3242">
        <v>0.1</v>
      </c>
      <c r="E116" s="3253"/>
      <c r="F116" s="3253"/>
      <c r="G116" s="3243">
        <v>0.1</v>
      </c>
    </row>
    <row r="117" spans="1:7">
      <c r="A117" s="3252" t="s">
        <v>303</v>
      </c>
      <c r="B117" s="3241" t="s">
        <v>2973</v>
      </c>
      <c r="C117" s="3242">
        <v>9.7000000000000003E-2</v>
      </c>
      <c r="D117" s="3242">
        <v>9.7000000000000003E-2</v>
      </c>
      <c r="E117" s="3253"/>
      <c r="F117" s="3253"/>
      <c r="G117" s="3243">
        <v>9.7000000000000003E-2</v>
      </c>
    </row>
    <row r="118" spans="1:7">
      <c r="A118" s="3252" t="s">
        <v>303</v>
      </c>
      <c r="B118" s="3241" t="s">
        <v>2978</v>
      </c>
      <c r="C118" s="3242">
        <v>0.1</v>
      </c>
      <c r="D118" s="3242">
        <v>0.1</v>
      </c>
      <c r="E118" s="3253"/>
      <c r="F118" s="3253"/>
      <c r="G118" s="3243">
        <v>0.1</v>
      </c>
    </row>
    <row r="119" spans="1:7">
      <c r="A119" s="3252" t="s">
        <v>303</v>
      </c>
      <c r="B119" s="3241" t="s">
        <v>2982</v>
      </c>
      <c r="C119" s="3242">
        <v>5.0999999999999997E-2</v>
      </c>
      <c r="D119" s="3242">
        <v>5.1999999999999998E-2</v>
      </c>
      <c r="E119" s="3253"/>
      <c r="F119" s="3258"/>
      <c r="G119" s="3243">
        <v>0.06</v>
      </c>
    </row>
    <row r="120" spans="1:7">
      <c r="A120" s="3252" t="s">
        <v>303</v>
      </c>
      <c r="B120" s="3241" t="s">
        <v>2986</v>
      </c>
      <c r="C120" s="3253"/>
      <c r="D120" s="3253"/>
      <c r="E120" s="3253"/>
      <c r="F120" s="3242">
        <v>0.1</v>
      </c>
      <c r="G120" s="3259"/>
    </row>
    <row r="121" spans="1:7">
      <c r="A121" s="3252" t="s">
        <v>303</v>
      </c>
      <c r="B121" s="3241" t="s">
        <v>2991</v>
      </c>
      <c r="C121" s="3253"/>
      <c r="D121" s="3253"/>
      <c r="E121" s="3253"/>
      <c r="F121" s="3242">
        <v>0.1</v>
      </c>
      <c r="G121" s="3259"/>
    </row>
    <row r="122" spans="1:7">
      <c r="A122" s="3252" t="s">
        <v>303</v>
      </c>
      <c r="B122" s="3241" t="s">
        <v>2996</v>
      </c>
      <c r="C122" s="3242">
        <v>0.1</v>
      </c>
      <c r="D122" s="3242">
        <v>0.1</v>
      </c>
      <c r="E122" s="3242">
        <v>9.8000000000000004E-2</v>
      </c>
      <c r="F122" s="3242">
        <v>0.1</v>
      </c>
      <c r="G122" s="3243">
        <v>0.1</v>
      </c>
    </row>
    <row r="123" spans="1:7">
      <c r="A123" s="3252" t="s">
        <v>303</v>
      </c>
      <c r="B123" s="3241" t="s">
        <v>3001</v>
      </c>
      <c r="C123" s="3242">
        <v>0.1</v>
      </c>
      <c r="D123" s="3242">
        <v>0.1</v>
      </c>
      <c r="E123" s="3242">
        <v>9.8000000000000004E-2</v>
      </c>
      <c r="F123" s="3242">
        <v>0.1</v>
      </c>
      <c r="G123" s="3243">
        <v>0.1</v>
      </c>
    </row>
    <row r="124" spans="1:7">
      <c r="A124" s="3252" t="s">
        <v>303</v>
      </c>
      <c r="B124" s="3241" t="s">
        <v>3006</v>
      </c>
      <c r="C124" s="3242">
        <v>0.1</v>
      </c>
      <c r="D124" s="3242">
        <v>0.1</v>
      </c>
      <c r="E124" s="3242">
        <v>9.8000000000000004E-2</v>
      </c>
      <c r="F124" s="3258"/>
      <c r="G124" s="3243">
        <v>0.1</v>
      </c>
    </row>
    <row r="125" spans="1:7">
      <c r="A125" s="3252" t="s">
        <v>303</v>
      </c>
      <c r="B125" s="3241" t="s">
        <v>3011</v>
      </c>
      <c r="C125" s="3242">
        <v>9.8000000000000004E-2</v>
      </c>
      <c r="D125" s="3242">
        <v>9.8000000000000004E-2</v>
      </c>
      <c r="E125" s="3242">
        <v>9.6000000000000002E-2</v>
      </c>
      <c r="F125" s="3258"/>
      <c r="G125" s="3243">
        <v>0.1</v>
      </c>
    </row>
    <row r="126" spans="1:7" ht="14.25" thickBot="1">
      <c r="A126" s="3255" t="s">
        <v>303</v>
      </c>
      <c r="B126" s="3245" t="s">
        <v>3177</v>
      </c>
      <c r="C126" s="3246">
        <v>0.1</v>
      </c>
      <c r="D126" s="3246">
        <v>0.1</v>
      </c>
      <c r="E126" s="3246">
        <v>9.8000000000000004E-2</v>
      </c>
      <c r="F126" s="3246">
        <v>0.1</v>
      </c>
      <c r="G126" s="3248">
        <v>0.1</v>
      </c>
    </row>
    <row r="127" spans="1:7">
      <c r="A127" s="3251" t="s">
        <v>29</v>
      </c>
      <c r="B127" s="3237" t="s">
        <v>2854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2924</v>
      </c>
      <c r="C148" s="3242">
        <v>0.13</v>
      </c>
      <c r="D148" s="3242">
        <v>0.13</v>
      </c>
      <c r="E148" s="3242">
        <v>0.13</v>
      </c>
      <c r="F148" s="3253"/>
      <c r="G148" s="3243">
        <v>0.13</v>
      </c>
    </row>
    <row r="149" spans="1:7">
      <c r="A149" s="3252" t="s">
        <v>29</v>
      </c>
      <c r="B149" s="3241" t="s">
        <v>2928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2947</v>
      </c>
      <c r="C153" s="3242">
        <v>0.13</v>
      </c>
      <c r="D153" s="3242">
        <v>0.13</v>
      </c>
      <c r="E153" s="3242">
        <v>0.13</v>
      </c>
      <c r="F153" s="3242">
        <v>0.13</v>
      </c>
      <c r="G153" s="3243">
        <v>0.13</v>
      </c>
    </row>
    <row r="154" spans="1:7">
      <c r="A154" s="3252" t="s">
        <v>29</v>
      </c>
      <c r="B154" s="3241" t="s">
        <v>2954</v>
      </c>
      <c r="C154" s="3242">
        <v>0.121</v>
      </c>
      <c r="D154" s="3242">
        <v>0.121</v>
      </c>
      <c r="E154" s="3242">
        <v>0.105</v>
      </c>
      <c r="F154" s="3242">
        <v>0.121</v>
      </c>
      <c r="G154" s="3243">
        <v>0.123</v>
      </c>
    </row>
    <row r="155" spans="1:7">
      <c r="A155" s="3252" t="s">
        <v>29</v>
      </c>
      <c r="B155" s="3241" t="s">
        <v>2960</v>
      </c>
      <c r="C155" s="3242">
        <v>0.1</v>
      </c>
      <c r="D155" s="3242">
        <v>0.1</v>
      </c>
      <c r="E155" s="3242">
        <v>0.1</v>
      </c>
      <c r="F155" s="3242">
        <v>0.1</v>
      </c>
      <c r="G155" s="3243">
        <v>0.1</v>
      </c>
    </row>
    <row r="156" spans="1:7">
      <c r="A156" s="3252" t="s">
        <v>29</v>
      </c>
      <c r="B156" s="3241" t="s">
        <v>2967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2987</v>
      </c>
      <c r="C160" s="3242">
        <v>0.13</v>
      </c>
      <c r="D160" s="3242">
        <v>0.13</v>
      </c>
      <c r="E160" s="3242">
        <v>0.124</v>
      </c>
      <c r="F160" s="3242">
        <v>0.126</v>
      </c>
      <c r="G160" s="3243">
        <v>0.13</v>
      </c>
    </row>
    <row r="161" spans="1:7">
      <c r="A161" s="3252" t="s">
        <v>29</v>
      </c>
      <c r="B161" s="3241" t="s">
        <v>2992</v>
      </c>
      <c r="C161" s="3242">
        <v>0.13</v>
      </c>
      <c r="D161" s="3242">
        <v>0.13</v>
      </c>
      <c r="E161" s="3242">
        <v>0.124</v>
      </c>
      <c r="F161" s="3242">
        <v>0.127</v>
      </c>
      <c r="G161" s="3243">
        <v>0.13</v>
      </c>
    </row>
    <row r="162" spans="1:7">
      <c r="A162" s="3252" t="s">
        <v>29</v>
      </c>
      <c r="B162" s="3241" t="s">
        <v>2997</v>
      </c>
      <c r="C162" s="3242">
        <v>0.1</v>
      </c>
      <c r="D162" s="3242">
        <v>0.1</v>
      </c>
      <c r="E162" s="3242">
        <v>0.1</v>
      </c>
      <c r="F162" s="3242">
        <v>0.121</v>
      </c>
      <c r="G162" s="3243">
        <v>0.105</v>
      </c>
    </row>
    <row r="163" spans="1:7">
      <c r="A163" s="3252" t="s">
        <v>29</v>
      </c>
      <c r="B163" s="3241" t="s">
        <v>3002</v>
      </c>
      <c r="C163" s="3242">
        <v>0.1</v>
      </c>
      <c r="D163" s="3242">
        <v>0.1</v>
      </c>
      <c r="E163" s="3242">
        <v>0.1</v>
      </c>
      <c r="F163" s="3242">
        <v>0.1</v>
      </c>
      <c r="G163" s="3243">
        <v>0.1</v>
      </c>
    </row>
    <row r="164" spans="1:7">
      <c r="A164" s="3252" t="s">
        <v>29</v>
      </c>
      <c r="B164" s="3241" t="s">
        <v>3007</v>
      </c>
      <c r="C164" s="3258"/>
      <c r="D164" s="3258"/>
      <c r="E164" s="3258"/>
      <c r="F164" s="3242">
        <v>0.1</v>
      </c>
      <c r="G164" s="3254"/>
    </row>
    <row r="165" spans="1:7">
      <c r="A165" s="3252" t="s">
        <v>29</v>
      </c>
      <c r="B165" s="3241" t="s">
        <v>3178</v>
      </c>
      <c r="C165" s="3242">
        <v>0.126</v>
      </c>
      <c r="D165" s="3242">
        <v>0.126</v>
      </c>
      <c r="E165" s="3242">
        <v>0.11899999999999999</v>
      </c>
      <c r="F165" s="3242">
        <v>0.13</v>
      </c>
      <c r="G165" s="3243">
        <v>0.128</v>
      </c>
    </row>
    <row r="166" spans="1:7">
      <c r="A166" s="3252" t="s">
        <v>29</v>
      </c>
      <c r="B166" s="3241" t="s">
        <v>3017</v>
      </c>
      <c r="C166" s="3242">
        <v>0.129</v>
      </c>
      <c r="D166" s="3242">
        <v>0.129</v>
      </c>
      <c r="E166" s="3242">
        <v>0.123</v>
      </c>
      <c r="F166" s="3242">
        <v>0.128</v>
      </c>
      <c r="G166" s="3243">
        <v>0.13</v>
      </c>
    </row>
    <row r="167" spans="1:7">
      <c r="A167" s="3252" t="s">
        <v>29</v>
      </c>
      <c r="B167" s="3241" t="s">
        <v>3021</v>
      </c>
      <c r="C167" s="3242">
        <v>0.125</v>
      </c>
      <c r="D167" s="3242">
        <v>0.125</v>
      </c>
      <c r="E167" s="3242">
        <v>0.11700000000000001</v>
      </c>
      <c r="F167" s="3242">
        <v>0.13</v>
      </c>
      <c r="G167" s="3243">
        <v>0.126</v>
      </c>
    </row>
    <row r="168" spans="1:7">
      <c r="A168" s="3252" t="s">
        <v>29</v>
      </c>
      <c r="B168" s="3241" t="s">
        <v>3026</v>
      </c>
      <c r="C168" s="3242">
        <v>0.128</v>
      </c>
      <c r="D168" s="3242">
        <v>0.128</v>
      </c>
      <c r="E168" s="3242">
        <v>0.123</v>
      </c>
      <c r="F168" s="3253"/>
      <c r="G168" s="3243">
        <v>0.13</v>
      </c>
    </row>
    <row r="169" spans="1:7">
      <c r="A169" s="3252" t="s">
        <v>29</v>
      </c>
      <c r="B169" s="3241" t="s">
        <v>3179</v>
      </c>
      <c r="C169" s="3258"/>
      <c r="D169" s="3258"/>
      <c r="E169" s="3258"/>
      <c r="F169" s="3242">
        <v>0.05</v>
      </c>
      <c r="G169" s="3254"/>
    </row>
    <row r="170" spans="1:7">
      <c r="A170" s="3252" t="s">
        <v>29</v>
      </c>
      <c r="B170" s="3241" t="s">
        <v>3180</v>
      </c>
      <c r="C170" s="3258"/>
      <c r="D170" s="3258"/>
      <c r="E170" s="3258"/>
      <c r="F170" s="3242">
        <v>0.05</v>
      </c>
      <c r="G170" s="3254"/>
    </row>
    <row r="171" spans="1:7">
      <c r="A171" s="3252" t="s">
        <v>29</v>
      </c>
      <c r="B171" s="3241" t="s">
        <v>3181</v>
      </c>
      <c r="C171" s="3258"/>
      <c r="D171" s="3258"/>
      <c r="E171" s="3258"/>
      <c r="F171" s="3242">
        <v>0.05</v>
      </c>
      <c r="G171" s="3259"/>
    </row>
    <row r="172" spans="1:7">
      <c r="A172" s="3252" t="s">
        <v>29</v>
      </c>
      <c r="B172" s="3241" t="s">
        <v>3182</v>
      </c>
      <c r="C172" s="3258"/>
      <c r="D172" s="3258"/>
      <c r="E172" s="3258"/>
      <c r="F172" s="3242">
        <v>0.05</v>
      </c>
      <c r="G172" s="3259"/>
    </row>
    <row r="173" spans="1:7">
      <c r="A173" s="3252" t="s">
        <v>29</v>
      </c>
      <c r="B173" s="3241" t="s">
        <v>3183</v>
      </c>
      <c r="C173" s="3258"/>
      <c r="D173" s="3258"/>
      <c r="E173" s="3258"/>
      <c r="F173" s="3242">
        <v>0.05</v>
      </c>
      <c r="G173" s="3254"/>
    </row>
    <row r="174" spans="1:7">
      <c r="A174" s="3252" t="s">
        <v>29</v>
      </c>
      <c r="B174" s="3241" t="s">
        <v>3184</v>
      </c>
      <c r="C174" s="3258"/>
      <c r="D174" s="3258"/>
      <c r="E174" s="3258"/>
      <c r="F174" s="3242">
        <v>0.05</v>
      </c>
      <c r="G174" s="3254"/>
    </row>
    <row r="175" spans="1:7">
      <c r="A175" s="3252" t="s">
        <v>29</v>
      </c>
      <c r="B175" s="3241" t="s">
        <v>3185</v>
      </c>
      <c r="C175" s="3258"/>
      <c r="D175" s="3258"/>
      <c r="E175" s="3258"/>
      <c r="F175" s="3242">
        <v>0.05</v>
      </c>
      <c r="G175" s="3254"/>
    </row>
    <row r="176" spans="1:7">
      <c r="A176" s="3252" t="s">
        <v>29</v>
      </c>
      <c r="B176" s="3241" t="s">
        <v>3186</v>
      </c>
      <c r="C176" s="3258"/>
      <c r="D176" s="3258"/>
      <c r="E176" s="3258"/>
      <c r="F176" s="3242">
        <v>0.05</v>
      </c>
      <c r="G176" s="3254"/>
    </row>
    <row r="177" spans="1:7">
      <c r="A177" s="3252" t="s">
        <v>29</v>
      </c>
      <c r="B177" s="3241" t="s">
        <v>3187</v>
      </c>
      <c r="C177" s="3253"/>
      <c r="D177" s="3253"/>
      <c r="E177" s="3253"/>
      <c r="F177" s="3242">
        <v>0.05</v>
      </c>
      <c r="G177" s="3259"/>
    </row>
    <row r="178" spans="1:7">
      <c r="A178" s="3252" t="s">
        <v>29</v>
      </c>
      <c r="B178" s="3241" t="s">
        <v>3188</v>
      </c>
      <c r="C178" s="3253"/>
      <c r="D178" s="3253"/>
      <c r="E178" s="3253"/>
      <c r="F178" s="3242">
        <v>0.05</v>
      </c>
      <c r="G178" s="3259"/>
    </row>
    <row r="179" spans="1:7">
      <c r="A179" s="3252" t="s">
        <v>29</v>
      </c>
      <c r="B179" s="3241" t="s">
        <v>3189</v>
      </c>
      <c r="C179" s="3253"/>
      <c r="D179" s="3253"/>
      <c r="E179" s="3253"/>
      <c r="F179" s="3242">
        <v>0.05</v>
      </c>
      <c r="G179" s="3259"/>
    </row>
    <row r="180" spans="1:7">
      <c r="A180" s="3252" t="s">
        <v>29</v>
      </c>
      <c r="B180" s="3241" t="s">
        <v>3190</v>
      </c>
      <c r="C180" s="3253"/>
      <c r="D180" s="3253"/>
      <c r="E180" s="3253"/>
      <c r="F180" s="3242">
        <v>0.05</v>
      </c>
      <c r="G180" s="3259"/>
    </row>
    <row r="181" spans="1:7">
      <c r="A181" s="3252" t="s">
        <v>29</v>
      </c>
      <c r="B181" s="3241" t="s">
        <v>3191</v>
      </c>
      <c r="C181" s="3253"/>
      <c r="D181" s="3253"/>
      <c r="E181" s="3253"/>
      <c r="F181" s="3242">
        <v>0.05</v>
      </c>
      <c r="G181" s="3259"/>
    </row>
    <row r="182" spans="1:7">
      <c r="A182" s="3252" t="s">
        <v>29</v>
      </c>
      <c r="B182" s="3241" t="s">
        <v>3192</v>
      </c>
      <c r="C182" s="3253"/>
      <c r="D182" s="3253"/>
      <c r="E182" s="3253"/>
      <c r="F182" s="3242">
        <v>0.05</v>
      </c>
      <c r="G182" s="3259"/>
    </row>
    <row r="183" spans="1:7">
      <c r="A183" s="3252" t="s">
        <v>29</v>
      </c>
      <c r="B183" s="3241" t="s">
        <v>3193</v>
      </c>
      <c r="C183" s="3253"/>
      <c r="D183" s="3253"/>
      <c r="E183" s="3253"/>
      <c r="F183" s="3242">
        <v>0.05</v>
      </c>
      <c r="G183" s="3259"/>
    </row>
    <row r="184" spans="1:7">
      <c r="A184" s="3252" t="s">
        <v>29</v>
      </c>
      <c r="B184" s="3241" t="s">
        <v>3194</v>
      </c>
      <c r="C184" s="3253"/>
      <c r="D184" s="3253"/>
      <c r="E184" s="3253"/>
      <c r="F184" s="3242">
        <v>0.05</v>
      </c>
      <c r="G184" s="3259"/>
    </row>
    <row r="185" spans="1:7">
      <c r="A185" s="3252" t="s">
        <v>29</v>
      </c>
      <c r="B185" s="3241" t="s">
        <v>3195</v>
      </c>
      <c r="C185" s="3253"/>
      <c r="D185" s="3253"/>
      <c r="E185" s="3253"/>
      <c r="F185" s="3242">
        <v>0.05</v>
      </c>
      <c r="G185" s="3259"/>
    </row>
    <row r="186" spans="1:7">
      <c r="A186" s="3252" t="s">
        <v>29</v>
      </c>
      <c r="B186" s="3241" t="s">
        <v>3196</v>
      </c>
      <c r="C186" s="3253"/>
      <c r="D186" s="3253"/>
      <c r="E186" s="3253"/>
      <c r="F186" s="3242">
        <v>0.05</v>
      </c>
      <c r="G186" s="3259"/>
    </row>
    <row r="187" spans="1:7">
      <c r="A187" s="3252" t="s">
        <v>29</v>
      </c>
      <c r="B187" s="3241" t="s">
        <v>3197</v>
      </c>
      <c r="C187" s="3253"/>
      <c r="D187" s="3253"/>
      <c r="E187" s="3253"/>
      <c r="F187" s="3242">
        <v>0.05</v>
      </c>
      <c r="G187" s="3259"/>
    </row>
    <row r="188" spans="1:7">
      <c r="A188" s="3252" t="s">
        <v>29</v>
      </c>
      <c r="B188" s="3241" t="s">
        <v>3198</v>
      </c>
      <c r="C188" s="3253"/>
      <c r="D188" s="3253"/>
      <c r="E188" s="3253"/>
      <c r="F188" s="3242">
        <v>0.05</v>
      </c>
      <c r="G188" s="3259"/>
    </row>
    <row r="189" spans="1:7" ht="14.25" thickBot="1">
      <c r="A189" s="3255" t="s">
        <v>29</v>
      </c>
      <c r="B189" s="3245" t="s">
        <v>3199</v>
      </c>
      <c r="C189" s="3247"/>
      <c r="D189" s="3247"/>
      <c r="E189" s="3247"/>
      <c r="F189" s="3246">
        <v>0.05</v>
      </c>
      <c r="G189" s="3260"/>
    </row>
    <row r="190" spans="1:7">
      <c r="A190" s="3251" t="s">
        <v>304</v>
      </c>
      <c r="B190" s="3237" t="s">
        <v>2855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2891</v>
      </c>
      <c r="C199" s="3242">
        <v>0.13</v>
      </c>
      <c r="D199" s="3242">
        <v>0.13</v>
      </c>
      <c r="E199" s="3242">
        <v>0.13</v>
      </c>
      <c r="F199" s="3242">
        <v>0.13</v>
      </c>
      <c r="G199" s="3243">
        <v>0.13</v>
      </c>
    </row>
    <row r="200" spans="1:7">
      <c r="A200" s="3252" t="s">
        <v>304</v>
      </c>
      <c r="B200" s="3241" t="s">
        <v>2894</v>
      </c>
      <c r="C200" s="3258"/>
      <c r="D200" s="3258"/>
      <c r="E200" s="3258"/>
      <c r="F200" s="3242">
        <v>0.13</v>
      </c>
      <c r="G200" s="3254"/>
    </row>
    <row r="201" spans="1:7">
      <c r="A201" s="3252" t="s">
        <v>304</v>
      </c>
      <c r="B201" s="3241" t="s">
        <v>2899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2902</v>
      </c>
      <c r="C203" s="3242">
        <v>0.129</v>
      </c>
      <c r="D203" s="3242">
        <v>0.129</v>
      </c>
      <c r="E203" s="3242">
        <v>0.13</v>
      </c>
      <c r="F203" s="3242">
        <v>0.13</v>
      </c>
      <c r="G203" s="3243">
        <v>0.13</v>
      </c>
    </row>
    <row r="204" spans="1:7">
      <c r="A204" s="3252" t="s">
        <v>304</v>
      </c>
      <c r="B204" s="3241" t="s">
        <v>2905</v>
      </c>
      <c r="C204" s="3242">
        <v>0.129</v>
      </c>
      <c r="D204" s="3242">
        <v>0.129</v>
      </c>
      <c r="E204" s="3242">
        <v>0.123</v>
      </c>
      <c r="F204" s="3242">
        <v>0.13</v>
      </c>
      <c r="G204" s="3243">
        <v>0.13</v>
      </c>
    </row>
    <row r="205" spans="1:7">
      <c r="A205" s="3252" t="s">
        <v>304</v>
      </c>
      <c r="B205" s="3241" t="s">
        <v>2907</v>
      </c>
      <c r="C205" s="3242">
        <v>0.13</v>
      </c>
      <c r="D205" s="3242">
        <v>0.13</v>
      </c>
      <c r="E205" s="3242">
        <v>0.13</v>
      </c>
      <c r="F205" s="3242">
        <v>0.13</v>
      </c>
      <c r="G205" s="3243">
        <v>0.13</v>
      </c>
    </row>
    <row r="206" spans="1:7">
      <c r="A206" s="3252" t="s">
        <v>304</v>
      </c>
      <c r="B206" s="3241" t="s">
        <v>2910</v>
      </c>
      <c r="C206" s="3242">
        <v>0.13</v>
      </c>
      <c r="D206" s="3242">
        <v>0.13</v>
      </c>
      <c r="E206" s="3242">
        <v>0.13</v>
      </c>
      <c r="F206" s="3242">
        <v>0.128</v>
      </c>
      <c r="G206" s="3243">
        <v>0.13</v>
      </c>
    </row>
    <row r="207" spans="1:7">
      <c r="A207" s="3252" t="s">
        <v>304</v>
      </c>
      <c r="B207" s="3241" t="s">
        <v>2912</v>
      </c>
      <c r="C207" s="3242">
        <v>0.13</v>
      </c>
      <c r="D207" s="3242">
        <v>0.13</v>
      </c>
      <c r="E207" s="3242">
        <v>0.13</v>
      </c>
      <c r="F207" s="3242">
        <v>0.13</v>
      </c>
      <c r="G207" s="3243">
        <v>0.13</v>
      </c>
    </row>
    <row r="208" spans="1:7">
      <c r="A208" s="3252" t="s">
        <v>304</v>
      </c>
      <c r="B208" s="3241" t="s">
        <v>2915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2922</v>
      </c>
      <c r="C210" s="3242">
        <v>0.121</v>
      </c>
      <c r="D210" s="3242">
        <v>0.121</v>
      </c>
      <c r="E210" s="3242">
        <v>0.125</v>
      </c>
      <c r="F210" s="3242">
        <v>0.13</v>
      </c>
      <c r="G210" s="3243">
        <v>0.123</v>
      </c>
    </row>
    <row r="211" spans="1:7">
      <c r="A211" s="3252" t="s">
        <v>304</v>
      </c>
      <c r="B211" s="3241" t="s">
        <v>2925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2937</v>
      </c>
      <c r="C214" s="3242">
        <v>0.128</v>
      </c>
      <c r="D214" s="3242">
        <v>0.128</v>
      </c>
      <c r="E214" s="3242">
        <v>0.13</v>
      </c>
      <c r="F214" s="3242">
        <v>0.13</v>
      </c>
      <c r="G214" s="3243">
        <v>0.13</v>
      </c>
    </row>
    <row r="215" spans="1:7">
      <c r="A215" s="3252" t="s">
        <v>304</v>
      </c>
      <c r="B215" s="3241" t="s">
        <v>2941</v>
      </c>
      <c r="C215" s="3242">
        <v>0.13</v>
      </c>
      <c r="D215" s="3242">
        <v>0.13</v>
      </c>
      <c r="E215" s="3242">
        <v>0.13</v>
      </c>
      <c r="F215" s="3242">
        <v>0.129</v>
      </c>
      <c r="G215" s="3243">
        <v>0.13</v>
      </c>
    </row>
    <row r="216" spans="1:7">
      <c r="A216" s="3252" t="s">
        <v>304</v>
      </c>
      <c r="B216" s="3241" t="s">
        <v>2948</v>
      </c>
      <c r="C216" s="3242">
        <v>0.13</v>
      </c>
      <c r="D216" s="3242">
        <v>0.13</v>
      </c>
      <c r="E216" s="3242">
        <v>0.13</v>
      </c>
      <c r="F216" s="3242">
        <v>0.13</v>
      </c>
      <c r="G216" s="3243">
        <v>0.13</v>
      </c>
    </row>
    <row r="217" spans="1:7">
      <c r="A217" s="3252" t="s">
        <v>304</v>
      </c>
      <c r="B217" s="3241" t="s">
        <v>2955</v>
      </c>
      <c r="C217" s="3242">
        <v>0.129</v>
      </c>
      <c r="D217" s="3242">
        <v>0.129</v>
      </c>
      <c r="E217" s="3242">
        <v>0.13</v>
      </c>
      <c r="F217" s="3242">
        <v>0.13</v>
      </c>
      <c r="G217" s="3243">
        <v>0.13</v>
      </c>
    </row>
    <row r="218" spans="1:7">
      <c r="A218" s="3252" t="s">
        <v>304</v>
      </c>
      <c r="B218" s="3241" t="s">
        <v>2961</v>
      </c>
      <c r="C218" s="3253"/>
      <c r="D218" s="3253"/>
      <c r="E218" s="3253"/>
      <c r="F218" s="3242">
        <v>0.05</v>
      </c>
      <c r="G218" s="3259"/>
    </row>
    <row r="219" spans="1:7">
      <c r="A219" s="3252" t="s">
        <v>304</v>
      </c>
      <c r="B219" s="3241" t="s">
        <v>2968</v>
      </c>
      <c r="C219" s="3253"/>
      <c r="D219" s="3253"/>
      <c r="E219" s="3253"/>
      <c r="F219" s="3242">
        <v>0.05</v>
      </c>
      <c r="G219" s="3259"/>
    </row>
    <row r="220" spans="1:7">
      <c r="A220" s="3252" t="s">
        <v>304</v>
      </c>
      <c r="B220" s="3241" t="s">
        <v>2974</v>
      </c>
      <c r="C220" s="3253"/>
      <c r="D220" s="3253"/>
      <c r="E220" s="3253"/>
      <c r="F220" s="3242">
        <v>0.05</v>
      </c>
      <c r="G220" s="3259"/>
    </row>
    <row r="221" spans="1:7">
      <c r="A221" s="3252" t="s">
        <v>304</v>
      </c>
      <c r="B221" s="3241" t="s">
        <v>2979</v>
      </c>
      <c r="C221" s="3253"/>
      <c r="D221" s="3253"/>
      <c r="E221" s="3253"/>
      <c r="F221" s="3242">
        <v>0.05</v>
      </c>
      <c r="G221" s="3259"/>
    </row>
    <row r="222" spans="1:7">
      <c r="A222" s="3252" t="s">
        <v>304</v>
      </c>
      <c r="B222" s="3241" t="s">
        <v>2983</v>
      </c>
      <c r="C222" s="3253"/>
      <c r="D222" s="3253"/>
      <c r="E222" s="3253"/>
      <c r="F222" s="3242">
        <v>0.05</v>
      </c>
      <c r="G222" s="3259"/>
    </row>
    <row r="223" spans="1:7">
      <c r="A223" s="3252" t="s">
        <v>304</v>
      </c>
      <c r="B223" s="3241" t="s">
        <v>2988</v>
      </c>
      <c r="C223" s="3253"/>
      <c r="D223" s="3253"/>
      <c r="E223" s="3253"/>
      <c r="F223" s="3242">
        <v>0.05</v>
      </c>
      <c r="G223" s="3259"/>
    </row>
    <row r="224" spans="1:7">
      <c r="A224" s="3252" t="s">
        <v>304</v>
      </c>
      <c r="B224" s="3241" t="s">
        <v>2993</v>
      </c>
      <c r="C224" s="3253"/>
      <c r="D224" s="3253"/>
      <c r="E224" s="3253"/>
      <c r="F224" s="3242">
        <v>0.05</v>
      </c>
      <c r="G224" s="3259"/>
    </row>
    <row r="225" spans="1:7">
      <c r="A225" s="3252" t="s">
        <v>304</v>
      </c>
      <c r="B225" s="3241" t="s">
        <v>2998</v>
      </c>
      <c r="C225" s="3253"/>
      <c r="D225" s="3253"/>
      <c r="E225" s="3253"/>
      <c r="F225" s="3242">
        <v>0.05</v>
      </c>
      <c r="G225" s="3259"/>
    </row>
    <row r="226" spans="1:7">
      <c r="A226" s="3252" t="s">
        <v>304</v>
      </c>
      <c r="B226" s="3241" t="s">
        <v>3200</v>
      </c>
      <c r="C226" s="3253"/>
      <c r="D226" s="3253"/>
      <c r="E226" s="3253"/>
      <c r="F226" s="3242">
        <v>0.05</v>
      </c>
      <c r="G226" s="3259"/>
    </row>
    <row r="227" spans="1:7">
      <c r="A227" s="3252" t="s">
        <v>304</v>
      </c>
      <c r="B227" s="3241" t="s">
        <v>3201</v>
      </c>
      <c r="C227" s="3253"/>
      <c r="D227" s="3253"/>
      <c r="E227" s="3253"/>
      <c r="F227" s="3242">
        <v>0.05</v>
      </c>
      <c r="G227" s="3259"/>
    </row>
    <row r="228" spans="1:7">
      <c r="A228" s="3252" t="s">
        <v>304</v>
      </c>
      <c r="B228" s="3241" t="s">
        <v>3202</v>
      </c>
      <c r="C228" s="3253"/>
      <c r="D228" s="3253"/>
      <c r="E228" s="3253"/>
      <c r="F228" s="3242">
        <v>0.05</v>
      </c>
      <c r="G228" s="3259"/>
    </row>
    <row r="229" spans="1:7">
      <c r="A229" s="3252" t="s">
        <v>304</v>
      </c>
      <c r="B229" s="3241" t="s">
        <v>3203</v>
      </c>
      <c r="C229" s="3253"/>
      <c r="D229" s="3253"/>
      <c r="E229" s="3253"/>
      <c r="F229" s="3242">
        <v>0.05</v>
      </c>
      <c r="G229" s="3259"/>
    </row>
    <row r="230" spans="1:7">
      <c r="A230" s="3252" t="s">
        <v>304</v>
      </c>
      <c r="B230" s="3241" t="s">
        <v>3204</v>
      </c>
      <c r="C230" s="3253"/>
      <c r="D230" s="3253"/>
      <c r="E230" s="3253"/>
      <c r="F230" s="3242">
        <v>0.05</v>
      </c>
      <c r="G230" s="3259"/>
    </row>
    <row r="231" spans="1:7">
      <c r="A231" s="3252" t="s">
        <v>304</v>
      </c>
      <c r="B231" s="3241" t="s">
        <v>3205</v>
      </c>
      <c r="C231" s="3253"/>
      <c r="D231" s="3253"/>
      <c r="E231" s="3253"/>
      <c r="F231" s="3242">
        <v>0.05</v>
      </c>
      <c r="G231" s="3259"/>
    </row>
    <row r="232" spans="1:7">
      <c r="A232" s="3252" t="s">
        <v>304</v>
      </c>
      <c r="B232" s="3241" t="s">
        <v>3206</v>
      </c>
      <c r="C232" s="3253"/>
      <c r="D232" s="3253"/>
      <c r="E232" s="3253"/>
      <c r="F232" s="3242">
        <v>0.05</v>
      </c>
      <c r="G232" s="3259"/>
    </row>
    <row r="233" spans="1:7" ht="14.25" thickBot="1">
      <c r="A233" s="3255" t="s">
        <v>304</v>
      </c>
      <c r="B233" s="3245" t="s">
        <v>3207</v>
      </c>
      <c r="C233" s="3247"/>
      <c r="D233" s="3247"/>
      <c r="E233" s="3247"/>
      <c r="F233" s="3246">
        <v>0.05</v>
      </c>
      <c r="G233" s="3260"/>
    </row>
    <row r="234" spans="1:7">
      <c r="A234" s="3251" t="s">
        <v>305</v>
      </c>
      <c r="B234" s="3237" t="s">
        <v>2856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2876</v>
      </c>
      <c r="C238" s="3242">
        <v>0.14899999999999999</v>
      </c>
      <c r="D238" s="3242">
        <v>0.14899999999999999</v>
      </c>
      <c r="E238" s="3242">
        <v>0.15</v>
      </c>
      <c r="F238" s="3242">
        <v>0.15</v>
      </c>
      <c r="G238" s="3243">
        <v>0.15</v>
      </c>
    </row>
    <row r="239" spans="1:7">
      <c r="A239" s="3252" t="s">
        <v>305</v>
      </c>
      <c r="B239" s="3241" t="s">
        <v>2880</v>
      </c>
      <c r="C239" s="3242">
        <v>0.15</v>
      </c>
      <c r="D239" s="3242">
        <v>0.15</v>
      </c>
      <c r="E239" s="3242">
        <v>0.15</v>
      </c>
      <c r="F239" s="3242">
        <v>0.15</v>
      </c>
      <c r="G239" s="3243">
        <v>0.15</v>
      </c>
    </row>
    <row r="240" spans="1:7">
      <c r="A240" s="3252" t="s">
        <v>305</v>
      </c>
      <c r="B240" s="3241" t="s">
        <v>2885</v>
      </c>
      <c r="C240" s="3242">
        <v>0.15</v>
      </c>
      <c r="D240" s="3242">
        <v>0.15</v>
      </c>
      <c r="E240" s="3242">
        <v>0.15</v>
      </c>
      <c r="F240" s="3242">
        <v>0.15</v>
      </c>
      <c r="G240" s="3243">
        <v>0.15</v>
      </c>
    </row>
    <row r="241" spans="1:7">
      <c r="A241" s="3252" t="s">
        <v>305</v>
      </c>
      <c r="B241" s="3241" t="s">
        <v>2889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2895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2903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2908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2916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2929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2938</v>
      </c>
      <c r="C258" s="3242">
        <v>0.14299999999999999</v>
      </c>
      <c r="D258" s="3242">
        <v>0.14299999999999999</v>
      </c>
      <c r="E258" s="3242">
        <v>0.15</v>
      </c>
      <c r="F258" s="3242">
        <v>0.14799999999999999</v>
      </c>
      <c r="G258" s="3243">
        <v>0.14599999999999999</v>
      </c>
    </row>
    <row r="259" spans="1:7">
      <c r="A259" s="3252" t="s">
        <v>305</v>
      </c>
      <c r="B259" s="3241" t="s">
        <v>2942</v>
      </c>
      <c r="C259" s="3242">
        <v>0.14399999999999999</v>
      </c>
      <c r="D259" s="3242">
        <v>0.14399999999999999</v>
      </c>
      <c r="E259" s="3242">
        <v>0.14899999999999999</v>
      </c>
      <c r="F259" s="3242">
        <v>0.14699999999999999</v>
      </c>
      <c r="G259" s="3243">
        <v>0.14599999999999999</v>
      </c>
    </row>
    <row r="260" spans="1:7">
      <c r="A260" s="3252" t="s">
        <v>305</v>
      </c>
      <c r="B260" s="3241" t="s">
        <v>2949</v>
      </c>
      <c r="C260" s="3242">
        <v>0.109</v>
      </c>
      <c r="D260" s="3242">
        <v>0.111</v>
      </c>
      <c r="E260" s="3242">
        <v>0.13100000000000001</v>
      </c>
      <c r="F260" s="3242">
        <v>0.126</v>
      </c>
      <c r="G260" s="3243">
        <v>0.11899999999999999</v>
      </c>
    </row>
    <row r="261" spans="1:7">
      <c r="A261" s="3252" t="s">
        <v>305</v>
      </c>
      <c r="B261" s="3241" t="s">
        <v>2956</v>
      </c>
      <c r="C261" s="3242">
        <v>0.1</v>
      </c>
      <c r="D261" s="3242">
        <v>0.1</v>
      </c>
      <c r="E261" s="3242">
        <v>0.11799999999999999</v>
      </c>
      <c r="F261" s="3242">
        <v>0.108</v>
      </c>
      <c r="G261" s="3243">
        <v>0.107</v>
      </c>
    </row>
    <row r="262" spans="1:7">
      <c r="A262" s="3252" t="s">
        <v>305</v>
      </c>
      <c r="B262" s="3241" t="s">
        <v>2962</v>
      </c>
      <c r="C262" s="3242">
        <v>0.1</v>
      </c>
      <c r="D262" s="3242">
        <v>0.1</v>
      </c>
      <c r="E262" s="3242">
        <v>0.1</v>
      </c>
      <c r="F262" s="3242">
        <v>0.14099999999999999</v>
      </c>
      <c r="G262" s="3243">
        <v>0.1</v>
      </c>
    </row>
    <row r="263" spans="1:7">
      <c r="A263" s="3252" t="s">
        <v>305</v>
      </c>
      <c r="B263" s="3241" t="s">
        <v>2969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2980</v>
      </c>
      <c r="C265" s="3253"/>
      <c r="D265" s="3253"/>
      <c r="E265" s="3253"/>
      <c r="F265" s="3242">
        <v>0.05</v>
      </c>
      <c r="G265" s="3259"/>
    </row>
    <row r="266" spans="1:7">
      <c r="A266" s="3252" t="s">
        <v>305</v>
      </c>
      <c r="B266" s="3241" t="s">
        <v>2984</v>
      </c>
      <c r="C266" s="3253"/>
      <c r="D266" s="3253"/>
      <c r="E266" s="3253"/>
      <c r="F266" s="3242">
        <v>0.05</v>
      </c>
      <c r="G266" s="3259"/>
    </row>
    <row r="267" spans="1:7">
      <c r="A267" s="3252" t="s">
        <v>305</v>
      </c>
      <c r="B267" s="3241" t="s">
        <v>2989</v>
      </c>
      <c r="C267" s="3253"/>
      <c r="D267" s="3253"/>
      <c r="E267" s="3253"/>
      <c r="F267" s="3242">
        <v>0.05</v>
      </c>
      <c r="G267" s="3259"/>
    </row>
    <row r="268" spans="1:7">
      <c r="A268" s="3252" t="s">
        <v>305</v>
      </c>
      <c r="B268" s="3241" t="s">
        <v>2994</v>
      </c>
      <c r="C268" s="3253"/>
      <c r="D268" s="3253"/>
      <c r="E268" s="3253"/>
      <c r="F268" s="3242">
        <v>0.05</v>
      </c>
      <c r="G268" s="3259"/>
    </row>
    <row r="269" spans="1:7">
      <c r="A269" s="3252" t="s">
        <v>305</v>
      </c>
      <c r="B269" s="3241" t="s">
        <v>2999</v>
      </c>
      <c r="C269" s="3253"/>
      <c r="D269" s="3253"/>
      <c r="E269" s="3253"/>
      <c r="F269" s="3242">
        <v>0.05</v>
      </c>
      <c r="G269" s="3259"/>
    </row>
    <row r="270" spans="1:7">
      <c r="A270" s="3252" t="s">
        <v>305</v>
      </c>
      <c r="B270" s="3241" t="s">
        <v>3004</v>
      </c>
      <c r="C270" s="3253"/>
      <c r="D270" s="3253"/>
      <c r="E270" s="3253"/>
      <c r="F270" s="3242">
        <v>0.05</v>
      </c>
      <c r="G270" s="3259"/>
    </row>
    <row r="271" spans="1:7">
      <c r="A271" s="3252" t="s">
        <v>305</v>
      </c>
      <c r="B271" s="3241" t="s">
        <v>3208</v>
      </c>
      <c r="C271" s="3253"/>
      <c r="D271" s="3253"/>
      <c r="E271" s="3253"/>
      <c r="F271" s="3242">
        <v>0.05</v>
      </c>
      <c r="G271" s="3259"/>
    </row>
    <row r="272" spans="1:7">
      <c r="A272" s="3252" t="s">
        <v>305</v>
      </c>
      <c r="B272" s="3241" t="s">
        <v>3209</v>
      </c>
      <c r="C272" s="3253"/>
      <c r="D272" s="3253"/>
      <c r="E272" s="3253"/>
      <c r="F272" s="3242">
        <v>0.05</v>
      </c>
      <c r="G272" s="3259"/>
    </row>
    <row r="273" spans="1:7">
      <c r="A273" s="3252" t="s">
        <v>305</v>
      </c>
      <c r="B273" s="3241" t="s">
        <v>3210</v>
      </c>
      <c r="C273" s="3253"/>
      <c r="D273" s="3253"/>
      <c r="E273" s="3253"/>
      <c r="F273" s="3242">
        <v>0.05</v>
      </c>
      <c r="G273" s="3259"/>
    </row>
    <row r="274" spans="1:7">
      <c r="A274" s="3252" t="s">
        <v>305</v>
      </c>
      <c r="B274" s="3241" t="s">
        <v>3211</v>
      </c>
      <c r="C274" s="3253"/>
      <c r="D274" s="3253"/>
      <c r="E274" s="3253"/>
      <c r="F274" s="3242">
        <v>0.05</v>
      </c>
      <c r="G274" s="3259"/>
    </row>
    <row r="275" spans="1:7">
      <c r="A275" s="3252" t="s">
        <v>305</v>
      </c>
      <c r="B275" s="3241" t="s">
        <v>3212</v>
      </c>
      <c r="C275" s="3253"/>
      <c r="D275" s="3253"/>
      <c r="E275" s="3253"/>
      <c r="F275" s="3242">
        <v>0.05</v>
      </c>
      <c r="G275" s="3259"/>
    </row>
    <row r="276" spans="1:7" ht="14.25" thickBot="1">
      <c r="A276" s="3255" t="s">
        <v>305</v>
      </c>
      <c r="B276" s="3245" t="s">
        <v>3213</v>
      </c>
      <c r="C276" s="3247"/>
      <c r="D276" s="3247"/>
      <c r="E276" s="3247"/>
      <c r="F276" s="3246">
        <v>0.05</v>
      </c>
      <c r="G276" s="3260"/>
    </row>
    <row r="277" spans="1:7">
      <c r="A277" s="3251" t="s">
        <v>306</v>
      </c>
      <c r="B277" s="3237" t="s">
        <v>2857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2869</v>
      </c>
      <c r="C279" s="3242">
        <v>0.15</v>
      </c>
      <c r="D279" s="3242">
        <v>0.15</v>
      </c>
      <c r="E279" s="3242">
        <v>0.15</v>
      </c>
      <c r="F279" s="3242">
        <v>0.15</v>
      </c>
      <c r="G279" s="3243">
        <v>0.15</v>
      </c>
    </row>
    <row r="280" spans="1:7">
      <c r="A280" s="3252" t="s">
        <v>306</v>
      </c>
      <c r="B280" s="3241" t="s">
        <v>2873</v>
      </c>
      <c r="C280" s="3242">
        <v>0.15</v>
      </c>
      <c r="D280" s="3242">
        <v>0.15</v>
      </c>
      <c r="E280" s="3242">
        <v>0.15</v>
      </c>
      <c r="F280" s="3242">
        <v>0.15</v>
      </c>
      <c r="G280" s="3243">
        <v>0.15</v>
      </c>
    </row>
    <row r="281" spans="1:7">
      <c r="A281" s="3252" t="s">
        <v>306</v>
      </c>
      <c r="B281" s="3241" t="s">
        <v>2877</v>
      </c>
      <c r="C281" s="3242">
        <v>0.15</v>
      </c>
      <c r="D281" s="3242">
        <v>0.15</v>
      </c>
      <c r="E281" s="3242">
        <v>0.15</v>
      </c>
      <c r="F281" s="3242">
        <v>0.15</v>
      </c>
      <c r="G281" s="3243">
        <v>0.15</v>
      </c>
    </row>
    <row r="282" spans="1:7">
      <c r="A282" s="3252" t="s">
        <v>306</v>
      </c>
      <c r="B282" s="3241" t="s">
        <v>2881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2896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2901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2911</v>
      </c>
      <c r="C293" s="3242">
        <v>0.15</v>
      </c>
      <c r="D293" s="3242">
        <v>0.15</v>
      </c>
      <c r="E293" s="3242">
        <v>0.15</v>
      </c>
      <c r="F293" s="3242">
        <v>0.14499999999999999</v>
      </c>
      <c r="G293" s="3243">
        <v>0.15</v>
      </c>
    </row>
    <row r="294" spans="1:7">
      <c r="A294" s="3252" t="s">
        <v>306</v>
      </c>
      <c r="B294" s="3241" t="s">
        <v>2913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2930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2943</v>
      </c>
      <c r="C302" s="3242">
        <v>0.15</v>
      </c>
      <c r="D302" s="3242">
        <v>0.15</v>
      </c>
      <c r="E302" s="3242">
        <v>0.15</v>
      </c>
      <c r="F302" s="3242">
        <v>0.14699999999999999</v>
      </c>
      <c r="G302" s="3243">
        <v>0.15</v>
      </c>
    </row>
    <row r="303" spans="1:7">
      <c r="A303" s="3252" t="s">
        <v>306</v>
      </c>
      <c r="B303" s="3241" t="s">
        <v>2950</v>
      </c>
      <c r="C303" s="3242">
        <v>0.15</v>
      </c>
      <c r="D303" s="3242">
        <v>0.15</v>
      </c>
      <c r="E303" s="3242">
        <v>0.15</v>
      </c>
      <c r="F303" s="3242">
        <v>0.14199999999999999</v>
      </c>
      <c r="G303" s="3243">
        <v>0.15</v>
      </c>
    </row>
    <row r="304" spans="1:7">
      <c r="A304" s="3252" t="s">
        <v>306</v>
      </c>
      <c r="B304" s="3241" t="s">
        <v>2957</v>
      </c>
      <c r="C304" s="3242">
        <v>0.15</v>
      </c>
      <c r="D304" s="3242">
        <v>0.15</v>
      </c>
      <c r="E304" s="3242">
        <v>0.15</v>
      </c>
      <c r="F304" s="3242">
        <v>0.14499999999999999</v>
      </c>
      <c r="G304" s="3243">
        <v>0.15</v>
      </c>
    </row>
    <row r="305" spans="1:7">
      <c r="A305" s="3252" t="s">
        <v>306</v>
      </c>
      <c r="B305" s="3241" t="s">
        <v>2963</v>
      </c>
      <c r="C305" s="3242">
        <v>0.15</v>
      </c>
      <c r="D305" s="3242">
        <v>0.15</v>
      </c>
      <c r="E305" s="3242">
        <v>0.15</v>
      </c>
      <c r="F305" s="3242">
        <v>0.111</v>
      </c>
      <c r="G305" s="3243">
        <v>0.15</v>
      </c>
    </row>
    <row r="306" spans="1:7">
      <c r="A306" s="3252" t="s">
        <v>306</v>
      </c>
      <c r="B306" s="3241" t="s">
        <v>2970</v>
      </c>
      <c r="C306" s="3242">
        <v>0.15</v>
      </c>
      <c r="D306" s="3242">
        <v>0.15</v>
      </c>
      <c r="E306" s="3242">
        <v>0.15</v>
      </c>
      <c r="F306" s="3242">
        <v>0.126</v>
      </c>
      <c r="G306" s="3243">
        <v>0.15</v>
      </c>
    </row>
    <row r="307" spans="1:7">
      <c r="A307" s="3252" t="s">
        <v>306</v>
      </c>
      <c r="B307" s="3241" t="s">
        <v>2975</v>
      </c>
      <c r="C307" s="3242">
        <v>0.15</v>
      </c>
      <c r="D307" s="3242">
        <v>0.15</v>
      </c>
      <c r="E307" s="3242">
        <v>0.15</v>
      </c>
      <c r="F307" s="3242">
        <v>0.12</v>
      </c>
      <c r="G307" s="3243">
        <v>0.15</v>
      </c>
    </row>
    <row r="308" spans="1:7">
      <c r="A308" s="3252" t="s">
        <v>306</v>
      </c>
      <c r="B308" s="3241" t="s">
        <v>2981</v>
      </c>
      <c r="C308" s="3242">
        <v>0.15</v>
      </c>
      <c r="D308" s="3242">
        <v>0.15</v>
      </c>
      <c r="E308" s="3242">
        <v>0.15</v>
      </c>
      <c r="F308" s="3242">
        <v>0.13</v>
      </c>
      <c r="G308" s="3243">
        <v>0.15</v>
      </c>
    </row>
    <row r="309" spans="1:7">
      <c r="A309" s="3252" t="s">
        <v>306</v>
      </c>
      <c r="B309" s="3241" t="s">
        <v>2985</v>
      </c>
      <c r="C309" s="3242">
        <v>0.15</v>
      </c>
      <c r="D309" s="3242">
        <v>0.15</v>
      </c>
      <c r="E309" s="3242">
        <v>0.15</v>
      </c>
      <c r="F309" s="3242">
        <v>0.14099999999999999</v>
      </c>
      <c r="G309" s="3243">
        <v>0.15</v>
      </c>
    </row>
    <row r="310" spans="1:7">
      <c r="A310" s="3252" t="s">
        <v>306</v>
      </c>
      <c r="B310" s="3241" t="s">
        <v>2990</v>
      </c>
      <c r="C310" s="3242">
        <v>0.15</v>
      </c>
      <c r="D310" s="3242">
        <v>0.15</v>
      </c>
      <c r="E310" s="3242">
        <v>0.15</v>
      </c>
      <c r="F310" s="3242">
        <v>0.15</v>
      </c>
      <c r="G310" s="3243">
        <v>0.15</v>
      </c>
    </row>
    <row r="311" spans="1:7">
      <c r="A311" s="3252" t="s">
        <v>306</v>
      </c>
      <c r="B311" s="3241" t="s">
        <v>2995</v>
      </c>
      <c r="C311" s="3242">
        <v>0.13200000000000001</v>
      </c>
      <c r="D311" s="3242">
        <v>0.13300000000000001</v>
      </c>
      <c r="E311" s="3242">
        <v>0.14499999999999999</v>
      </c>
      <c r="F311" s="3242">
        <v>0.14199999999999999</v>
      </c>
      <c r="G311" s="3243">
        <v>0.14000000000000001</v>
      </c>
    </row>
    <row r="312" spans="1:7">
      <c r="A312" s="3252" t="s">
        <v>306</v>
      </c>
      <c r="B312" s="3241" t="s">
        <v>3000</v>
      </c>
      <c r="C312" s="3242">
        <v>0.13800000000000001</v>
      </c>
      <c r="D312" s="3242">
        <v>0.14000000000000001</v>
      </c>
      <c r="E312" s="3242">
        <v>0.14599999999999999</v>
      </c>
      <c r="F312" s="3242">
        <v>0.14899999999999999</v>
      </c>
      <c r="G312" s="3243">
        <v>0.14199999999999999</v>
      </c>
    </row>
    <row r="313" spans="1:7">
      <c r="A313" s="3252" t="s">
        <v>306</v>
      </c>
      <c r="B313" s="3241" t="s">
        <v>3005</v>
      </c>
      <c r="C313" s="3242">
        <v>0.125</v>
      </c>
      <c r="D313" s="3242">
        <v>0.127</v>
      </c>
      <c r="E313" s="3242">
        <v>0.14399999999999999</v>
      </c>
      <c r="F313" s="3242">
        <v>0.115</v>
      </c>
      <c r="G313" s="3243">
        <v>0.13600000000000001</v>
      </c>
    </row>
    <row r="314" spans="1:7">
      <c r="A314" s="3252" t="s">
        <v>306</v>
      </c>
      <c r="B314" s="3241" t="s">
        <v>3214</v>
      </c>
      <c r="C314" s="3258"/>
      <c r="D314" s="3258"/>
      <c r="E314" s="3258"/>
      <c r="F314" s="3242">
        <v>0.05</v>
      </c>
      <c r="G314" s="3259"/>
    </row>
    <row r="315" spans="1:7">
      <c r="A315" s="3252" t="s">
        <v>306</v>
      </c>
      <c r="B315" s="3241" t="s">
        <v>3215</v>
      </c>
      <c r="C315" s="3258"/>
      <c r="D315" s="3258"/>
      <c r="E315" s="3258"/>
      <c r="F315" s="3242">
        <v>0.05</v>
      </c>
      <c r="G315" s="3259"/>
    </row>
    <row r="316" spans="1:7">
      <c r="A316" s="3252" t="s">
        <v>306</v>
      </c>
      <c r="B316" s="3241" t="s">
        <v>3216</v>
      </c>
      <c r="C316" s="3253"/>
      <c r="D316" s="3253"/>
      <c r="E316" s="3253"/>
      <c r="F316" s="3242">
        <v>0.05</v>
      </c>
      <c r="G316" s="3259"/>
    </row>
    <row r="317" spans="1:7">
      <c r="A317" s="3252" t="s">
        <v>306</v>
      </c>
      <c r="B317" s="3241" t="s">
        <v>3217</v>
      </c>
      <c r="C317" s="3253"/>
      <c r="D317" s="3253"/>
      <c r="E317" s="3253"/>
      <c r="F317" s="3242">
        <v>0.05</v>
      </c>
      <c r="G317" s="3259"/>
    </row>
    <row r="318" spans="1:7">
      <c r="A318" s="3252" t="s">
        <v>306</v>
      </c>
      <c r="B318" s="3241" t="s">
        <v>3218</v>
      </c>
      <c r="C318" s="3253"/>
      <c r="D318" s="3253"/>
      <c r="E318" s="3253"/>
      <c r="F318" s="3242">
        <v>0.05</v>
      </c>
      <c r="G318" s="3259"/>
    </row>
    <row r="319" spans="1:7">
      <c r="A319" s="3252" t="s">
        <v>306</v>
      </c>
      <c r="B319" s="3241" t="s">
        <v>3219</v>
      </c>
      <c r="C319" s="3253"/>
      <c r="D319" s="3253"/>
      <c r="E319" s="3253"/>
      <c r="F319" s="3242">
        <v>0.05</v>
      </c>
      <c r="G319" s="3259"/>
    </row>
    <row r="320" spans="1:7">
      <c r="A320" s="3252" t="s">
        <v>306</v>
      </c>
      <c r="B320" s="3241" t="s">
        <v>3220</v>
      </c>
      <c r="C320" s="3253"/>
      <c r="D320" s="3253"/>
      <c r="E320" s="3253"/>
      <c r="F320" s="3242">
        <v>0.05</v>
      </c>
      <c r="G320" s="3259"/>
    </row>
    <row r="321" spans="1:7">
      <c r="A321" s="3252" t="s">
        <v>306</v>
      </c>
      <c r="B321" s="3241" t="s">
        <v>3221</v>
      </c>
      <c r="C321" s="3253"/>
      <c r="D321" s="3253"/>
      <c r="E321" s="3253"/>
      <c r="F321" s="3242">
        <v>0.05</v>
      </c>
      <c r="G321" s="3259"/>
    </row>
    <row r="322" spans="1:7">
      <c r="A322" s="3252" t="s">
        <v>306</v>
      </c>
      <c r="B322" s="3241" t="s">
        <v>3222</v>
      </c>
      <c r="C322" s="3253"/>
      <c r="D322" s="3253"/>
      <c r="E322" s="3253"/>
      <c r="F322" s="3242">
        <v>0.05</v>
      </c>
      <c r="G322" s="3259"/>
    </row>
    <row r="323" spans="1:7">
      <c r="A323" s="3252" t="s">
        <v>306</v>
      </c>
      <c r="B323" s="3241" t="s">
        <v>3223</v>
      </c>
      <c r="C323" s="3253"/>
      <c r="D323" s="3253"/>
      <c r="E323" s="3253"/>
      <c r="F323" s="3242">
        <v>0.05</v>
      </c>
      <c r="G323" s="3259"/>
    </row>
    <row r="324" spans="1:7">
      <c r="A324" s="3252" t="s">
        <v>306</v>
      </c>
      <c r="B324" s="3241" t="s">
        <v>3224</v>
      </c>
      <c r="C324" s="3253"/>
      <c r="D324" s="3253"/>
      <c r="E324" s="3253"/>
      <c r="F324" s="3242">
        <v>0.05</v>
      </c>
      <c r="G324" s="3259"/>
    </row>
    <row r="325" spans="1:7">
      <c r="A325" s="3252" t="s">
        <v>306</v>
      </c>
      <c r="B325" s="3241" t="s">
        <v>3225</v>
      </c>
      <c r="C325" s="3253"/>
      <c r="D325" s="3253"/>
      <c r="E325" s="3253"/>
      <c r="F325" s="3242">
        <v>0.05</v>
      </c>
      <c r="G325" s="3259"/>
    </row>
    <row r="326" spans="1:7" ht="14.25" thickBot="1">
      <c r="A326" s="3255" t="s">
        <v>306</v>
      </c>
      <c r="B326" s="3245" t="s">
        <v>3226</v>
      </c>
      <c r="C326" s="3247"/>
      <c r="D326" s="3247"/>
      <c r="E326" s="3247"/>
      <c r="F326" s="3246">
        <v>0.05</v>
      </c>
      <c r="G326" s="3260"/>
    </row>
    <row r="327" spans="1:7">
      <c r="A327" s="3251" t="s">
        <v>307</v>
      </c>
      <c r="B327" s="3237" t="s">
        <v>2858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2870</v>
      </c>
      <c r="C329" s="3242">
        <v>0.15</v>
      </c>
      <c r="D329" s="3242">
        <v>0.15</v>
      </c>
      <c r="E329" s="3242">
        <v>0.15</v>
      </c>
      <c r="F329" s="3242">
        <v>0.15</v>
      </c>
      <c r="G329" s="3243">
        <v>0.15</v>
      </c>
    </row>
    <row r="330" spans="1:7">
      <c r="A330" s="3252" t="s">
        <v>307</v>
      </c>
      <c r="B330" s="3241" t="s">
        <v>2874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2882</v>
      </c>
      <c r="C332" s="3242">
        <v>0.15</v>
      </c>
      <c r="D332" s="3242">
        <v>0.15</v>
      </c>
      <c r="E332" s="3242">
        <v>0.15</v>
      </c>
      <c r="F332" s="3242">
        <v>0.15</v>
      </c>
      <c r="G332" s="3243">
        <v>0.15</v>
      </c>
    </row>
    <row r="333" spans="1:7">
      <c r="A333" s="3252" t="s">
        <v>307</v>
      </c>
      <c r="B333" s="3241" t="s">
        <v>2886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2892</v>
      </c>
      <c r="C336" s="3242">
        <v>0.15</v>
      </c>
      <c r="D336" s="3242">
        <v>0.15</v>
      </c>
      <c r="E336" s="3242">
        <v>0.15</v>
      </c>
      <c r="F336" s="3242">
        <v>0.14199999999999999</v>
      </c>
      <c r="G336" s="3243">
        <v>0.15</v>
      </c>
    </row>
    <row r="337" spans="1:7">
      <c r="A337" s="3252" t="s">
        <v>307</v>
      </c>
      <c r="B337" s="3241" t="s">
        <v>2897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2904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2909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2917</v>
      </c>
      <c r="C345" s="3242">
        <v>0.15</v>
      </c>
      <c r="D345" s="3242">
        <v>0.15</v>
      </c>
      <c r="E345" s="3242">
        <v>0.15</v>
      </c>
      <c r="F345" s="3242">
        <v>0.13800000000000001</v>
      </c>
      <c r="G345" s="3243">
        <v>0.15</v>
      </c>
    </row>
    <row r="346" spans="1:7">
      <c r="A346" s="3252" t="s">
        <v>307</v>
      </c>
      <c r="B346" s="3241" t="s">
        <v>2919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2926</v>
      </c>
      <c r="C348" s="3242">
        <v>0.15</v>
      </c>
      <c r="D348" s="3242">
        <v>0.15</v>
      </c>
      <c r="E348" s="3242">
        <v>0.15</v>
      </c>
      <c r="F348" s="3242">
        <v>0.14399999999999999</v>
      </c>
      <c r="G348" s="3243">
        <v>0.15</v>
      </c>
    </row>
    <row r="349" spans="1:7">
      <c r="A349" s="3252" t="s">
        <v>307</v>
      </c>
      <c r="B349" s="3241" t="s">
        <v>2931</v>
      </c>
      <c r="C349" s="3242">
        <v>0.15</v>
      </c>
      <c r="D349" s="3242">
        <v>0.15</v>
      </c>
      <c r="E349" s="3242">
        <v>0.15</v>
      </c>
      <c r="F349" s="3242">
        <v>0.15</v>
      </c>
      <c r="G349" s="3243">
        <v>0.15</v>
      </c>
    </row>
    <row r="350" spans="1:7">
      <c r="A350" s="3252" t="s">
        <v>307</v>
      </c>
      <c r="B350" s="3241" t="s">
        <v>2934</v>
      </c>
      <c r="C350" s="3242">
        <v>0.15</v>
      </c>
      <c r="D350" s="3242">
        <v>0.15</v>
      </c>
      <c r="E350" s="3242">
        <v>0.15</v>
      </c>
      <c r="F350" s="3242">
        <v>0.14699999999999999</v>
      </c>
      <c r="G350" s="3243">
        <v>0.15</v>
      </c>
    </row>
    <row r="351" spans="1:7">
      <c r="A351" s="3252" t="s">
        <v>307</v>
      </c>
      <c r="B351" s="3241" t="s">
        <v>2939</v>
      </c>
      <c r="C351" s="3242">
        <v>0.15</v>
      </c>
      <c r="D351" s="3242">
        <v>0.15</v>
      </c>
      <c r="E351" s="3242">
        <v>0.15</v>
      </c>
      <c r="F351" s="3242">
        <v>0.13</v>
      </c>
      <c r="G351" s="3243">
        <v>0.15</v>
      </c>
    </row>
    <row r="352" spans="1:7">
      <c r="A352" s="3252" t="s">
        <v>307</v>
      </c>
      <c r="B352" s="3241" t="s">
        <v>2944</v>
      </c>
      <c r="C352" s="3242">
        <v>0.15</v>
      </c>
      <c r="D352" s="3242">
        <v>0.15</v>
      </c>
      <c r="E352" s="3242">
        <v>0.15</v>
      </c>
      <c r="F352" s="3242">
        <v>0.14599999999999999</v>
      </c>
      <c r="G352" s="3243">
        <v>0.15</v>
      </c>
    </row>
    <row r="353" spans="1:7">
      <c r="A353" s="3252" t="s">
        <v>307</v>
      </c>
      <c r="B353" s="3241" t="s">
        <v>2951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2964</v>
      </c>
      <c r="C355" s="3242">
        <v>0.15</v>
      </c>
      <c r="D355" s="3242">
        <v>0.15</v>
      </c>
      <c r="E355" s="3242">
        <v>0.15</v>
      </c>
      <c r="F355" s="3242">
        <v>0.15</v>
      </c>
      <c r="G355" s="3243">
        <v>0.15</v>
      </c>
    </row>
    <row r="356" spans="1:7">
      <c r="A356" s="3252" t="s">
        <v>307</v>
      </c>
      <c r="B356" s="3241" t="s">
        <v>2971</v>
      </c>
      <c r="C356" s="3242">
        <v>0.15</v>
      </c>
      <c r="D356" s="3242">
        <v>0.15</v>
      </c>
      <c r="E356" s="3242">
        <v>0.15</v>
      </c>
      <c r="F356" s="3242">
        <v>0.15</v>
      </c>
      <c r="G356" s="3243">
        <v>0.15</v>
      </c>
    </row>
    <row r="357" spans="1:7" ht="14.25" thickBot="1">
      <c r="A357" s="3255" t="s">
        <v>307</v>
      </c>
      <c r="B357" s="3245" t="s">
        <v>2976</v>
      </c>
      <c r="C357" s="3246">
        <v>0.126</v>
      </c>
      <c r="D357" s="3246">
        <v>0.127</v>
      </c>
      <c r="E357" s="3246">
        <v>0.14299999999999999</v>
      </c>
      <c r="F357" s="3246">
        <v>0.125</v>
      </c>
      <c r="G357" s="3248">
        <v>0.129</v>
      </c>
    </row>
    <row r="358" spans="1:7">
      <c r="A358" s="3251" t="s">
        <v>2845</v>
      </c>
      <c r="B358" s="3237" t="s">
        <v>2859</v>
      </c>
      <c r="C358" s="3238">
        <v>0.15</v>
      </c>
      <c r="D358" s="3238">
        <v>0.15</v>
      </c>
      <c r="E358" s="3238">
        <v>0.15</v>
      </c>
      <c r="F358" s="3238">
        <v>0.15</v>
      </c>
      <c r="G358" s="3239">
        <v>0.15</v>
      </c>
    </row>
    <row r="359" spans="1:7">
      <c r="A359" s="3252" t="s">
        <v>2845</v>
      </c>
      <c r="B359" s="3241" t="s">
        <v>2865</v>
      </c>
      <c r="C359" s="3242">
        <v>0.1</v>
      </c>
      <c r="D359" s="3242">
        <v>0.1</v>
      </c>
      <c r="E359" s="3242">
        <v>0.1</v>
      </c>
      <c r="F359" s="3242">
        <v>0.1</v>
      </c>
      <c r="G359" s="3243">
        <v>0.1</v>
      </c>
    </row>
    <row r="360" spans="1:7">
      <c r="A360" s="3252" t="s">
        <v>2845</v>
      </c>
      <c r="B360" s="3241" t="s">
        <v>2871</v>
      </c>
      <c r="C360" s="3242">
        <v>0.15</v>
      </c>
      <c r="D360" s="3242">
        <v>0.15</v>
      </c>
      <c r="E360" s="3242">
        <v>0.15</v>
      </c>
      <c r="F360" s="3242">
        <v>0.14899999999999999</v>
      </c>
      <c r="G360" s="3243">
        <v>0.15</v>
      </c>
    </row>
    <row r="361" spans="1:7">
      <c r="A361" s="3252" t="s">
        <v>2845</v>
      </c>
      <c r="B361" s="3241" t="s">
        <v>153</v>
      </c>
      <c r="C361" s="3242">
        <v>0.15</v>
      </c>
      <c r="D361" s="3242">
        <v>0.15</v>
      </c>
      <c r="E361" s="3242">
        <v>0.15</v>
      </c>
      <c r="F361" s="3242">
        <v>0.115</v>
      </c>
      <c r="G361" s="3243">
        <v>0.15</v>
      </c>
    </row>
    <row r="362" spans="1:7">
      <c r="A362" s="3252" t="s">
        <v>2845</v>
      </c>
      <c r="B362" s="3241" t="s">
        <v>2878</v>
      </c>
      <c r="C362" s="3242">
        <v>0.15</v>
      </c>
      <c r="D362" s="3242">
        <v>0.15</v>
      </c>
      <c r="E362" s="3242">
        <v>0.15</v>
      </c>
      <c r="F362" s="3242">
        <v>0.106</v>
      </c>
      <c r="G362" s="3243">
        <v>0.15</v>
      </c>
    </row>
    <row r="363" spans="1:7">
      <c r="A363" s="3252" t="s">
        <v>2845</v>
      </c>
      <c r="B363" s="3241" t="s">
        <v>2883</v>
      </c>
      <c r="C363" s="3242">
        <v>0.15</v>
      </c>
      <c r="D363" s="3242">
        <v>0.15</v>
      </c>
      <c r="E363" s="3242">
        <v>0.15</v>
      </c>
      <c r="F363" s="3242">
        <v>0.14699999999999999</v>
      </c>
      <c r="G363" s="3243">
        <v>0.15</v>
      </c>
    </row>
    <row r="364" spans="1:7">
      <c r="A364" s="3252" t="s">
        <v>2845</v>
      </c>
      <c r="B364" s="3241" t="s">
        <v>2887</v>
      </c>
      <c r="C364" s="3242">
        <v>0.15</v>
      </c>
      <c r="D364" s="3242">
        <v>0.15</v>
      </c>
      <c r="E364" s="3242">
        <v>0.15</v>
      </c>
      <c r="F364" s="3242">
        <v>0.14799999999999999</v>
      </c>
      <c r="G364" s="3243">
        <v>0.15</v>
      </c>
    </row>
    <row r="365" spans="1:7">
      <c r="A365" s="3252" t="s">
        <v>2845</v>
      </c>
      <c r="B365" s="3241" t="s">
        <v>200</v>
      </c>
      <c r="C365" s="3242">
        <v>0.15</v>
      </c>
      <c r="D365" s="3242">
        <v>0.15</v>
      </c>
      <c r="E365" s="3242">
        <v>0.15</v>
      </c>
      <c r="F365" s="3242">
        <v>0.15</v>
      </c>
      <c r="G365" s="3243">
        <v>0.15</v>
      </c>
    </row>
    <row r="366" spans="1:7">
      <c r="A366" s="3252" t="s">
        <v>2845</v>
      </c>
      <c r="B366" s="3241" t="s">
        <v>2890</v>
      </c>
      <c r="C366" s="3242">
        <v>0.15</v>
      </c>
      <c r="D366" s="3242">
        <v>0.15</v>
      </c>
      <c r="E366" s="3242">
        <v>0.15</v>
      </c>
      <c r="F366" s="3242">
        <v>0.15</v>
      </c>
      <c r="G366" s="3243">
        <v>0.15</v>
      </c>
    </row>
    <row r="367" spans="1:7">
      <c r="A367" s="3252" t="s">
        <v>2845</v>
      </c>
      <c r="B367" s="3241" t="s">
        <v>2893</v>
      </c>
      <c r="C367" s="3242">
        <v>0.15</v>
      </c>
      <c r="D367" s="3242">
        <v>0.15</v>
      </c>
      <c r="E367" s="3242">
        <v>0.15</v>
      </c>
      <c r="F367" s="3242">
        <v>0.14699999999999999</v>
      </c>
      <c r="G367" s="3243">
        <v>0.15</v>
      </c>
    </row>
    <row r="368" spans="1:7">
      <c r="A368" s="3252" t="s">
        <v>2845</v>
      </c>
      <c r="B368" s="3241" t="s">
        <v>2898</v>
      </c>
      <c r="C368" s="3242">
        <v>0.15</v>
      </c>
      <c r="D368" s="3242">
        <v>0.15</v>
      </c>
      <c r="E368" s="3242">
        <v>0.15</v>
      </c>
      <c r="F368" s="3242">
        <v>0.13600000000000001</v>
      </c>
      <c r="G368" s="3243">
        <v>0.15</v>
      </c>
    </row>
    <row r="369" spans="1:7">
      <c r="A369" s="3252" t="s">
        <v>2845</v>
      </c>
      <c r="B369" s="3241" t="s">
        <v>214</v>
      </c>
      <c r="C369" s="3242">
        <v>0.15</v>
      </c>
      <c r="D369" s="3242">
        <v>0.15</v>
      </c>
      <c r="E369" s="3242">
        <v>0.15</v>
      </c>
      <c r="F369" s="3242">
        <v>0.14399999999999999</v>
      </c>
      <c r="G369" s="3243">
        <v>0.15</v>
      </c>
    </row>
    <row r="370" spans="1:7">
      <c r="A370" s="3252" t="s">
        <v>2845</v>
      </c>
      <c r="B370" s="3241" t="s">
        <v>221</v>
      </c>
      <c r="C370" s="3242">
        <v>0.15</v>
      </c>
      <c r="D370" s="3242">
        <v>0.15</v>
      </c>
      <c r="E370" s="3242">
        <v>0.15</v>
      </c>
      <c r="F370" s="3242">
        <v>0.14599999999999999</v>
      </c>
      <c r="G370" s="3243">
        <v>0.15</v>
      </c>
    </row>
    <row r="371" spans="1:7">
      <c r="A371" s="3252" t="s">
        <v>2845</v>
      </c>
      <c r="B371" s="3241" t="s">
        <v>229</v>
      </c>
      <c r="C371" s="3242">
        <v>0.15</v>
      </c>
      <c r="D371" s="3242">
        <v>0.15</v>
      </c>
      <c r="E371" s="3242">
        <v>0.15</v>
      </c>
      <c r="F371" s="3242">
        <v>0.12</v>
      </c>
      <c r="G371" s="3243">
        <v>0.15</v>
      </c>
    </row>
    <row r="372" spans="1:7">
      <c r="A372" s="3252" t="s">
        <v>2845</v>
      </c>
      <c r="B372" s="3241" t="s">
        <v>2906</v>
      </c>
      <c r="C372" s="3242">
        <v>0.15</v>
      </c>
      <c r="D372" s="3242">
        <v>0.15</v>
      </c>
      <c r="E372" s="3242">
        <v>0.15</v>
      </c>
      <c r="F372" s="3242">
        <v>0.14299999999999999</v>
      </c>
      <c r="G372" s="3243">
        <v>0.15</v>
      </c>
    </row>
    <row r="373" spans="1:7">
      <c r="A373" s="3252" t="s">
        <v>2845</v>
      </c>
      <c r="B373" s="3241" t="s">
        <v>258</v>
      </c>
      <c r="C373" s="3242">
        <v>0.15</v>
      </c>
      <c r="D373" s="3242">
        <v>0.15</v>
      </c>
      <c r="E373" s="3242">
        <v>0.15</v>
      </c>
      <c r="F373" s="3242">
        <v>0.14599999999999999</v>
      </c>
      <c r="G373" s="3243">
        <v>0.15</v>
      </c>
    </row>
    <row r="374" spans="1:7">
      <c r="A374" s="3252" t="s">
        <v>2845</v>
      </c>
      <c r="B374" s="3241" t="s">
        <v>266</v>
      </c>
      <c r="C374" s="3242">
        <v>0.15</v>
      </c>
      <c r="D374" s="3242">
        <v>0.15</v>
      </c>
      <c r="E374" s="3242">
        <v>0.15</v>
      </c>
      <c r="F374" s="3242">
        <v>0.14399999999999999</v>
      </c>
      <c r="G374" s="3243">
        <v>0.15</v>
      </c>
    </row>
    <row r="375" spans="1:7">
      <c r="A375" s="3252" t="s">
        <v>2845</v>
      </c>
      <c r="B375" s="3241" t="s">
        <v>2914</v>
      </c>
      <c r="C375" s="3242">
        <v>0.15</v>
      </c>
      <c r="D375" s="3242">
        <v>0.15</v>
      </c>
      <c r="E375" s="3242">
        <v>0.15</v>
      </c>
      <c r="F375" s="3242">
        <v>0.13</v>
      </c>
      <c r="G375" s="3243">
        <v>0.15</v>
      </c>
    </row>
    <row r="376" spans="1:7">
      <c r="A376" s="3252" t="s">
        <v>2845</v>
      </c>
      <c r="B376" s="3241" t="s">
        <v>277</v>
      </c>
      <c r="C376" s="3242">
        <v>0.15</v>
      </c>
      <c r="D376" s="3242">
        <v>0.15</v>
      </c>
      <c r="E376" s="3242">
        <v>0.15</v>
      </c>
      <c r="F376" s="3242">
        <v>0.14199999999999999</v>
      </c>
      <c r="G376" s="3243">
        <v>0.15</v>
      </c>
    </row>
    <row r="377" spans="1:7" ht="14.25" thickBot="1">
      <c r="A377" s="3255" t="s">
        <v>2845</v>
      </c>
      <c r="B377" s="3245" t="s">
        <v>2920</v>
      </c>
      <c r="C377" s="3246">
        <v>0.15</v>
      </c>
      <c r="D377" s="3246">
        <v>0.15</v>
      </c>
      <c r="E377" s="3246">
        <v>0.15</v>
      </c>
      <c r="F377" s="3246">
        <v>0.14000000000000001</v>
      </c>
      <c r="G377" s="3248">
        <v>0.15</v>
      </c>
    </row>
    <row r="378" spans="1:7">
      <c r="A378" s="3251" t="s">
        <v>2846</v>
      </c>
      <c r="B378" s="3237" t="s">
        <v>2860</v>
      </c>
      <c r="C378" s="3238">
        <v>0.15</v>
      </c>
      <c r="D378" s="3238">
        <v>0.15</v>
      </c>
      <c r="E378" s="3238">
        <v>0.15</v>
      </c>
      <c r="F378" s="3238">
        <v>0.107</v>
      </c>
      <c r="G378" s="3239">
        <v>0.15</v>
      </c>
    </row>
    <row r="379" spans="1:7">
      <c r="A379" s="3252" t="s">
        <v>2846</v>
      </c>
      <c r="B379" s="3241" t="s">
        <v>2866</v>
      </c>
      <c r="C379" s="3242">
        <v>0.15</v>
      </c>
      <c r="D379" s="3242">
        <v>0.15</v>
      </c>
      <c r="E379" s="3242">
        <v>0.15</v>
      </c>
      <c r="F379" s="3242">
        <v>0.115</v>
      </c>
      <c r="G379" s="3243">
        <v>0.14899999999999999</v>
      </c>
    </row>
    <row r="380" spans="1:7">
      <c r="A380" s="3252" t="s">
        <v>2846</v>
      </c>
      <c r="B380" s="3241" t="s">
        <v>2872</v>
      </c>
      <c r="C380" s="3242">
        <v>0.15</v>
      </c>
      <c r="D380" s="3242">
        <v>0.15</v>
      </c>
      <c r="E380" s="3242">
        <v>0.15</v>
      </c>
      <c r="F380" s="3242">
        <v>0.1</v>
      </c>
      <c r="G380" s="3243">
        <v>0.14799999999999999</v>
      </c>
    </row>
    <row r="381" spans="1:7">
      <c r="A381" s="3252" t="s">
        <v>2846</v>
      </c>
      <c r="B381" s="3241" t="s">
        <v>2875</v>
      </c>
      <c r="C381" s="3242">
        <v>0.15</v>
      </c>
      <c r="D381" s="3242">
        <v>0.15</v>
      </c>
      <c r="E381" s="3242">
        <v>0.15</v>
      </c>
      <c r="F381" s="3242">
        <v>0.126</v>
      </c>
      <c r="G381" s="3243">
        <v>0.15</v>
      </c>
    </row>
    <row r="382" spans="1:7">
      <c r="A382" s="3252" t="s">
        <v>2846</v>
      </c>
      <c r="B382" s="3241" t="s">
        <v>2879</v>
      </c>
      <c r="C382" s="3242">
        <v>0.15</v>
      </c>
      <c r="D382" s="3242">
        <v>0.15</v>
      </c>
      <c r="E382" s="3242">
        <v>0.15</v>
      </c>
      <c r="F382" s="3242">
        <v>0.15</v>
      </c>
      <c r="G382" s="3243">
        <v>0.15</v>
      </c>
    </row>
    <row r="383" spans="1:7">
      <c r="A383" s="3252" t="s">
        <v>2846</v>
      </c>
      <c r="B383" s="3241" t="s">
        <v>2884</v>
      </c>
      <c r="C383" s="3242">
        <v>0.15</v>
      </c>
      <c r="D383" s="3242">
        <v>0.15</v>
      </c>
      <c r="E383" s="3242">
        <v>0.15</v>
      </c>
      <c r="F383" s="3242">
        <v>0.14699999999999999</v>
      </c>
      <c r="G383" s="3243">
        <v>0.15</v>
      </c>
    </row>
    <row r="384" spans="1:7" ht="14.25" thickBot="1">
      <c r="A384" s="3262" t="s">
        <v>2846</v>
      </c>
      <c r="B384" s="3263" t="s">
        <v>2888</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9" customWidth="1"/>
    <col min="2" max="2" width="37.25" style="1479" customWidth="1"/>
    <col min="3" max="3" width="11.375" style="1479" customWidth="1"/>
    <col min="4" max="4" width="31.75" style="1479" customWidth="1"/>
    <col min="5" max="5" width="0.5" style="1479" customWidth="1"/>
    <col min="6" max="7" width="13" style="1479" customWidth="1"/>
    <col min="8" max="16384" width="9" style="1479"/>
  </cols>
  <sheetData>
    <row r="1" spans="1:5" ht="18.75">
      <c r="A1" s="1477" t="s">
        <v>908</v>
      </c>
      <c r="B1" s="1478"/>
      <c r="C1" s="1478"/>
      <c r="D1" s="1478"/>
      <c r="E1" s="1478"/>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0"/>
      <c r="B4" s="3521" t="s">
        <v>917</v>
      </c>
      <c r="C4" s="3521"/>
      <c r="D4" s="3521"/>
      <c r="E4" s="1480"/>
    </row>
    <row r="5" spans="1:5" ht="16.5" thickTop="1">
      <c r="A5" s="1478"/>
      <c r="B5" s="3519" t="s">
        <v>909</v>
      </c>
      <c r="C5" s="1481" t="s">
        <v>910</v>
      </c>
      <c r="D5" s="837">
        <f ca="1">结果表!H101</f>
        <v>336444</v>
      </c>
      <c r="E5" s="1478"/>
    </row>
    <row r="6" spans="1:5" ht="15.75">
      <c r="A6" s="1478"/>
      <c r="B6" s="3519"/>
      <c r="C6" s="1481" t="s">
        <v>911</v>
      </c>
      <c r="D6" s="837" t="str">
        <f ca="1">NUMBERSTRING(INT(D5*10000),2)&amp;"元整"</f>
        <v>叁拾叁亿陆仟肆佰肆拾肆万元整</v>
      </c>
      <c r="E6" s="1478"/>
    </row>
    <row r="7" spans="1:5" ht="15.75">
      <c r="A7" s="1478"/>
      <c r="B7" s="3524"/>
      <c r="C7" s="1482" t="s">
        <v>912</v>
      </c>
      <c r="D7" s="838">
        <f ca="1">结果表!H102</f>
        <v>34222</v>
      </c>
      <c r="E7" s="1478"/>
    </row>
    <row r="8" spans="1:5" ht="15.75">
      <c r="A8" s="1478"/>
      <c r="B8" s="3525" t="str">
        <f>结果表!E103</f>
        <v>2.估价师知悉的法定优先受偿款</v>
      </c>
      <c r="C8" s="1483" t="s">
        <v>913</v>
      </c>
      <c r="D8" s="838">
        <f>结果表!H103</f>
        <v>0</v>
      </c>
      <c r="E8" s="1478"/>
    </row>
    <row r="9" spans="1:5" ht="15.75">
      <c r="A9" s="1478"/>
      <c r="B9" s="3527"/>
      <c r="C9" s="1481" t="s">
        <v>911</v>
      </c>
      <c r="D9" s="837" t="str">
        <f>NUMBERSTRING(INT(D8*10000),2)&amp;"元整"</f>
        <v>零元整</v>
      </c>
      <c r="E9" s="1478"/>
    </row>
    <row r="10" spans="1:5" ht="15">
      <c r="A10" s="1478"/>
      <c r="B10" s="1484" t="s">
        <v>916</v>
      </c>
      <c r="C10" s="1485" t="s">
        <v>914</v>
      </c>
      <c r="D10" s="839">
        <f>结果表!H104</f>
        <v>0</v>
      </c>
      <c r="E10" s="1478"/>
    </row>
    <row r="11" spans="1:5" ht="15">
      <c r="A11" s="1478"/>
      <c r="B11" s="1484" t="s">
        <v>918</v>
      </c>
      <c r="C11" s="1485" t="s">
        <v>919</v>
      </c>
      <c r="D11" s="839">
        <f>结果表!H105</f>
        <v>0</v>
      </c>
      <c r="E11" s="1478"/>
    </row>
    <row r="12" spans="1:5" ht="15">
      <c r="A12" s="1478"/>
      <c r="B12" s="1484" t="s">
        <v>920</v>
      </c>
      <c r="C12" s="1485" t="s">
        <v>919</v>
      </c>
      <c r="D12" s="839">
        <f>结果表!H106</f>
        <v>0</v>
      </c>
      <c r="E12" s="1478"/>
    </row>
    <row r="13" spans="1:5" ht="15.75">
      <c r="A13" s="1478"/>
      <c r="B13" s="3518" t="str">
        <f>结果表!E107</f>
        <v>3.房地产抵押价值</v>
      </c>
      <c r="C13" s="1486" t="s">
        <v>910</v>
      </c>
      <c r="D13" s="840">
        <f ca="1">结果表!H107</f>
        <v>336444</v>
      </c>
      <c r="E13" s="1478"/>
    </row>
    <row r="14" spans="1:5" ht="15.75">
      <c r="A14" s="1478"/>
      <c r="B14" s="3519"/>
      <c r="C14" s="1481" t="s">
        <v>911</v>
      </c>
      <c r="D14" s="837" t="str">
        <f ca="1">NUMBERSTRING(INT(D13*10000),2)&amp;"元整"</f>
        <v>叁拾叁亿陆仟肆佰肆拾肆万元整</v>
      </c>
      <c r="E14" s="1478"/>
    </row>
    <row r="15" spans="1:5" ht="15">
      <c r="A15" s="1478"/>
      <c r="B15" s="3524"/>
      <c r="C15" s="1482" t="s">
        <v>921</v>
      </c>
      <c r="D15" s="846">
        <f ca="1">结果表!H108</f>
        <v>34222</v>
      </c>
      <c r="E15" s="1478"/>
    </row>
    <row r="16" spans="1:5" ht="15">
      <c r="A16" s="1478"/>
      <c r="B16" s="3525" t="str">
        <f>结果表!E109</f>
        <v>——</v>
      </c>
      <c r="C16" s="1486" t="s">
        <v>922</v>
      </c>
      <c r="D16" s="1487" t="str">
        <f>结果表!H109</f>
        <v>——</v>
      </c>
      <c r="E16" s="1478"/>
    </row>
    <row r="17" spans="1:5" ht="15.75">
      <c r="A17" s="1478"/>
      <c r="B17" s="3526"/>
      <c r="C17" s="1481" t="s">
        <v>923</v>
      </c>
      <c r="D17" s="837" t="e">
        <f>NUMBERSTRING(INT(D16*10000),2)&amp;"元整"</f>
        <v>#VALUE!</v>
      </c>
      <c r="E17" s="1478"/>
    </row>
    <row r="18" spans="1:5" ht="15">
      <c r="A18" s="1478"/>
      <c r="B18" s="3527"/>
      <c r="C18" s="1482" t="s">
        <v>912</v>
      </c>
      <c r="D18" s="846" t="str">
        <f>结果表!H110</f>
        <v>——</v>
      </c>
      <c r="E18" s="1478"/>
    </row>
    <row r="19" spans="1:5" ht="15.75">
      <c r="A19" s="1478"/>
      <c r="B19" s="3518" t="str">
        <f>结果表!E111</f>
        <v>4.抵押净值</v>
      </c>
      <c r="C19" s="1486" t="s">
        <v>910</v>
      </c>
      <c r="D19" s="838">
        <f ca="1">结果表!H111</f>
        <v>283207</v>
      </c>
      <c r="E19" s="1478"/>
    </row>
    <row r="20" spans="1:5" ht="15.75">
      <c r="A20" s="1478"/>
      <c r="B20" s="3519"/>
      <c r="C20" s="1481" t="s">
        <v>923</v>
      </c>
      <c r="D20" s="837" t="str">
        <f ca="1">NUMBERSTRING(INT(D19*10000),2)&amp;"元整"</f>
        <v>贰拾捌亿叁仟贰佰零柒万元整</v>
      </c>
      <c r="E20" s="1478"/>
    </row>
    <row r="21" spans="1:5" ht="15.75" thickBot="1">
      <c r="A21" s="1478"/>
      <c r="B21" s="3520"/>
      <c r="C21" s="1488" t="s">
        <v>921</v>
      </c>
      <c r="D21" s="847">
        <f ca="1">结果表!H112</f>
        <v>28807</v>
      </c>
      <c r="E21" s="1478"/>
    </row>
    <row r="22" spans="1:5" ht="15" thickTop="1">
      <c r="A22" s="1478"/>
      <c r="B22" s="1489" t="s">
        <v>924</v>
      </c>
      <c r="C22" s="1478"/>
      <c r="D22" s="1478"/>
      <c r="E22" s="1478"/>
    </row>
    <row r="23" spans="1:5">
      <c r="A23" s="1478"/>
      <c r="B23" s="1478"/>
      <c r="C23" s="1478"/>
      <c r="D23" s="1478"/>
      <c r="E23" s="1478"/>
    </row>
    <row r="24" spans="1:5" ht="18.75">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824" t="s">
        <v>3227</v>
      </c>
      <c r="B1" s="3824"/>
      <c r="C1" s="3824"/>
      <c r="D1" s="3824"/>
      <c r="E1" s="3824"/>
      <c r="F1" s="3825"/>
    </row>
    <row r="2" spans="1:6">
      <c r="A2" s="3268" t="s">
        <v>3228</v>
      </c>
      <c r="B2" s="3269"/>
      <c r="C2" s="3269"/>
      <c r="D2" s="3269"/>
      <c r="E2" s="3269"/>
      <c r="F2" s="3269"/>
    </row>
    <row r="3" spans="1:6">
      <c r="A3" s="3268" t="s">
        <v>3229</v>
      </c>
      <c r="B3" s="3269"/>
      <c r="C3" s="3269"/>
      <c r="D3" s="3269"/>
      <c r="E3" s="3269"/>
      <c r="F3" s="3270" t="s">
        <v>3230</v>
      </c>
    </row>
    <row r="4" spans="1:6">
      <c r="A4" s="3271" t="s">
        <v>672</v>
      </c>
      <c r="B4" s="3271" t="s">
        <v>673</v>
      </c>
      <c r="C4" s="3271" t="s">
        <v>21</v>
      </c>
      <c r="D4" s="3271" t="s">
        <v>674</v>
      </c>
      <c r="E4" s="3271" t="s">
        <v>3</v>
      </c>
      <c r="F4" s="3271" t="s">
        <v>3231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0" sqref="J50"/>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t="s">
        <v>3422</v>
      </c>
      <c r="D1" s="1349" t="s">
        <v>43</v>
      </c>
      <c r="E1" s="1350" t="s">
        <v>678</v>
      </c>
      <c r="F1" s="1049">
        <f ca="1">J53</f>
        <v>17.63</v>
      </c>
      <c r="G1" s="1365">
        <f>MATCH(C1,'数据-取费表'!A6:A16,0)+5</f>
        <v>6</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804</v>
      </c>
      <c r="B2" s="1373">
        <f ca="1">C40+J29+L46</f>
        <v>296311</v>
      </c>
      <c r="C2" s="1374" t="s">
        <v>805</v>
      </c>
      <c r="D2" s="1374"/>
      <c r="E2" s="1375"/>
      <c r="F2" s="1376"/>
      <c r="G2" s="2691"/>
      <c r="H2" s="2680"/>
      <c r="I2" s="2680"/>
      <c r="J2" s="2680"/>
      <c r="K2" s="2681"/>
      <c r="L2" s="2680"/>
      <c r="M2" s="2680"/>
    </row>
    <row r="3" spans="1:37" ht="18" customHeight="1" thickBot="1">
      <c r="A3" s="1377" t="s">
        <v>806</v>
      </c>
      <c r="B3" s="1378">
        <f ca="1">IF(ISERROR(B2*10000/F43),0,ROUND(B2*10000/F43,0))</f>
        <v>30140</v>
      </c>
      <c r="C3" s="1374" t="s">
        <v>807</v>
      </c>
      <c r="D3" s="1374"/>
      <c r="E3" s="1375"/>
      <c r="F3" s="1376"/>
      <c r="G3" s="2691"/>
      <c r="H3" s="670" t="s">
        <v>876</v>
      </c>
      <c r="I3" s="1369"/>
      <c r="J3" s="1369"/>
      <c r="K3" s="1370"/>
      <c r="L3" s="1369"/>
      <c r="M3" s="1369"/>
    </row>
    <row r="4" spans="1:37" ht="18" customHeight="1">
      <c r="A4" s="285" t="s">
        <v>687</v>
      </c>
      <c r="B4" s="286" t="s">
        <v>688</v>
      </c>
      <c r="C4" s="286" t="s">
        <v>689</v>
      </c>
      <c r="D4" s="286" t="s">
        <v>690</v>
      </c>
      <c r="E4" s="287" t="s">
        <v>691</v>
      </c>
      <c r="F4" s="288"/>
      <c r="G4" s="1371"/>
      <c r="H4" s="285" t="s">
        <v>687</v>
      </c>
      <c r="I4" s="286" t="s">
        <v>688</v>
      </c>
      <c r="J4" s="286" t="s">
        <v>689</v>
      </c>
      <c r="K4" s="286" t="s">
        <v>690</v>
      </c>
      <c r="L4" s="287" t="s">
        <v>691</v>
      </c>
      <c r="M4" s="288"/>
    </row>
    <row r="5" spans="1:37" ht="18" customHeight="1">
      <c r="A5" s="289">
        <v>1</v>
      </c>
      <c r="B5" s="290" t="s">
        <v>692</v>
      </c>
      <c r="C5" s="1057">
        <f ca="1">C6+C10+C12</f>
        <v>25545</v>
      </c>
      <c r="D5" s="1351" t="s">
        <v>693</v>
      </c>
      <c r="E5" s="1058"/>
      <c r="F5" s="1059"/>
      <c r="G5" s="1371"/>
      <c r="H5" s="289">
        <v>1</v>
      </c>
      <c r="I5" s="290" t="s">
        <v>692</v>
      </c>
      <c r="J5" s="1057">
        <f ca="1">J6+J10+J12</f>
        <v>0</v>
      </c>
      <c r="K5" s="1351" t="s">
        <v>693</v>
      </c>
      <c r="L5" s="1058"/>
      <c r="M5" s="1059"/>
    </row>
    <row r="6" spans="1:37" ht="18" customHeight="1">
      <c r="A6" s="1056" t="s">
        <v>398</v>
      </c>
      <c r="B6" s="3750" t="s">
        <v>694</v>
      </c>
      <c r="C6" s="1061">
        <f ca="1">ROUND(F6*F8*F7*(1-F9)/10000,0)</f>
        <v>25513</v>
      </c>
      <c r="D6" s="145" t="s">
        <v>2108</v>
      </c>
      <c r="E6" s="292" t="s">
        <v>696</v>
      </c>
      <c r="F6" s="293">
        <f ca="1">INDIRECT("'数据-取费表'!u"&amp;$G$1)</f>
        <v>7.9</v>
      </c>
      <c r="G6" s="1371"/>
      <c r="H6" s="1056" t="s">
        <v>398</v>
      </c>
      <c r="I6" s="3750" t="s">
        <v>694</v>
      </c>
      <c r="J6" s="291">
        <f ca="1">ROUND(M6*M8*M7*(1-M9)/10000,0)</f>
        <v>0</v>
      </c>
      <c r="K6" s="145" t="s">
        <v>2107</v>
      </c>
      <c r="L6" s="292" t="s">
        <v>696</v>
      </c>
      <c r="M6" s="293">
        <f ca="1">INDIRECT("'数据-取费表'!z"&amp;$G$1)</f>
        <v>0</v>
      </c>
    </row>
    <row r="7" spans="1:37" ht="18" customHeight="1">
      <c r="A7" s="1060"/>
      <c r="B7" s="3751"/>
      <c r="C7" s="1062"/>
      <c r="D7" s="297"/>
      <c r="E7" s="1063" t="s">
        <v>697</v>
      </c>
      <c r="F7" s="293">
        <f ca="1">IF(INDIRECT("'数据-取费表'!ah"&amp;$G$1)="",INDIRECT("'数据-取费表'!k"&amp;$G$1),INDIRECT("'数据-取费表'!ah"&amp;$G$1))</f>
        <v>98312.17</v>
      </c>
      <c r="G7" s="1371"/>
      <c r="H7" s="294"/>
      <c r="I7" s="3751"/>
      <c r="J7" s="296"/>
      <c r="K7" s="297"/>
      <c r="L7" s="292" t="s">
        <v>697</v>
      </c>
      <c r="M7" s="293">
        <f ca="1">F7</f>
        <v>98312.17</v>
      </c>
    </row>
    <row r="8" spans="1:37" ht="18" customHeight="1">
      <c r="A8" s="294"/>
      <c r="B8" s="3751"/>
      <c r="C8" s="296"/>
      <c r="D8" s="297"/>
      <c r="E8" s="292" t="s">
        <v>698</v>
      </c>
      <c r="F8" s="293">
        <f ca="1">INDIRECT("'数据-取费表'!ai"&amp;$G$1)</f>
        <v>365</v>
      </c>
      <c r="G8" s="1371"/>
      <c r="H8" s="294"/>
      <c r="I8" s="3751"/>
      <c r="J8" s="296"/>
      <c r="K8" s="297"/>
      <c r="L8" s="292" t="s">
        <v>698</v>
      </c>
      <c r="M8" s="293">
        <f ca="1">INDIRECT("'数据-取费表'!ai"&amp;$G$1)</f>
        <v>365</v>
      </c>
    </row>
    <row r="9" spans="1:37" ht="18" customHeight="1">
      <c r="A9" s="294"/>
      <c r="B9" s="3752"/>
      <c r="C9" s="296"/>
      <c r="D9" s="297"/>
      <c r="E9" s="292" t="s">
        <v>699</v>
      </c>
      <c r="F9" s="302">
        <f ca="1">INDIRECT("'数据-取费表'!w"&amp;$G$1)</f>
        <v>0.1</v>
      </c>
      <c r="G9" s="1371"/>
      <c r="H9" s="294"/>
      <c r="I9" s="3752"/>
      <c r="J9" s="296"/>
      <c r="K9" s="297"/>
      <c r="L9" s="303" t="s">
        <v>699</v>
      </c>
      <c r="M9" s="304">
        <f ca="1">INDIRECT("'数据-取费表'!ab"&amp;$G$1)</f>
        <v>0</v>
      </c>
    </row>
    <row r="10" spans="1:37" ht="18" customHeight="1">
      <c r="A10" s="1056" t="s">
        <v>402</v>
      </c>
      <c r="B10" s="1352" t="s">
        <v>700</v>
      </c>
      <c r="C10" s="306">
        <f ca="1">ROUND(IF(F10="押一",C6/12*F11,IF(F10="押二",C6/12*2*F11,IF(F10="押三",C6/12*3*F11,C11*F11))),0)</f>
        <v>32</v>
      </c>
      <c r="D10" s="1353" t="s">
        <v>2116</v>
      </c>
      <c r="E10" s="303" t="s">
        <v>701</v>
      </c>
      <c r="F10" s="1103" t="s">
        <v>3392</v>
      </c>
      <c r="G10" s="1371"/>
      <c r="H10" s="1056" t="s">
        <v>402</v>
      </c>
      <c r="I10" s="1352" t="s">
        <v>700</v>
      </c>
      <c r="J10" s="291">
        <f ca="1">ROUND(IF(M10="押一",J6/12*M11,IF(M10="押二",J6/12*2*M11,IF(M10="押三",J6/12*3*M11,J11*M11))),0)</f>
        <v>0</v>
      </c>
      <c r="K10" s="1353" t="s">
        <v>2115</v>
      </c>
      <c r="L10" s="303" t="s">
        <v>701</v>
      </c>
      <c r="M10" s="1103"/>
    </row>
    <row r="11" spans="1:37" ht="18" customHeight="1">
      <c r="A11" s="298"/>
      <c r="B11" s="1354" t="s">
        <v>679</v>
      </c>
      <c r="C11" s="946"/>
      <c r="D11" s="1355"/>
      <c r="E11" s="303" t="s">
        <v>702</v>
      </c>
      <c r="F11" s="304">
        <f ca="1">'数据-取费表'!B39</f>
        <v>1.4999999999999999E-2</v>
      </c>
      <c r="G11" s="1371"/>
      <c r="H11" s="1064"/>
      <c r="I11" s="1354" t="s">
        <v>679</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100980</v>
      </c>
      <c r="D13" s="1068" t="s">
        <v>705</v>
      </c>
      <c r="E13" s="1068" t="s">
        <v>706</v>
      </c>
      <c r="F13" s="1069">
        <f ca="1">INDIRECT("'数据-取费表'!y"&amp;$G$1)</f>
        <v>0.85</v>
      </c>
      <c r="G13" s="1371"/>
      <c r="H13" s="1066">
        <v>2</v>
      </c>
      <c r="I13" s="1067" t="s">
        <v>704</v>
      </c>
      <c r="J13" s="1055">
        <f ca="1">ROUND(J14*J15,0)</f>
        <v>0</v>
      </c>
      <c r="K13" s="1074" t="s">
        <v>705</v>
      </c>
      <c r="L13" s="1379"/>
      <c r="M13" s="1380"/>
    </row>
    <row r="14" spans="1:37" ht="18" customHeight="1">
      <c r="A14" s="969" t="s">
        <v>397</v>
      </c>
      <c r="B14" s="292" t="s">
        <v>707</v>
      </c>
      <c r="C14" s="308">
        <f ca="1">INDIRECT("'数据-取费表'!m"&amp;$G$1)+INDIRECT("'数据-取费表'!t"&amp;$G$1)</f>
        <v>78650</v>
      </c>
      <c r="D14" s="1332" t="s">
        <v>708</v>
      </c>
      <c r="E14" s="1329"/>
      <c r="F14" s="309"/>
      <c r="G14" s="1371"/>
      <c r="H14" s="969" t="s">
        <v>398</v>
      </c>
      <c r="I14" s="292" t="s">
        <v>709</v>
      </c>
      <c r="J14" s="21">
        <f ca="1">C29</f>
        <v>118800</v>
      </c>
      <c r="K14" s="12"/>
      <c r="L14" s="794"/>
      <c r="M14" s="795"/>
    </row>
    <row r="15" spans="1:37" s="1384" customFormat="1" ht="18" customHeight="1" thickBot="1">
      <c r="A15" s="969" t="s">
        <v>399</v>
      </c>
      <c r="B15" s="292" t="s">
        <v>710</v>
      </c>
      <c r="C15" s="21">
        <f ca="1">ROUND(C14*F15,0)</f>
        <v>3933</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1"/>
      <c r="H16" s="1066" t="s">
        <v>393</v>
      </c>
      <c r="I16" s="1067" t="s">
        <v>714</v>
      </c>
      <c r="J16" s="300">
        <f ca="1">ROUND(J17+J22+J23+J24,0)</f>
        <v>390</v>
      </c>
      <c r="K16" s="1074" t="s">
        <v>715</v>
      </c>
      <c r="L16" s="1075"/>
      <c r="M16" s="1059"/>
    </row>
    <row r="17" spans="1:37" s="1384" customFormat="1" ht="18" customHeight="1">
      <c r="A17" s="969" t="s">
        <v>681</v>
      </c>
      <c r="B17" s="292" t="s">
        <v>716</v>
      </c>
      <c r="C17" s="21">
        <f ca="1">ROUND(F17*(F43+INDIRECT("'数据-取费表'!S"&amp;$G$1))/10000,0)</f>
        <v>1966</v>
      </c>
      <c r="D17" s="292" t="s">
        <v>717</v>
      </c>
      <c r="E17" s="292" t="s">
        <v>718</v>
      </c>
      <c r="F17" s="23">
        <f>'数据-取费表'!B35</f>
        <v>200</v>
      </c>
      <c r="G17" s="1383"/>
      <c r="H17" s="969" t="s">
        <v>398</v>
      </c>
      <c r="I17" s="292" t="s">
        <v>719</v>
      </c>
      <c r="J17" s="2303">
        <f ca="1">ROUND(IF(AND(项目基本情况!B11="自然人",项目基本情况!B10="北京市"),J6*M17/(1+'数据-取费表'!C42),J18+J19+J20),2)</f>
        <v>33.81</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1180</v>
      </c>
      <c r="D18" s="292" t="s">
        <v>711</v>
      </c>
      <c r="E18" s="292" t="s">
        <v>712</v>
      </c>
      <c r="F18" s="312">
        <f>'数据-取费表'!B36</f>
        <v>1.4999999999999999E-2</v>
      </c>
      <c r="G18" s="1383"/>
      <c r="H18" s="969" t="s">
        <v>397</v>
      </c>
      <c r="I18" s="292" t="s">
        <v>723</v>
      </c>
      <c r="J18" s="21">
        <f ca="1">ROUND(J6*M18/(1+'数据-取费表'!C42),2)</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85729</v>
      </c>
      <c r="D19" s="121" t="s">
        <v>726</v>
      </c>
      <c r="E19" s="1347"/>
      <c r="F19" s="23"/>
      <c r="G19" s="1371"/>
      <c r="H19" s="969" t="s">
        <v>399</v>
      </c>
      <c r="I19" s="292" t="s">
        <v>727</v>
      </c>
      <c r="J19" s="21">
        <f ca="1">IF(K19="按租金收入计税",ROUND(J6*M19/(1+'数据-取费表'!C42),2),ROUND(C29*M19*0.7,2))</f>
        <v>0</v>
      </c>
      <c r="K19" s="1357" t="s">
        <v>3331</v>
      </c>
      <c r="L19" s="292" t="s">
        <v>712</v>
      </c>
      <c r="M19" s="312">
        <f>IF(K19="按租金收入计税",'数据-取费表'!B51,'数据-取费表'!B50)</f>
        <v>0.12</v>
      </c>
    </row>
    <row r="20" spans="1:37" s="1384" customFormat="1" ht="18" customHeight="1">
      <c r="A20" s="969" t="s">
        <v>402</v>
      </c>
      <c r="B20" s="292" t="s">
        <v>728</v>
      </c>
      <c r="C20" s="21">
        <f ca="1">ROUND(C19*F20,0)</f>
        <v>1715</v>
      </c>
      <c r="D20" s="313" t="s">
        <v>729</v>
      </c>
      <c r="E20" s="292" t="s">
        <v>712</v>
      </c>
      <c r="F20" s="312">
        <f>'数据-取费表'!B37</f>
        <v>0.02</v>
      </c>
      <c r="G20" s="1383"/>
      <c r="H20" s="969" t="s">
        <v>680</v>
      </c>
      <c r="I20" s="145" t="s">
        <v>730</v>
      </c>
      <c r="J20" s="22">
        <f ca="1">ROUND(M20*M21/10000,2)</f>
        <v>33.81</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15</v>
      </c>
      <c r="D21" s="313" t="s">
        <v>734</v>
      </c>
      <c r="E21" s="292" t="s">
        <v>735</v>
      </c>
      <c r="F21" s="312">
        <f>'数据-取费表'!B38</f>
        <v>0.02</v>
      </c>
      <c r="G21" s="1383"/>
      <c r="H21" s="316"/>
      <c r="I21" s="301"/>
      <c r="J21" s="26"/>
      <c r="K21" s="317"/>
      <c r="L21" s="292" t="s">
        <v>736</v>
      </c>
      <c r="M21" s="293">
        <f ca="1">INDIRECT("'数据-取费表'!r"&amp;$G$1)</f>
        <v>28178.74</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ROUND(J14*M22,2)</f>
        <v>356.4</v>
      </c>
      <c r="K22" s="1331" t="s">
        <v>739</v>
      </c>
      <c r="L22" s="292" t="s">
        <v>712</v>
      </c>
      <c r="M22" s="318">
        <f ca="1">INDIRECT("'数据-取费表'!Ak"&amp;$G$1)</f>
        <v>3.0000000000000001E-3</v>
      </c>
    </row>
    <row r="23" spans="1:37" s="1384" customFormat="1" ht="18" customHeight="1">
      <c r="A23" s="969" t="s">
        <v>397</v>
      </c>
      <c r="B23" s="292" t="s">
        <v>740</v>
      </c>
      <c r="C23" s="21">
        <f ca="1">IF('数据-取费表'!B22&lt;=1,ROUND(C19*F24*F23/2,0)+ROUND(C20*F24*F23/2,0),ROUND(C19*(POWER((1+F24),F23/2)-1),0)+ROUND(C20*(POWER((1+F24),F23/2)-1),0))</f>
        <v>4565</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ROUND(J13*M23,2)</f>
        <v>0</v>
      </c>
      <c r="K23" s="1331" t="s">
        <v>743</v>
      </c>
      <c r="L23" s="292" t="s">
        <v>744</v>
      </c>
      <c r="M23" s="320">
        <f ca="1">INDIRECT("'数据-取费表'!Al"&amp;$G$1)</f>
        <v>1E-3</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ROUND(J5*M24,2)</f>
        <v>0</v>
      </c>
      <c r="K24" s="1079" t="s">
        <v>748</v>
      </c>
      <c r="L24" s="1077" t="s">
        <v>744</v>
      </c>
      <c r="M24" s="1073">
        <f ca="1">INDIRECT("'数据-取费表'!Am"&amp;$G$1)</f>
        <v>0.01</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69" t="s">
        <v>749</v>
      </c>
      <c r="B25" s="292" t="s">
        <v>750</v>
      </c>
      <c r="C25" s="21"/>
      <c r="D25" s="121" t="s">
        <v>751</v>
      </c>
      <c r="E25" s="1347"/>
      <c r="F25" s="23"/>
      <c r="G25" s="1371"/>
      <c r="H25" s="1066" t="s">
        <v>394</v>
      </c>
      <c r="I25" s="1081" t="s">
        <v>752</v>
      </c>
      <c r="J25" s="300">
        <f ca="1">J5-J16</f>
        <v>-390</v>
      </c>
      <c r="K25" s="1082" t="s">
        <v>753</v>
      </c>
      <c r="L25" s="1083"/>
      <c r="M25" s="1084"/>
    </row>
    <row r="26" spans="1:37">
      <c r="A26" s="969" t="s">
        <v>397</v>
      </c>
      <c r="B26" s="292" t="s">
        <v>754</v>
      </c>
      <c r="C26" s="21">
        <f ca="1">ROUND((C19+C20)*F26,0)</f>
        <v>17489</v>
      </c>
      <c r="D26" s="313" t="s">
        <v>755</v>
      </c>
      <c r="E26" s="303" t="s">
        <v>756</v>
      </c>
      <c r="F26" s="302">
        <f ca="1">INDIRECT("'数据-取费表'!q"&amp;$G$1)</f>
        <v>0.2</v>
      </c>
      <c r="G26" s="1371"/>
      <c r="H26" s="289" t="s">
        <v>395</v>
      </c>
      <c r="I26" s="290" t="s">
        <v>757</v>
      </c>
      <c r="J26" s="291">
        <f ca="1">IF(J5&lt;&gt;0,ROUND(J25*(1-((1+M28)/(1+M26))^M27)/(M26-M28),0),0)</f>
        <v>0</v>
      </c>
      <c r="K26" s="314" t="s">
        <v>758</v>
      </c>
      <c r="L26" s="292" t="s">
        <v>759</v>
      </c>
      <c r="M26" s="302">
        <f ca="1">INDIRECT("'数据-取费表'!I"&amp;$G$1)</f>
        <v>5.5E-2</v>
      </c>
    </row>
    <row r="27" spans="1:37" ht="18" customHeight="1">
      <c r="A27" s="969" t="s">
        <v>399</v>
      </c>
      <c r="B27" s="292" t="s">
        <v>760</v>
      </c>
      <c r="C27" s="21">
        <f ca="1">ROUND(F21*F26,4)</f>
        <v>4.0000000000000001E-3</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118800</v>
      </c>
      <c r="D29" s="1079"/>
      <c r="E29" s="1077"/>
      <c r="F29" s="1080"/>
      <c r="G29" s="1383"/>
      <c r="H29" s="324" t="s">
        <v>396</v>
      </c>
      <c r="I29" s="325" t="s">
        <v>768</v>
      </c>
      <c r="J29" s="326">
        <f ca="1">ROUND(J26/(1+F40)^F41,0)</f>
        <v>0</v>
      </c>
      <c r="K29" s="327" t="s">
        <v>769</v>
      </c>
      <c r="L29" s="328"/>
      <c r="M29" s="329">
        <f ca="1">INDIRECT("'数据-取费表'!k"&amp;$G$1)</f>
        <v>98312.17</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5023</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ROUND(IF(AND(项目基本情况!B11="自然人",项目基本情况!B10="北京市"),C6*F31/(1+'数据-取费表'!C42),C32+C33+C34),2)</f>
        <v>4310.2700000000004</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IF(项目基本情况!B11="自然人","——",ROUND(C6*F32/(1+'数据-取费表'!C42),2))</f>
        <v>1360.69</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IF(项目基本情况!B11="自然人","——",IF(D33="按租金收入计税",ROUND(C6*F33/(1+'数据-取费表'!C42),2),IF(D33="按房产原值计税",ROUND(C29*F33*0.7,2),INDIRECT("'数据-取费表'!Aj"&amp;$G$1))))</f>
        <v>2915.77</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IF(项目基本情况!B11="自然人","——",ROUND(F34*F35/10000,2))</f>
        <v>33.81</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28178.74</v>
      </c>
      <c r="G35" s="1371"/>
      <c r="H35" s="2682"/>
      <c r="I35" s="1385"/>
      <c r="J35" s="1386"/>
      <c r="K35" s="2686"/>
      <c r="L35" s="2685"/>
      <c r="M35" s="2685"/>
    </row>
    <row r="36" spans="1:18" ht="18" customHeight="1">
      <c r="A36" s="1089" t="s">
        <v>402</v>
      </c>
      <c r="B36" s="292" t="s">
        <v>738</v>
      </c>
      <c r="C36" s="21">
        <f ca="1">ROUND(C29*F36,2)</f>
        <v>356.4</v>
      </c>
      <c r="D36" s="1331" t="s">
        <v>771</v>
      </c>
      <c r="E36" s="292" t="s">
        <v>712</v>
      </c>
      <c r="F36" s="318">
        <f ca="1">INDIRECT("'数据-取费表'!Ak"&amp;$G$1)</f>
        <v>3.0000000000000001E-3</v>
      </c>
      <c r="G36" s="1371"/>
      <c r="H36" s="2685"/>
      <c r="I36" s="1385"/>
      <c r="J36" s="1386"/>
      <c r="K36" s="2531"/>
      <c r="L36" s="2685"/>
      <c r="M36" s="2685"/>
    </row>
    <row r="37" spans="1:18" ht="18" customHeight="1">
      <c r="A37" s="969" t="s">
        <v>437</v>
      </c>
      <c r="B37" s="292" t="s">
        <v>742</v>
      </c>
      <c r="C37" s="21">
        <f ca="1">ROUND(C13*F37,2)</f>
        <v>100.98</v>
      </c>
      <c r="D37" s="1331" t="s">
        <v>743</v>
      </c>
      <c r="E37" s="292" t="s">
        <v>744</v>
      </c>
      <c r="F37" s="320">
        <f ca="1">INDIRECT("'数据-取费表'!Al"&amp;$G$1)</f>
        <v>1E-3</v>
      </c>
      <c r="G37" s="1371"/>
      <c r="H37" s="2685"/>
      <c r="I37" s="1385"/>
      <c r="J37" s="1386"/>
      <c r="K37" s="2531"/>
      <c r="L37" s="2685"/>
      <c r="M37" s="2685"/>
    </row>
    <row r="38" spans="1:18" ht="18" customHeight="1" thickBot="1">
      <c r="A38" s="1076" t="s">
        <v>684</v>
      </c>
      <c r="B38" s="1077" t="s">
        <v>728</v>
      </c>
      <c r="C38" s="1078">
        <f ca="1">ROUND(C5*F38,2)</f>
        <v>255.45</v>
      </c>
      <c r="D38" s="1079" t="s">
        <v>748</v>
      </c>
      <c r="E38" s="1077" t="s">
        <v>744</v>
      </c>
      <c r="F38" s="1073">
        <f ca="1">INDIRECT("'数据-取费表'!Am"&amp;$G$1)</f>
        <v>0.01</v>
      </c>
      <c r="G38" s="1371"/>
      <c r="H38" s="2685"/>
      <c r="I38" s="1385"/>
      <c r="J38" s="1386"/>
      <c r="K38" s="2689"/>
      <c r="L38" s="2685"/>
      <c r="M38" s="2685"/>
    </row>
    <row r="39" spans="1:18" ht="24.6" customHeight="1" thickTop="1">
      <c r="A39" s="1066" t="s">
        <v>394</v>
      </c>
      <c r="B39" s="1081" t="s">
        <v>772</v>
      </c>
      <c r="C39" s="300">
        <f ca="1">C5-C30</f>
        <v>20522</v>
      </c>
      <c r="D39" s="1082" t="s">
        <v>773</v>
      </c>
      <c r="E39" s="1083"/>
      <c r="F39" s="1084"/>
      <c r="G39" s="1371"/>
      <c r="H39" s="2685">
        <f ca="1">C39/C6</f>
        <v>0.80437424058323204</v>
      </c>
      <c r="I39" s="1385"/>
      <c r="J39" s="1386"/>
      <c r="K39" s="2689"/>
      <c r="L39" s="2685"/>
      <c r="M39" s="2685"/>
    </row>
    <row r="40" spans="1:18" ht="18" customHeight="1">
      <c r="A40" s="289" t="s">
        <v>395</v>
      </c>
      <c r="B40" s="290" t="s">
        <v>774</v>
      </c>
      <c r="C40" s="291">
        <f ca="1">ROUND(C39*(1-((1+F42)/(1+F40))^F41)/(F40-F42),0)</f>
        <v>283033</v>
      </c>
      <c r="D40" s="314" t="s">
        <v>758</v>
      </c>
      <c r="E40" s="292" t="s">
        <v>759</v>
      </c>
      <c r="F40" s="302">
        <f ca="1">INDIRECT("'数据-取费表'!I"&amp;$G$1)</f>
        <v>5.5E-2</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17.63</v>
      </c>
      <c r="G41" s="1371"/>
      <c r="H41" s="1178"/>
      <c r="I41" s="1385"/>
      <c r="J41" s="1386"/>
      <c r="K41" s="2531"/>
      <c r="L41" s="1178"/>
      <c r="M41" s="1178"/>
    </row>
    <row r="42" spans="1:18" ht="18" customHeight="1">
      <c r="A42" s="298"/>
      <c r="B42" s="299"/>
      <c r="C42" s="300"/>
      <c r="D42" s="317"/>
      <c r="E42" s="292" t="s">
        <v>766</v>
      </c>
      <c r="F42" s="302">
        <f ca="1">INDIRECT("'数据-取费表'!v"&amp;$G$1)</f>
        <v>0.03</v>
      </c>
      <c r="G42" s="1371"/>
      <c r="H42" s="1178"/>
      <c r="I42" s="1385"/>
      <c r="J42" s="1386"/>
      <c r="K42" s="2531"/>
      <c r="L42" s="1178"/>
      <c r="M42" s="1178"/>
    </row>
    <row r="43" spans="1:18" ht="18" customHeight="1" thickBot="1">
      <c r="A43" s="324" t="s">
        <v>396</v>
      </c>
      <c r="B43" s="325" t="s">
        <v>776</v>
      </c>
      <c r="C43" s="326">
        <f ca="1">ROUND(C40*10000/F43,0)</f>
        <v>28789</v>
      </c>
      <c r="D43" s="327" t="s">
        <v>777</v>
      </c>
      <c r="E43" s="328" t="s">
        <v>778</v>
      </c>
      <c r="F43" s="329">
        <f ca="1">INDIRECT("'数据-取费表'!k"&amp;$G$1)</f>
        <v>98312.17</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3"/>
      <c r="O45" s="2690" t="s">
        <v>808</v>
      </c>
      <c r="P45" s="1448"/>
      <c r="Q45" s="1448"/>
      <c r="R45" s="1448"/>
    </row>
    <row r="46" spans="1:18" s="1371" customFormat="1" ht="13.5" thickBot="1">
      <c r="A46" s="1391" t="s">
        <v>809</v>
      </c>
      <c r="C46" s="1392">
        <f ca="1">C68-C40</f>
        <v>-288487</v>
      </c>
      <c r="D46" s="1393" t="str">
        <f>C2</f>
        <v>万元</v>
      </c>
      <c r="E46" s="1387"/>
      <c r="F46" s="1387"/>
      <c r="I46" s="1394" t="s">
        <v>810</v>
      </c>
      <c r="J46" s="1395"/>
      <c r="K46" s="1396"/>
      <c r="L46" s="1397">
        <f ca="1">IF(M47="住宅",0,IF(L48&gt;J51,L60,J60))</f>
        <v>13278</v>
      </c>
      <c r="O46" s="1398" t="s">
        <v>811</v>
      </c>
      <c r="P46" s="1399" t="s">
        <v>812</v>
      </c>
      <c r="Q46" s="1400" t="s">
        <v>813</v>
      </c>
      <c r="R46" s="1400" t="s">
        <v>814</v>
      </c>
    </row>
    <row r="47" spans="1:18" s="1371" customFormat="1" ht="13.5" thickBot="1">
      <c r="A47" s="933" t="s">
        <v>687</v>
      </c>
      <c r="B47" s="965" t="s">
        <v>688</v>
      </c>
      <c r="C47" s="1104" t="s">
        <v>689</v>
      </c>
      <c r="D47" s="965" t="s">
        <v>690</v>
      </c>
      <c r="E47" s="1045" t="s">
        <v>691</v>
      </c>
      <c r="F47" s="1046"/>
      <c r="G47" s="709"/>
      <c r="I47" s="1401" t="s">
        <v>815</v>
      </c>
      <c r="J47" s="1402" t="s">
        <v>3393</v>
      </c>
      <c r="K47" s="1403" t="s">
        <v>816</v>
      </c>
      <c r="L47" s="1404">
        <f ca="1">INDIRECT("'数据-取费表'!d"&amp;$G$1)</f>
        <v>40</v>
      </c>
      <c r="M47" s="1367" t="str">
        <f>IF(ISNUMBER(FIND("住宅",C1)),"住宅","非住宅")</f>
        <v>非住宅</v>
      </c>
      <c r="O47" s="1405" t="s">
        <v>403</v>
      </c>
      <c r="P47" s="1406" t="s">
        <v>817</v>
      </c>
      <c r="Q47" s="1407">
        <f ca="1">C40+J29</f>
        <v>283033</v>
      </c>
      <c r="R47" s="1407" t="s">
        <v>818</v>
      </c>
    </row>
    <row r="48" spans="1:18" s="1371" customFormat="1" ht="28.5" thickBot="1">
      <c r="A48" s="1097" t="s">
        <v>438</v>
      </c>
      <c r="B48" s="290" t="s">
        <v>692</v>
      </c>
      <c r="C48" s="1346">
        <f ca="1">C49+C53+C55</f>
        <v>0</v>
      </c>
      <c r="D48" s="1099"/>
      <c r="E48" s="1100"/>
      <c r="F48" s="949"/>
      <c r="G48" s="709"/>
      <c r="H48" s="710"/>
      <c r="I48" s="1408" t="s">
        <v>819</v>
      </c>
      <c r="J48" s="1409" t="s">
        <v>3416</v>
      </c>
      <c r="K48" s="1410" t="s">
        <v>820</v>
      </c>
      <c r="L48" s="1411">
        <f ca="1">INDIRECT("'数据-取费表'!f"&amp;$G$1)</f>
        <v>17.63</v>
      </c>
      <c r="O48" s="1405" t="s">
        <v>404</v>
      </c>
      <c r="P48" s="1406" t="s">
        <v>821</v>
      </c>
      <c r="Q48" s="1407">
        <f ca="1">J60</f>
        <v>13278</v>
      </c>
      <c r="R48" s="1407" t="s">
        <v>822</v>
      </c>
    </row>
    <row r="49" spans="1:18" s="1371" customFormat="1" ht="13.5" thickBot="1">
      <c r="A49" s="962" t="s">
        <v>439</v>
      </c>
      <c r="B49" s="1358" t="s">
        <v>779</v>
      </c>
      <c r="C49" s="1101">
        <f ca="1">ROUND(F49*F51*F50*(1-F52)/10000,0)</f>
        <v>0</v>
      </c>
      <c r="D49" s="1042" t="s">
        <v>2109</v>
      </c>
      <c r="E49" s="1359" t="s">
        <v>780</v>
      </c>
      <c r="F49" s="1047"/>
      <c r="G49" s="1412"/>
      <c r="H49" s="710"/>
      <c r="I49" s="1408" t="s">
        <v>823</v>
      </c>
      <c r="J49" s="1413">
        <f>取值过程!C27</f>
        <v>2002</v>
      </c>
      <c r="K49" s="1410" t="s">
        <v>824</v>
      </c>
      <c r="L49" s="1414"/>
      <c r="O49" s="1415" t="s">
        <v>405</v>
      </c>
      <c r="P49" s="1406" t="s">
        <v>825</v>
      </c>
      <c r="Q49" s="1407">
        <f ca="1">C29</f>
        <v>118800</v>
      </c>
      <c r="R49" s="1407" t="s">
        <v>818</v>
      </c>
    </row>
    <row r="50" spans="1:18" s="1371" customFormat="1" ht="13.5" thickBot="1">
      <c r="A50" s="963"/>
      <c r="B50" s="966"/>
      <c r="C50" s="1105"/>
      <c r="D50" s="940"/>
      <c r="E50" s="1043" t="s">
        <v>697</v>
      </c>
      <c r="F50" s="1044">
        <f ca="1">F7</f>
        <v>98312.17</v>
      </c>
      <c r="H50" s="710"/>
      <c r="I50" s="1408" t="s">
        <v>826</v>
      </c>
      <c r="J50" s="1416">
        <f>SUMPRODUCT((I63:I65=J47)*(J62:L62=J48)*(J63:L65))</f>
        <v>60</v>
      </c>
      <c r="K50" s="1410" t="s">
        <v>827</v>
      </c>
      <c r="L50" s="1414"/>
      <c r="M50" s="1417"/>
      <c r="O50" s="1415" t="s">
        <v>406</v>
      </c>
      <c r="P50" s="1406" t="s">
        <v>828</v>
      </c>
      <c r="Q50" s="1418">
        <f ca="1">J58</f>
        <v>0.4</v>
      </c>
      <c r="R50" s="1407"/>
    </row>
    <row r="51" spans="1:18" s="1371" customFormat="1" ht="13.5" thickBot="1">
      <c r="A51" s="964"/>
      <c r="B51" s="966"/>
      <c r="C51" s="967"/>
      <c r="D51" s="940"/>
      <c r="E51" s="968" t="s">
        <v>698</v>
      </c>
      <c r="F51" s="293">
        <f ca="1">F8</f>
        <v>365</v>
      </c>
      <c r="I51" s="1419" t="s">
        <v>829</v>
      </c>
      <c r="J51" s="1420">
        <f>IF(J49="",J50,J49+J50-YEAR('数据-取费表'!B2))</f>
        <v>38</v>
      </c>
      <c r="K51" s="1421" t="s">
        <v>830</v>
      </c>
      <c r="L51" s="1422">
        <f ca="1">ROUND(-PV(INDIRECT("'数据-取费表'!h"&amp;$G$1),J51,(C39-C13*C76),0),0)</f>
        <v>242834</v>
      </c>
      <c r="M51" s="1423"/>
      <c r="O51" s="1415" t="s">
        <v>407</v>
      </c>
      <c r="P51" s="1406" t="s">
        <v>831</v>
      </c>
      <c r="Q51" s="1418">
        <f>J52</f>
        <v>7.4999999999999997E-2</v>
      </c>
      <c r="R51" s="1407"/>
    </row>
    <row r="52" spans="1:18" s="1371" customFormat="1" ht="13.5" thickBot="1">
      <c r="A52" s="964"/>
      <c r="B52" s="966"/>
      <c r="C52" s="967"/>
      <c r="D52" s="940"/>
      <c r="E52" s="968" t="s">
        <v>699</v>
      </c>
      <c r="F52" s="1041"/>
      <c r="I52" s="1424" t="s">
        <v>832</v>
      </c>
      <c r="J52" s="1425">
        <v>7.4999999999999997E-2</v>
      </c>
      <c r="K52" s="1424" t="s">
        <v>833</v>
      </c>
      <c r="L52" s="1425"/>
      <c r="O52" s="1415" t="s">
        <v>408</v>
      </c>
      <c r="P52" s="1406" t="s">
        <v>834</v>
      </c>
      <c r="Q52" s="1407">
        <f ca="1">J53</f>
        <v>17.63</v>
      </c>
      <c r="R52" s="1407" t="s">
        <v>835</v>
      </c>
    </row>
    <row r="53" spans="1:18" s="1371" customFormat="1" ht="24.75" thickBot="1">
      <c r="A53" s="1139" t="s">
        <v>440</v>
      </c>
      <c r="B53" s="1360" t="s">
        <v>700</v>
      </c>
      <c r="C53" s="306">
        <f ca="1">ROUND(IF(F53="押一",C49/12*F11,IF(F53="押二",C49/12*2*F11,IF(F53="押三",C49/12*3*F11,C54*F11))),0)</f>
        <v>0</v>
      </c>
      <c r="D53" s="1353" t="s">
        <v>2115</v>
      </c>
      <c r="E53" s="303" t="s">
        <v>701</v>
      </c>
      <c r="F53" s="1103"/>
      <c r="I53" s="1426" t="s">
        <v>836</v>
      </c>
      <c r="J53" s="2155">
        <f ca="1">IF(M47="住宅",IF(D1="——",MAX(J51,L48),MAX(J51,L48-'数据-取费表'!B24)),IF(D1="——",MIN(J51,L48),MIN(J51,L48-'数据-取费表'!B24)))</f>
        <v>17.63</v>
      </c>
      <c r="K53" s="3753" t="s">
        <v>837</v>
      </c>
      <c r="L53" s="3754"/>
      <c r="O53" s="1405" t="s">
        <v>409</v>
      </c>
      <c r="P53" s="1406" t="s">
        <v>838</v>
      </c>
      <c r="Q53" s="1407">
        <f ca="1">Q47+Q48</f>
        <v>296311</v>
      </c>
      <c r="R53" s="1407" t="s">
        <v>410</v>
      </c>
    </row>
    <row r="54" spans="1:18" s="1371" customFormat="1" ht="13.5" thickBot="1">
      <c r="A54" s="1140"/>
      <c r="B54" s="1354" t="s">
        <v>679</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f ca="1">ROUND(IF(J47="钢混",J57/J50,1-(1-2%)*(J50-J57)/J50),3)</f>
        <v>0.34</v>
      </c>
      <c r="K55" s="1432" t="s">
        <v>841</v>
      </c>
      <c r="L55" s="1433"/>
      <c r="O55" s="1398" t="s">
        <v>811</v>
      </c>
      <c r="P55" s="1399" t="s">
        <v>812</v>
      </c>
      <c r="Q55" s="1400" t="s">
        <v>813</v>
      </c>
      <c r="R55" s="1400" t="s">
        <v>814</v>
      </c>
    </row>
    <row r="56" spans="1:18" s="1371" customFormat="1" ht="25.5" thickTop="1" thickBot="1">
      <c r="A56" s="944">
        <v>2</v>
      </c>
      <c r="B56" s="945" t="s">
        <v>704</v>
      </c>
      <c r="C56" s="222">
        <f ca="1">C13</f>
        <v>100980</v>
      </c>
      <c r="D56" s="1434"/>
      <c r="E56" s="1435"/>
      <c r="F56" s="1427"/>
      <c r="I56" s="1436" t="s">
        <v>842</v>
      </c>
      <c r="J56" s="1437" t="s">
        <v>3394</v>
      </c>
      <c r="K56" s="1408" t="s">
        <v>843</v>
      </c>
      <c r="L56" s="1411" t="str">
        <f ca="1">IF(L48&lt;J51,"——",L48-J53)</f>
        <v>——</v>
      </c>
      <c r="O56" s="1405" t="s">
        <v>403</v>
      </c>
      <c r="P56" s="1406" t="s">
        <v>817</v>
      </c>
      <c r="Q56" s="1407">
        <f ca="1">C40+J29</f>
        <v>283033</v>
      </c>
      <c r="R56" s="1407" t="s">
        <v>818</v>
      </c>
    </row>
    <row r="57" spans="1:18" s="1371" customFormat="1" ht="24.75" thickBot="1">
      <c r="A57" s="1438"/>
      <c r="B57" s="937" t="s">
        <v>767</v>
      </c>
      <c r="C57" s="228">
        <f ca="1">C29</f>
        <v>118800</v>
      </c>
      <c r="D57" s="1439"/>
      <c r="E57" s="1440"/>
      <c r="F57" s="1441"/>
      <c r="I57" s="1442" t="s">
        <v>844</v>
      </c>
      <c r="J57" s="1443">
        <f ca="1">IF(OR(M47="住宅",J51&lt;L48,J56="是"),"——",J51-L48)</f>
        <v>20.37</v>
      </c>
      <c r="K57" s="1408" t="s">
        <v>845</v>
      </c>
      <c r="L57" s="1411" t="str">
        <f ca="1">IF(L48&lt;J51,"——",IF(L55="比较法",L49,IF(L55="基准地价",L50,L51)))</f>
        <v>——</v>
      </c>
      <c r="O57" s="1405" t="s">
        <v>404</v>
      </c>
      <c r="P57" s="1406" t="s">
        <v>846</v>
      </c>
      <c r="Q57" s="1407">
        <f ca="1">L60</f>
        <v>0</v>
      </c>
      <c r="R57" s="1407" t="s">
        <v>847</v>
      </c>
    </row>
    <row r="58" spans="1:18" s="1371" customFormat="1" ht="24.75" thickBot="1">
      <c r="A58" s="305" t="s">
        <v>393</v>
      </c>
      <c r="B58" s="945" t="s">
        <v>714</v>
      </c>
      <c r="C58" s="306">
        <f ca="1">ROUND(C59+C64+C65+C66,0)</f>
        <v>491</v>
      </c>
      <c r="D58" s="947" t="s">
        <v>715</v>
      </c>
      <c r="E58" s="948"/>
      <c r="F58" s="949"/>
      <c r="I58" s="1442" t="s">
        <v>848</v>
      </c>
      <c r="J58" s="1444">
        <f ca="1">IF(J55&lt;0.4,0.4,J55)</f>
        <v>0.4</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34</v>
      </c>
      <c r="D59" s="950" t="s">
        <v>720</v>
      </c>
      <c r="E59" s="951" t="s">
        <v>721</v>
      </c>
      <c r="F59" s="2302" t="str">
        <f>IF(项目基本情况!B11="企业","——",IF('数据-取费表'!B10="住宅",IF(F49*F50*F51/12/(1+'数据-取费表'!F30)&gt;100000,4%,2.5%),IF(F49*F50*F51/12/(1+'数据-取费表'!F30)&gt;100000,12%,7%)))</f>
        <v>——</v>
      </c>
      <c r="I59" s="1442" t="s">
        <v>851</v>
      </c>
      <c r="J59" s="1443">
        <f ca="1">IF(OR(M47="住宅",J51&lt;L48,J56="是"),"——",ROUND(C29*J58,0))</f>
        <v>47520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IF(项目基本情况!B11="自然人","——",ROUND(C48*F60/(1+'数据-取费表'!C42),2))</f>
        <v>0</v>
      </c>
      <c r="D60" s="951" t="s">
        <v>724</v>
      </c>
      <c r="E60" s="937" t="s">
        <v>712</v>
      </c>
      <c r="F60" s="321">
        <f t="shared" ref="F60:F66" si="0">F32</f>
        <v>5.6000000000000001E-2</v>
      </c>
      <c r="I60" s="1445" t="s">
        <v>853</v>
      </c>
      <c r="J60" s="1446">
        <f ca="1">IF(OR(M47="住宅",J51&lt;L48,J56="是"),"0",ROUND(J59/(1+J52)^J53,0))</f>
        <v>13278</v>
      </c>
      <c r="K60" s="1447" t="s">
        <v>854</v>
      </c>
      <c r="L60" s="1446">
        <f ca="1">IF(OR(M47="住宅",L48&lt;J51),0,ROUND(L57*(L58/L59-1),0))</f>
        <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IF(项目基本情况!B11="自然人","——",IF(D61="按租金收入计税",ROUND(C49*F61/(1+'数据-取费表'!C42),2),IF(D61="按房产原值计税",ROUND(C57*F61*0.7,2),INDIRECT("'数据-取费表'!Aj"&amp;$G$1))))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IF(项目基本情况!B11="自然人","——",ROUND(F62*F63/10000,2))</f>
        <v>33.81</v>
      </c>
      <c r="D62" s="952" t="s">
        <v>786</v>
      </c>
      <c r="E62" s="937" t="s">
        <v>787</v>
      </c>
      <c r="F62" s="315">
        <f t="shared" si="0"/>
        <v>12</v>
      </c>
      <c r="I62" s="1449" t="s">
        <v>858</v>
      </c>
      <c r="J62" s="1450" t="s">
        <v>859</v>
      </c>
      <c r="K62" s="1450" t="s">
        <v>860</v>
      </c>
      <c r="L62" s="1450" t="s">
        <v>861</v>
      </c>
      <c r="M62" s="1451" t="s">
        <v>862</v>
      </c>
      <c r="O62" s="1405" t="s">
        <v>409</v>
      </c>
      <c r="P62" s="1406" t="s">
        <v>863</v>
      </c>
      <c r="Q62" s="1407">
        <f ca="1">Q56+Q57</f>
        <v>283033</v>
      </c>
      <c r="R62" s="1407" t="s">
        <v>410</v>
      </c>
    </row>
    <row r="63" spans="1:18" s="1371" customFormat="1" ht="13.5" thickBot="1">
      <c r="A63" s="316"/>
      <c r="B63" s="943"/>
      <c r="C63" s="26"/>
      <c r="D63" s="953"/>
      <c r="E63" s="937" t="s">
        <v>788</v>
      </c>
      <c r="F63" s="293">
        <f t="shared" ca="1" si="0"/>
        <v>28178.74</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ROUND(C57*F64,2)</f>
        <v>356.4</v>
      </c>
      <c r="D64" s="951" t="s">
        <v>791</v>
      </c>
      <c r="E64" s="937" t="s">
        <v>783</v>
      </c>
      <c r="F64" s="318">
        <f t="shared" ca="1" si="0"/>
        <v>3.0000000000000001E-3</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ROUND(C56*F65,2)</f>
        <v>100.98</v>
      </c>
      <c r="D65" s="951" t="s">
        <v>743</v>
      </c>
      <c r="E65" s="937" t="s">
        <v>744</v>
      </c>
      <c r="F65" s="320">
        <f t="shared" ca="1" si="0"/>
        <v>1E-3</v>
      </c>
      <c r="I65" s="1449" t="s">
        <v>867</v>
      </c>
      <c r="J65" s="1450">
        <v>40</v>
      </c>
      <c r="K65" s="1450">
        <v>30</v>
      </c>
      <c r="L65" s="1450">
        <v>50</v>
      </c>
      <c r="M65" s="1452">
        <v>0.02</v>
      </c>
      <c r="O65" s="1405" t="s">
        <v>403</v>
      </c>
      <c r="P65" s="1406" t="s">
        <v>868</v>
      </c>
      <c r="Q65" s="1407">
        <f ca="1">C40+J29</f>
        <v>283033</v>
      </c>
      <c r="R65" s="1407" t="s">
        <v>818</v>
      </c>
    </row>
    <row r="66" spans="1:18" s="1371" customFormat="1" ht="16.5" thickBot="1">
      <c r="A66" s="969" t="s">
        <v>793</v>
      </c>
      <c r="B66" s="937" t="s">
        <v>728</v>
      </c>
      <c r="C66" s="21">
        <f ca="1">ROUND(C48*F66,2)</f>
        <v>0</v>
      </c>
      <c r="D66" s="951" t="s">
        <v>794</v>
      </c>
      <c r="E66" s="937" t="s">
        <v>712</v>
      </c>
      <c r="F66" s="302">
        <f t="shared" ca="1" si="0"/>
        <v>0.01</v>
      </c>
      <c r="O66" s="1405" t="s">
        <v>404</v>
      </c>
      <c r="P66" s="1406" t="s">
        <v>846</v>
      </c>
      <c r="Q66" s="1407">
        <f ca="1">L60</f>
        <v>0</v>
      </c>
      <c r="R66" s="1407" t="s">
        <v>869</v>
      </c>
    </row>
    <row r="67" spans="1:18" s="1371" customFormat="1" ht="16.5" thickBot="1">
      <c r="A67" s="944" t="s">
        <v>394</v>
      </c>
      <c r="B67" s="954" t="s">
        <v>752</v>
      </c>
      <c r="C67" s="306">
        <f ca="1">C48-C58</f>
        <v>-491</v>
      </c>
      <c r="D67" s="950" t="s">
        <v>753</v>
      </c>
      <c r="E67" s="955"/>
      <c r="F67" s="956"/>
      <c r="O67" s="1415" t="s">
        <v>405</v>
      </c>
      <c r="P67" s="1406" t="s">
        <v>850</v>
      </c>
      <c r="Q67" s="1453">
        <f ca="1">L51</f>
        <v>242834</v>
      </c>
      <c r="R67" s="1407" t="s">
        <v>870</v>
      </c>
    </row>
    <row r="68" spans="1:18" s="1371" customFormat="1" ht="16.5" thickBot="1">
      <c r="A68" s="934" t="s">
        <v>395</v>
      </c>
      <c r="B68" s="935" t="s">
        <v>774</v>
      </c>
      <c r="C68" s="291">
        <f ca="1">ROUND(C67*(1-((1+F70)/(1+F68))^F69)/(F68-F70),0)</f>
        <v>-5454</v>
      </c>
      <c r="D68" s="952" t="s">
        <v>758</v>
      </c>
      <c r="E68" s="937" t="s">
        <v>759</v>
      </c>
      <c r="F68" s="302">
        <f ca="1">F40</f>
        <v>5.5E-2</v>
      </c>
      <c r="O68" s="1415" t="s">
        <v>406</v>
      </c>
      <c r="P68" s="1454" t="s">
        <v>871</v>
      </c>
      <c r="Q68" s="1407">
        <f ca="1">ROUND(Q69-Q70*Q71,0)</f>
        <v>13453</v>
      </c>
      <c r="R68" s="1407" t="s">
        <v>414</v>
      </c>
    </row>
    <row r="69" spans="1:18" s="1371" customFormat="1" ht="13.5" thickBot="1">
      <c r="A69" s="938"/>
      <c r="B69" s="939"/>
      <c r="C69" s="296"/>
      <c r="D69" s="957" t="s">
        <v>762</v>
      </c>
      <c r="E69" s="937" t="s">
        <v>763</v>
      </c>
      <c r="F69" s="323">
        <f ca="1">F41</f>
        <v>17.63</v>
      </c>
      <c r="O69" s="1415" t="s">
        <v>411</v>
      </c>
      <c r="P69" s="1454" t="s">
        <v>872</v>
      </c>
      <c r="Q69" s="1407">
        <f ca="1">C39</f>
        <v>20522</v>
      </c>
      <c r="R69" s="1407" t="s">
        <v>818</v>
      </c>
    </row>
    <row r="70" spans="1:18" s="1371" customFormat="1" ht="13.5" thickBot="1">
      <c r="A70" s="941"/>
      <c r="B70" s="942"/>
      <c r="C70" s="300"/>
      <c r="D70" s="953"/>
      <c r="E70" s="937" t="s">
        <v>766</v>
      </c>
      <c r="F70" s="1041"/>
      <c r="O70" s="1415" t="s">
        <v>412</v>
      </c>
      <c r="P70" s="1454" t="s">
        <v>873</v>
      </c>
      <c r="Q70" s="1407">
        <f ca="1">C13</f>
        <v>100980</v>
      </c>
      <c r="R70" s="1407" t="s">
        <v>818</v>
      </c>
    </row>
    <row r="71" spans="1:18" s="1371" customFormat="1" ht="13.5" thickBot="1">
      <c r="A71" s="958" t="s">
        <v>396</v>
      </c>
      <c r="B71" s="959" t="s">
        <v>776</v>
      </c>
      <c r="C71" s="326">
        <f ca="1">ROUND(C68*10000/F71,0)</f>
        <v>-555</v>
      </c>
      <c r="D71" s="960" t="s">
        <v>777</v>
      </c>
      <c r="E71" s="961" t="s">
        <v>778</v>
      </c>
      <c r="F71" s="329">
        <f ca="1">F43</f>
        <v>98312.17</v>
      </c>
      <c r="O71" s="1415" t="s">
        <v>413</v>
      </c>
      <c r="P71" s="1454" t="s">
        <v>874</v>
      </c>
      <c r="Q71" s="1418">
        <f ca="1">C76</f>
        <v>7.0000000000000007E-2</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7069</v>
      </c>
      <c r="D75" s="1371"/>
      <c r="E75" s="1371"/>
      <c r="F75" s="1371"/>
      <c r="K75" s="1389"/>
      <c r="L75" s="1371"/>
      <c r="O75" s="1405" t="s">
        <v>409</v>
      </c>
      <c r="P75" s="1406" t="s">
        <v>838</v>
      </c>
      <c r="Q75" s="1407">
        <f ca="1">Q65+Q66</f>
        <v>283033</v>
      </c>
      <c r="R75" s="1407" t="s">
        <v>410</v>
      </c>
    </row>
    <row r="76" spans="1:18">
      <c r="B76" s="332" t="s">
        <v>796</v>
      </c>
      <c r="C76" s="333">
        <f ca="1">INDIRECT("'数据-取费表'!j"&amp;$G$1)</f>
        <v>7.0000000000000007E-2</v>
      </c>
      <c r="I76" s="1371"/>
      <c r="J76" s="1371"/>
      <c r="K76" s="1389"/>
      <c r="L76" s="1371"/>
    </row>
    <row r="77" spans="1:18">
      <c r="B77" s="334" t="s">
        <v>797</v>
      </c>
      <c r="C77" s="335"/>
      <c r="I77" s="1371"/>
      <c r="J77" s="1371"/>
      <c r="K77" s="1389"/>
      <c r="L77" s="1371"/>
    </row>
    <row r="78" spans="1:18">
      <c r="B78" s="260" t="s">
        <v>798</v>
      </c>
      <c r="C78" s="336"/>
    </row>
    <row r="79" spans="1:18">
      <c r="B79" s="330" t="s">
        <v>799</v>
      </c>
      <c r="C79" s="264">
        <f ca="1">1-C80</f>
        <v>0.65600000000000003</v>
      </c>
    </row>
    <row r="80" spans="1:18">
      <c r="B80" s="330" t="s">
        <v>800</v>
      </c>
      <c r="C80" s="264">
        <f ca="1">ROUND(C75/C39,3)</f>
        <v>0.34399999999999997</v>
      </c>
    </row>
    <row r="81" spans="2:3">
      <c r="B81" s="260" t="s">
        <v>801</v>
      </c>
      <c r="C81" s="228"/>
    </row>
    <row r="82" spans="2:3">
      <c r="B82" s="263" t="s">
        <v>802</v>
      </c>
      <c r="C82" s="265">
        <f ca="1">1-C83</f>
        <v>0.64300000000000002</v>
      </c>
    </row>
    <row r="83" spans="2:3">
      <c r="B83" s="263" t="s">
        <v>803</v>
      </c>
      <c r="C83" s="264">
        <f ca="1">ROUND(C13/C40,3)</f>
        <v>0.35699999999999998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L43" sqref="L43"/>
    </sheetView>
  </sheetViews>
  <sheetFormatPr defaultColWidth="9" defaultRowHeight="14.25"/>
  <cols>
    <col min="1" max="1" width="14.375" style="347" customWidth="1"/>
    <col min="2" max="2" width="15.75" style="347" customWidth="1"/>
    <col min="3" max="3" width="17.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1866</v>
      </c>
      <c r="B1" s="339"/>
      <c r="C1" s="340" t="s">
        <v>1867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1461</v>
      </c>
      <c r="B2" s="609">
        <f>F65</f>
        <v>124925</v>
      </c>
      <c r="C2" s="894"/>
      <c r="D2" s="894"/>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c r="AD2" s="341"/>
    </row>
    <row r="3" spans="1:30" s="342" customFormat="1" ht="28.5" customHeight="1" thickBot="1">
      <c r="A3" s="193" t="s">
        <v>1463</v>
      </c>
      <c r="B3" s="548">
        <f>ROUND(IF(D3="",B2*10000/'数据-汇总表'!E3,B2*10000/D3),0)</f>
        <v>12707</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30" ht="15">
      <c r="A4" s="345" t="s">
        <v>1768</v>
      </c>
      <c r="B4" s="346"/>
      <c r="C4" s="3719" t="s">
        <v>1769</v>
      </c>
      <c r="D4" s="3720"/>
      <c r="E4" s="3721" t="s">
        <v>1770</v>
      </c>
      <c r="F4" s="3722"/>
      <c r="G4" s="3719" t="s">
        <v>1771</v>
      </c>
      <c r="H4" s="3720"/>
      <c r="I4" s="3719" t="s">
        <v>1772</v>
      </c>
      <c r="J4" s="3720"/>
      <c r="K4" s="549" t="s">
        <v>1773</v>
      </c>
      <c r="L4" s="2700"/>
      <c r="M4" s="2701"/>
      <c r="N4" s="2701"/>
      <c r="O4" s="2701"/>
      <c r="P4" s="3723" t="s">
        <v>1774</v>
      </c>
      <c r="Q4" s="3724"/>
      <c r="R4" s="3729" t="s">
        <v>1770</v>
      </c>
      <c r="S4" s="3730"/>
      <c r="T4" s="3729" t="s">
        <v>1771</v>
      </c>
      <c r="U4" s="3730"/>
      <c r="V4" s="3714" t="s">
        <v>1772</v>
      </c>
      <c r="W4" s="3714"/>
      <c r="X4" s="1342"/>
      <c r="Y4" s="3729" t="s">
        <v>1774</v>
      </c>
      <c r="Z4" s="3730"/>
      <c r="AA4" s="3716" t="s">
        <v>1770</v>
      </c>
      <c r="AB4" s="3717" t="s">
        <v>1771</v>
      </c>
      <c r="AC4" s="3716" t="s">
        <v>1772</v>
      </c>
    </row>
    <row r="5" spans="1:30" ht="53.25" customHeight="1">
      <c r="A5" s="348"/>
      <c r="B5" s="349"/>
      <c r="C5" s="3737" t="s">
        <v>1672</v>
      </c>
      <c r="D5" s="3738"/>
      <c r="E5" s="3776" t="str">
        <f>商土!A4</f>
        <v>北京市朝阳区太阳宫乡0301-613地块B4综合性商业金融服务业用地</v>
      </c>
      <c r="F5" s="3746"/>
      <c r="G5" s="3737" t="str">
        <f>商土!A5</f>
        <v>北京市丰台区丽泽金融商务区FT00-0612-0016等地块F3其他类多功能用地、S32公交场站设施用地</v>
      </c>
      <c r="H5" s="3738"/>
      <c r="I5" s="3737" t="str">
        <f>商土!A6</f>
        <v>北京市朝阳区朝阳站交通枢纽南侧建设用地一体化项目0313-5597、5598、5599地块B4综合性商业金融服务业用地</v>
      </c>
      <c r="J5" s="3738"/>
      <c r="K5" s="549"/>
      <c r="L5" s="2700"/>
      <c r="M5" s="2701"/>
      <c r="N5" s="2701"/>
      <c r="O5" s="2701"/>
      <c r="P5" s="3725"/>
      <c r="Q5" s="3726"/>
      <c r="R5" s="3731"/>
      <c r="S5" s="3732"/>
      <c r="T5" s="3731"/>
      <c r="U5" s="3732"/>
      <c r="V5" s="3714"/>
      <c r="W5" s="3714"/>
      <c r="X5" s="1342"/>
      <c r="Y5" s="3731"/>
      <c r="Z5" s="3732"/>
      <c r="AA5" s="3717"/>
      <c r="AB5" s="3717"/>
      <c r="AC5" s="3717"/>
    </row>
    <row r="6" spans="1:30" ht="15.75" thickBot="1">
      <c r="A6" s="350"/>
      <c r="B6" s="351"/>
      <c r="C6" s="3735" t="s">
        <v>1676</v>
      </c>
      <c r="D6" s="3736"/>
      <c r="E6" s="3743" t="s">
        <v>1676</v>
      </c>
      <c r="F6" s="3744"/>
      <c r="G6" s="3735" t="s">
        <v>1676</v>
      </c>
      <c r="H6" s="3736"/>
      <c r="I6" s="3735" t="s">
        <v>1676</v>
      </c>
      <c r="J6" s="3736"/>
      <c r="K6" s="549" t="s">
        <v>1677</v>
      </c>
      <c r="L6" s="2700"/>
      <c r="M6" s="2701"/>
      <c r="N6" s="2701"/>
      <c r="O6" s="2701"/>
      <c r="P6" s="3727"/>
      <c r="Q6" s="3728"/>
      <c r="R6" s="3731"/>
      <c r="S6" s="3732"/>
      <c r="T6" s="3733"/>
      <c r="U6" s="3734"/>
      <c r="V6" s="3714"/>
      <c r="W6" s="3714"/>
      <c r="X6" s="1342"/>
      <c r="Y6" s="3733"/>
      <c r="Z6" s="3734"/>
      <c r="AA6" s="3718"/>
      <c r="AB6" s="3718"/>
      <c r="AC6" s="3718"/>
    </row>
    <row r="7" spans="1:30" s="105" customFormat="1" ht="15.75" thickBot="1">
      <c r="A7" s="352" t="s">
        <v>1678</v>
      </c>
      <c r="B7" s="353"/>
      <c r="C7" s="354">
        <f>'数据-取费表'!B2</f>
        <v>45373</v>
      </c>
      <c r="D7" s="355">
        <v>100</v>
      </c>
      <c r="E7" s="356">
        <f>商土!AE4</f>
        <v>45114.000497685185</v>
      </c>
      <c r="F7" s="357">
        <f>SUMIF(69:69,YEAR(E7)&amp;"-"&amp;INT((MONTH(E7)+2)/3),70:70)</f>
        <v>99.6</v>
      </c>
      <c r="G7" s="1961">
        <f>商土!AE5</f>
        <v>45090.000497685185</v>
      </c>
      <c r="H7" s="355">
        <f>SUMIF(69:69,YEAR(G7)&amp;"-"&amp;INT((MONTH(G7)+2)/3),70:70)</f>
        <v>99.399999999999991</v>
      </c>
      <c r="I7" s="1961">
        <f>商土!AE6</f>
        <v>44980.000497685185</v>
      </c>
      <c r="J7" s="355">
        <f>SUMIF(69:69,YEAR(I7)&amp;"-"&amp;INT((MONTH(I7)+2)/3),70:70)</f>
        <v>99.199999999999989</v>
      </c>
      <c r="K7" s="550"/>
      <c r="L7" s="2702"/>
      <c r="M7" s="2703"/>
      <c r="N7" s="2703"/>
      <c r="O7" s="2703"/>
      <c r="P7" s="3739" t="s">
        <v>1679</v>
      </c>
      <c r="Q7" s="3741"/>
      <c r="R7" s="688" t="s">
        <v>14</v>
      </c>
      <c r="S7" s="689">
        <f t="shared" ref="S7:S15" si="0">F7</f>
        <v>99.6</v>
      </c>
      <c r="T7" s="688" t="s">
        <v>14</v>
      </c>
      <c r="U7" s="689">
        <f t="shared" ref="U7:U15" si="1">H7</f>
        <v>99.399999999999991</v>
      </c>
      <c r="V7" s="688" t="s">
        <v>14</v>
      </c>
      <c r="W7" s="689">
        <f t="shared" ref="W7:W15" si="2">J7</f>
        <v>99.199999999999989</v>
      </c>
      <c r="X7" s="690"/>
      <c r="Y7" s="3739" t="s">
        <v>1679</v>
      </c>
      <c r="Z7" s="3740"/>
      <c r="AA7" s="691">
        <f>D7/F7</f>
        <v>1.0040160642570282</v>
      </c>
      <c r="AB7" s="691">
        <f>D7/H7</f>
        <v>1.0060362173038231</v>
      </c>
      <c r="AC7" s="691">
        <f>D7/J7</f>
        <v>1.0080645161290325</v>
      </c>
    </row>
    <row r="8" spans="1:30" s="105" customFormat="1" ht="15.75" thickBot="1">
      <c r="A8" s="352" t="s">
        <v>1680</v>
      </c>
      <c r="B8" s="353"/>
      <c r="C8" s="358" t="s">
        <v>1681</v>
      </c>
      <c r="D8" s="355">
        <v>100</v>
      </c>
      <c r="E8" s="358" t="s">
        <v>3408</v>
      </c>
      <c r="F8" s="357">
        <f>SUMIF(72:72,E8,73:73)-SUMIF(72:72,C8,73:73)+100</f>
        <v>100</v>
      </c>
      <c r="G8" s="358" t="s">
        <v>3408</v>
      </c>
      <c r="H8" s="355">
        <f>SUMIF(72:72,G8,73:73)-SUMIF(72:72,C8,73:73)+100</f>
        <v>100</v>
      </c>
      <c r="I8" s="358" t="s">
        <v>3408</v>
      </c>
      <c r="J8" s="355">
        <f>SUMIF(72:72,I8,73:73)-SUMIF(72:72,C8,73:73)+100</f>
        <v>100</v>
      </c>
      <c r="K8" s="550"/>
      <c r="L8" s="2702"/>
      <c r="M8" s="2703"/>
      <c r="N8" s="2703"/>
      <c r="O8" s="2703"/>
      <c r="P8" s="3739" t="s">
        <v>1682</v>
      </c>
      <c r="Q8" s="3740"/>
      <c r="R8" s="688" t="s">
        <v>14</v>
      </c>
      <c r="S8" s="689">
        <f t="shared" si="0"/>
        <v>100</v>
      </c>
      <c r="T8" s="688" t="s">
        <v>14</v>
      </c>
      <c r="U8" s="689">
        <f t="shared" si="1"/>
        <v>100</v>
      </c>
      <c r="V8" s="688" t="s">
        <v>14</v>
      </c>
      <c r="W8" s="689">
        <f t="shared" si="2"/>
        <v>100</v>
      </c>
      <c r="X8" s="690"/>
      <c r="Y8" s="3739" t="s">
        <v>1682</v>
      </c>
      <c r="Z8" s="3740"/>
      <c r="AA8" s="691">
        <f t="shared" ref="AA8:AA45" si="3">D8/F8</f>
        <v>1</v>
      </c>
      <c r="AB8" s="691">
        <f t="shared" ref="AB8:AB45" si="4">D8/H8</f>
        <v>1</v>
      </c>
      <c r="AC8" s="691">
        <f t="shared" ref="AC8:AC45" si="5">D8/J8</f>
        <v>1</v>
      </c>
    </row>
    <row r="9" spans="1:30" s="105" customFormat="1">
      <c r="A9" s="359" t="s">
        <v>1683</v>
      </c>
      <c r="B9" s="63" t="s">
        <v>1684</v>
      </c>
      <c r="C9" s="1964" t="s">
        <v>673</v>
      </c>
      <c r="D9" s="116">
        <v>100</v>
      </c>
      <c r="E9" s="1964" t="s">
        <v>673</v>
      </c>
      <c r="F9" s="116">
        <f>SUMIF(74:74,E9,75:75)-SUMIF(74:74,C9,75:75)+100</f>
        <v>100</v>
      </c>
      <c r="G9" s="1964" t="s">
        <v>673</v>
      </c>
      <c r="H9" s="116">
        <f>SUMIF(74:74,G9,75:75)-SUMIF(74:74,C9,75:75)+100</f>
        <v>100</v>
      </c>
      <c r="I9" s="1964" t="s">
        <v>673</v>
      </c>
      <c r="J9" s="116">
        <f>SUMIF(74:74,I9,75:75)-SUMIF(74:74,C9,75:75)+100</f>
        <v>100</v>
      </c>
      <c r="K9" s="550"/>
      <c r="L9" s="2702"/>
      <c r="M9" s="2703"/>
      <c r="N9" s="2703"/>
      <c r="O9" s="2756"/>
      <c r="P9" s="3700" t="s">
        <v>1685</v>
      </c>
      <c r="Q9" s="1330" t="str">
        <f t="shared" ref="Q9:Q15" si="6">B9</f>
        <v>用途</v>
      </c>
      <c r="R9" s="688" t="s">
        <v>14</v>
      </c>
      <c r="S9" s="689">
        <f t="shared" si="0"/>
        <v>100</v>
      </c>
      <c r="T9" s="688" t="s">
        <v>14</v>
      </c>
      <c r="U9" s="689">
        <f t="shared" si="1"/>
        <v>100</v>
      </c>
      <c r="V9" s="688" t="s">
        <v>14</v>
      </c>
      <c r="W9" s="689">
        <f t="shared" si="2"/>
        <v>100</v>
      </c>
      <c r="X9" s="690"/>
      <c r="Y9" s="3607" t="s">
        <v>1686</v>
      </c>
      <c r="Z9" s="52" t="str">
        <f t="shared" ref="Z9:Z15" si="7">Q9</f>
        <v>用途</v>
      </c>
      <c r="AA9" s="691">
        <f t="shared" si="3"/>
        <v>1</v>
      </c>
      <c r="AB9" s="691">
        <f t="shared" si="4"/>
        <v>1</v>
      </c>
      <c r="AC9" s="691">
        <f t="shared" si="5"/>
        <v>1</v>
      </c>
    </row>
    <row r="10" spans="1:30" s="368" customFormat="1" ht="27">
      <c r="A10" s="364"/>
      <c r="B10" s="365" t="s">
        <v>1687</v>
      </c>
      <c r="C10" s="373"/>
      <c r="D10" s="117">
        <v>100</v>
      </c>
      <c r="E10" s="406"/>
      <c r="F10" s="117">
        <f>ROUND(100/'数据-取费表'!G16,0)</f>
        <v>153</v>
      </c>
      <c r="G10" s="404"/>
      <c r="H10" s="117">
        <f>ROUND(100/'数据-取费表'!G16,0)</f>
        <v>153</v>
      </c>
      <c r="I10" s="404"/>
      <c r="J10" s="117">
        <f>ROUND(100/'数据-取费表'!G16,0)</f>
        <v>153</v>
      </c>
      <c r="K10" s="610"/>
      <c r="L10" s="2704"/>
      <c r="M10" s="2705"/>
      <c r="N10" s="2705"/>
      <c r="O10" s="2757"/>
      <c r="P10" s="3700"/>
      <c r="Q10" s="1330" t="str">
        <f t="shared" si="6"/>
        <v>土地使用年限（年）</v>
      </c>
      <c r="R10" s="688" t="s">
        <v>14</v>
      </c>
      <c r="S10" s="689">
        <f t="shared" si="0"/>
        <v>153</v>
      </c>
      <c r="T10" s="688" t="s">
        <v>14</v>
      </c>
      <c r="U10" s="689">
        <f t="shared" si="1"/>
        <v>153</v>
      </c>
      <c r="V10" s="688" t="s">
        <v>14</v>
      </c>
      <c r="W10" s="689">
        <f t="shared" si="2"/>
        <v>153</v>
      </c>
      <c r="X10" s="690"/>
      <c r="Y10" s="3607"/>
      <c r="Z10" s="52" t="str">
        <f t="shared" si="7"/>
        <v>土地使用年限（年）</v>
      </c>
      <c r="AA10" s="691">
        <f t="shared" si="3"/>
        <v>0.65359477124183007</v>
      </c>
      <c r="AB10" s="691">
        <f t="shared" si="4"/>
        <v>0.65359477124183007</v>
      </c>
      <c r="AC10" s="691">
        <f t="shared" si="5"/>
        <v>0.65359477124183007</v>
      </c>
    </row>
    <row r="11" spans="1:30" ht="15">
      <c r="A11" s="369"/>
      <c r="B11" s="365" t="s">
        <v>1688</v>
      </c>
      <c r="C11" s="3512">
        <f>'数据-汇总表'!I7</f>
        <v>1.99</v>
      </c>
      <c r="D11" s="117">
        <v>100</v>
      </c>
      <c r="E11" s="370">
        <v>4.5</v>
      </c>
      <c r="F11" s="117">
        <f>LOOKUP(E11,79:79,80:80)-LOOKUP(C11,79:79,80:80)+100</f>
        <v>91</v>
      </c>
      <c r="G11" s="371">
        <v>4.4000000000000004</v>
      </c>
      <c r="H11" s="117">
        <f>LOOKUP(G11,79:79,80:80)-LOOKUP(C11,79:79,80:80)+100</f>
        <v>91</v>
      </c>
      <c r="I11" s="370">
        <v>4.3899999999999997</v>
      </c>
      <c r="J11" s="117">
        <f>LOOKUP(I11,79:79,80:80)-LOOKUP(C11,79:79,80:80)+100</f>
        <v>91</v>
      </c>
      <c r="K11" s="611">
        <v>3</v>
      </c>
      <c r="L11" s="2706"/>
      <c r="M11" s="2701"/>
      <c r="N11" s="2701"/>
      <c r="O11" s="2758"/>
      <c r="P11" s="3700"/>
      <c r="Q11" s="1330" t="str">
        <f t="shared" si="6"/>
        <v>容积率</v>
      </c>
      <c r="R11" s="688" t="s">
        <v>14</v>
      </c>
      <c r="S11" s="689">
        <f t="shared" si="0"/>
        <v>91</v>
      </c>
      <c r="T11" s="688" t="s">
        <v>14</v>
      </c>
      <c r="U11" s="689">
        <f t="shared" si="1"/>
        <v>91</v>
      </c>
      <c r="V11" s="688" t="s">
        <v>14</v>
      </c>
      <c r="W11" s="689">
        <f t="shared" si="2"/>
        <v>91</v>
      </c>
      <c r="X11" s="690"/>
      <c r="Y11" s="3607"/>
      <c r="Z11" s="52" t="str">
        <f t="shared" si="7"/>
        <v>容积率</v>
      </c>
      <c r="AA11" s="691">
        <f t="shared" si="3"/>
        <v>1.098901098901099</v>
      </c>
      <c r="AB11" s="691">
        <f t="shared" si="4"/>
        <v>1.098901098901099</v>
      </c>
      <c r="AC11" s="691">
        <f t="shared" si="5"/>
        <v>1.098901098901099</v>
      </c>
    </row>
    <row r="12" spans="1:30" s="105" customFormat="1" ht="15">
      <c r="A12" s="372"/>
      <c r="B12" s="1880" t="s">
        <v>1869</v>
      </c>
      <c r="C12" s="373"/>
      <c r="D12" s="374">
        <v>100</v>
      </c>
      <c r="E12" s="406"/>
      <c r="F12" s="117">
        <f>SUMIF(81:81,E12,82:82)-SUMIF(81:81,C12,82:82)+100</f>
        <v>100</v>
      </c>
      <c r="G12" s="404"/>
      <c r="H12" s="117">
        <f>SUMIF(81:81,G12,82:82)-SUMIF(81:81,C12,82:82)+100</f>
        <v>100</v>
      </c>
      <c r="I12" s="406"/>
      <c r="J12" s="117">
        <f>SUMIF(81:81,I12,82:82)-SUMIF(81:81,C12,82:82)+100</f>
        <v>100</v>
      </c>
      <c r="K12" s="610"/>
      <c r="L12" s="2702"/>
      <c r="M12" s="2703"/>
      <c r="N12" s="2703"/>
      <c r="O12" s="2756"/>
      <c r="P12" s="3700"/>
      <c r="Q12" s="1330" t="str">
        <f t="shared" si="6"/>
        <v>配建</v>
      </c>
      <c r="R12" s="688" t="s">
        <v>14</v>
      </c>
      <c r="S12" s="689">
        <f t="shared" si="0"/>
        <v>100</v>
      </c>
      <c r="T12" s="688" t="s">
        <v>14</v>
      </c>
      <c r="U12" s="689">
        <f t="shared" si="1"/>
        <v>100</v>
      </c>
      <c r="V12" s="688" t="s">
        <v>14</v>
      </c>
      <c r="W12" s="689">
        <f t="shared" si="2"/>
        <v>100</v>
      </c>
      <c r="X12" s="690"/>
      <c r="Y12" s="3607"/>
      <c r="Z12" s="52" t="str">
        <f t="shared" si="7"/>
        <v>配建</v>
      </c>
      <c r="AA12" s="691">
        <f>D12/F12</f>
        <v>1</v>
      </c>
      <c r="AB12" s="691">
        <f>D12/H12</f>
        <v>1</v>
      </c>
      <c r="AC12" s="691">
        <f>D12/J12</f>
        <v>1</v>
      </c>
    </row>
    <row r="13" spans="1:30" ht="15">
      <c r="A13" s="369"/>
      <c r="B13" s="1880">
        <v>111</v>
      </c>
      <c r="C13" s="375"/>
      <c r="D13" s="376">
        <v>100</v>
      </c>
      <c r="E13" s="488"/>
      <c r="F13" s="117">
        <f>SUMIF(83:83,E13,84:84)-SUMIF(83:83,C13,84:84)+100</f>
        <v>100</v>
      </c>
      <c r="G13" s="612"/>
      <c r="H13" s="376">
        <f>SUMIF(83:83,G13,84:84)-SUMIF(83:83,C13,84:84)+100</f>
        <v>100</v>
      </c>
      <c r="I13" s="612"/>
      <c r="J13" s="376">
        <f>SUMIF(83:83,I13,84:84)-SUMIF(83:83,C13,84:84)+100</f>
        <v>100</v>
      </c>
      <c r="K13" s="610"/>
      <c r="L13" s="2707"/>
      <c r="M13" s="2701"/>
      <c r="N13" s="2701"/>
      <c r="O13" s="2758"/>
      <c r="P13" s="3700"/>
      <c r="Q13" s="1330">
        <f t="shared" si="6"/>
        <v>111</v>
      </c>
      <c r="R13" s="688" t="s">
        <v>14</v>
      </c>
      <c r="S13" s="689">
        <f t="shared" si="0"/>
        <v>100</v>
      </c>
      <c r="T13" s="688" t="s">
        <v>14</v>
      </c>
      <c r="U13" s="689">
        <f t="shared" si="1"/>
        <v>100</v>
      </c>
      <c r="V13" s="688" t="s">
        <v>14</v>
      </c>
      <c r="W13" s="689">
        <f t="shared" si="2"/>
        <v>100</v>
      </c>
      <c r="X13" s="690"/>
      <c r="Y13" s="3607"/>
      <c r="Z13" s="52">
        <f t="shared" si="7"/>
        <v>111</v>
      </c>
      <c r="AA13" s="691">
        <f>D13/F13</f>
        <v>1</v>
      </c>
      <c r="AB13" s="691">
        <f>D13/H13</f>
        <v>1</v>
      </c>
      <c r="AC13" s="691">
        <f>D13/J13</f>
        <v>1</v>
      </c>
    </row>
    <row r="14" spans="1:30" ht="15.75" thickBot="1">
      <c r="A14" s="377"/>
      <c r="B14" s="1882">
        <v>111</v>
      </c>
      <c r="C14" s="378"/>
      <c r="D14" s="379">
        <v>100</v>
      </c>
      <c r="E14" s="488"/>
      <c r="F14" s="379">
        <f>SUMIF(85:85,E14,86:86)-SUMIF(85:85,C14,86:86)+100</f>
        <v>100</v>
      </c>
      <c r="G14" s="612"/>
      <c r="H14" s="379">
        <f>SUMIF(85:85,G14,86:86)-SUMIF(85:85,C14,86:86)+100</f>
        <v>100</v>
      </c>
      <c r="I14" s="612"/>
      <c r="J14" s="379">
        <f>SUMIF(85:85,I14,86:86)-SUMIF(85:85,C14,86:86)+100</f>
        <v>100</v>
      </c>
      <c r="K14" s="610"/>
      <c r="L14" s="2707"/>
      <c r="M14" s="2701"/>
      <c r="N14" s="2701"/>
      <c r="O14" s="2758"/>
      <c r="P14" s="3700"/>
      <c r="Q14" s="1330">
        <f t="shared" si="6"/>
        <v>111</v>
      </c>
      <c r="R14" s="688" t="s">
        <v>14</v>
      </c>
      <c r="S14" s="689">
        <f t="shared" si="0"/>
        <v>100</v>
      </c>
      <c r="T14" s="688" t="s">
        <v>14</v>
      </c>
      <c r="U14" s="689">
        <f t="shared" si="1"/>
        <v>100</v>
      </c>
      <c r="V14" s="688" t="s">
        <v>14</v>
      </c>
      <c r="W14" s="689">
        <f t="shared" si="2"/>
        <v>100</v>
      </c>
      <c r="X14" s="690"/>
      <c r="Y14" s="3607"/>
      <c r="Z14" s="52">
        <f t="shared" si="7"/>
        <v>111</v>
      </c>
      <c r="AA14" s="691">
        <f>D14/F14</f>
        <v>1</v>
      </c>
      <c r="AB14" s="691">
        <f>D14/H14</f>
        <v>1</v>
      </c>
      <c r="AC14" s="691">
        <f>D14/J14</f>
        <v>1</v>
      </c>
    </row>
    <row r="15" spans="1:30" ht="15">
      <c r="A15" s="381" t="s">
        <v>1689</v>
      </c>
      <c r="B15" s="61" t="s">
        <v>1257</v>
      </c>
      <c r="C15" s="1883">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7"/>
      <c r="M15" s="2701"/>
      <c r="N15" s="2701"/>
      <c r="O15" s="2758"/>
      <c r="P15" s="3707" t="s">
        <v>1690</v>
      </c>
      <c r="Q15" s="1339" t="str">
        <f t="shared" si="6"/>
        <v>居住社区成熟度</v>
      </c>
      <c r="R15" s="692" t="s">
        <v>14</v>
      </c>
      <c r="S15" s="693">
        <f t="shared" si="0"/>
        <v>100</v>
      </c>
      <c r="T15" s="692" t="s">
        <v>14</v>
      </c>
      <c r="U15" s="693">
        <f t="shared" si="1"/>
        <v>100</v>
      </c>
      <c r="V15" s="692" t="s">
        <v>14</v>
      </c>
      <c r="W15" s="693">
        <f t="shared" si="2"/>
        <v>100</v>
      </c>
      <c r="X15" s="1342"/>
      <c r="Y15" s="3707" t="s">
        <v>1690</v>
      </c>
      <c r="Z15" s="1343" t="str">
        <f t="shared" si="7"/>
        <v>居住社区成熟度</v>
      </c>
      <c r="AA15" s="1340">
        <f t="shared" si="3"/>
        <v>1</v>
      </c>
      <c r="AB15" s="1340">
        <f t="shared" si="4"/>
        <v>1</v>
      </c>
      <c r="AC15" s="1340">
        <f t="shared" si="5"/>
        <v>1</v>
      </c>
    </row>
    <row r="16" spans="1:30" ht="15">
      <c r="A16" s="369"/>
      <c r="B16" s="387"/>
      <c r="C16" s="388"/>
      <c r="D16" s="389"/>
      <c r="E16" s="1885"/>
      <c r="F16" s="389"/>
      <c r="G16" s="1885"/>
      <c r="H16" s="391"/>
      <c r="I16" s="1884"/>
      <c r="J16" s="389"/>
      <c r="K16" s="610"/>
      <c r="L16" s="2707"/>
      <c r="M16" s="2701"/>
      <c r="N16" s="2701"/>
      <c r="O16" s="2758"/>
      <c r="P16" s="3708"/>
      <c r="Q16" s="1339"/>
      <c r="R16" s="692"/>
      <c r="S16" s="693"/>
      <c r="T16" s="692"/>
      <c r="U16" s="693"/>
      <c r="V16" s="692"/>
      <c r="W16" s="693"/>
      <c r="X16" s="1342"/>
      <c r="Y16" s="3708"/>
      <c r="Z16" s="1343"/>
      <c r="AA16" s="1340">
        <v>1</v>
      </c>
      <c r="AB16" s="1340">
        <v>1</v>
      </c>
      <c r="AC16" s="1340">
        <v>1</v>
      </c>
    </row>
    <row r="17" spans="1:29" ht="71.25">
      <c r="A17" s="369"/>
      <c r="B17" s="392" t="s">
        <v>1776</v>
      </c>
      <c r="C17" s="1942" t="str">
        <f>估价对象房地状况!C16</f>
        <v>估价对象位于板井路，周边商业氛围较成熟，人流量较大，世纪金源购物中心等，商业繁华度较好</v>
      </c>
      <c r="D17" s="391">
        <v>100</v>
      </c>
      <c r="E17" s="393"/>
      <c r="F17" s="391">
        <f>SUMIF(89:89,E18,90:90)-SUMIF(89:89,C18,90:90)+100</f>
        <v>97</v>
      </c>
      <c r="G17" s="393"/>
      <c r="H17" s="396">
        <f>SUMIF(89:89,G18,90:90)-SUMIF(89:89,C18,90:90)+100</f>
        <v>97</v>
      </c>
      <c r="I17" s="395"/>
      <c r="J17" s="396">
        <f>SUMIF(89:89,I18,90:90)-SUMIF(89:89,C18,90:90)+100</f>
        <v>94</v>
      </c>
      <c r="K17" s="611">
        <v>3</v>
      </c>
      <c r="L17" s="2707"/>
      <c r="M17" s="2701"/>
      <c r="N17" s="2701"/>
      <c r="O17" s="2758"/>
      <c r="P17" s="3708"/>
      <c r="Q17" s="1339" t="str">
        <f>B17</f>
        <v>商业繁华度</v>
      </c>
      <c r="R17" s="692" t="s">
        <v>14</v>
      </c>
      <c r="S17" s="693">
        <f>F17</f>
        <v>97</v>
      </c>
      <c r="T17" s="692" t="s">
        <v>14</v>
      </c>
      <c r="U17" s="693">
        <f>H17</f>
        <v>97</v>
      </c>
      <c r="V17" s="692" t="s">
        <v>14</v>
      </c>
      <c r="W17" s="693">
        <f>J17</f>
        <v>94</v>
      </c>
      <c r="X17" s="1342"/>
      <c r="Y17" s="3708"/>
      <c r="Z17" s="1343" t="str">
        <f>Q17</f>
        <v>商业繁华度</v>
      </c>
      <c r="AA17" s="1340">
        <f t="shared" si="3"/>
        <v>1.0309278350515463</v>
      </c>
      <c r="AB17" s="1340">
        <f t="shared" si="4"/>
        <v>1.0309278350515463</v>
      </c>
      <c r="AC17" s="1340">
        <f t="shared" si="5"/>
        <v>1.0638297872340425</v>
      </c>
    </row>
    <row r="18" spans="1:29" ht="15">
      <c r="A18" s="369"/>
      <c r="B18" s="397"/>
      <c r="C18" s="1888" t="s">
        <v>3389</v>
      </c>
      <c r="D18" s="391"/>
      <c r="E18" s="1890" t="s">
        <v>3390</v>
      </c>
      <c r="F18" s="391"/>
      <c r="G18" s="1890" t="s">
        <v>3390</v>
      </c>
      <c r="H18" s="389"/>
      <c r="I18" s="1889" t="s">
        <v>3391</v>
      </c>
      <c r="J18" s="389"/>
      <c r="K18" s="610"/>
      <c r="L18" s="2707"/>
      <c r="M18" s="2701"/>
      <c r="N18" s="2701"/>
      <c r="O18" s="2758"/>
      <c r="P18" s="3708"/>
      <c r="Q18" s="1339"/>
      <c r="R18" s="692"/>
      <c r="S18" s="693"/>
      <c r="T18" s="692"/>
      <c r="U18" s="693"/>
      <c r="V18" s="692"/>
      <c r="W18" s="693"/>
      <c r="X18" s="1342"/>
      <c r="Y18" s="3708"/>
      <c r="Z18" s="1343"/>
      <c r="AA18" s="1340">
        <v>1</v>
      </c>
      <c r="AB18" s="1340">
        <v>1</v>
      </c>
      <c r="AC18" s="1340">
        <v>1</v>
      </c>
    </row>
    <row r="19" spans="1:29" ht="15">
      <c r="A19" s="369"/>
      <c r="B19" s="392" t="s">
        <v>1810</v>
      </c>
      <c r="C19" s="1942">
        <f>估价对象房地状况!C17</f>
        <v>0</v>
      </c>
      <c r="D19" s="396">
        <v>100</v>
      </c>
      <c r="E19" s="398"/>
      <c r="F19" s="396">
        <f>SUMIF(91:91,E20,92:92)-SUMIF(91:91,C20,92:92)+100</f>
        <v>100</v>
      </c>
      <c r="G19" s="398"/>
      <c r="H19" s="391">
        <f>SUMIF(91:91,G20,92:92)-SUMIF(91:91,C20,92:92)+100</f>
        <v>100</v>
      </c>
      <c r="I19" s="400"/>
      <c r="J19" s="391">
        <f>SUMIF(91:91,I20,92:92)-SUMIF(91:91,C20,92:92)+100</f>
        <v>100</v>
      </c>
      <c r="K19" s="611"/>
      <c r="L19" s="2707"/>
      <c r="M19" s="2701"/>
      <c r="N19" s="2701"/>
      <c r="O19" s="2758"/>
      <c r="P19" s="3708"/>
      <c r="Q19" s="1339" t="str">
        <f>B19</f>
        <v>办公集聚程度</v>
      </c>
      <c r="R19" s="692" t="s">
        <v>14</v>
      </c>
      <c r="S19" s="693">
        <f>F19</f>
        <v>100</v>
      </c>
      <c r="T19" s="692" t="s">
        <v>14</v>
      </c>
      <c r="U19" s="693">
        <f>H19</f>
        <v>100</v>
      </c>
      <c r="V19" s="692" t="s">
        <v>14</v>
      </c>
      <c r="W19" s="693">
        <f>J19</f>
        <v>100</v>
      </c>
      <c r="X19" s="1342"/>
      <c r="Y19" s="3708"/>
      <c r="Z19" s="1343" t="str">
        <f>Q19</f>
        <v>办公集聚程度</v>
      </c>
      <c r="AA19" s="1340">
        <f t="shared" si="3"/>
        <v>1</v>
      </c>
      <c r="AB19" s="1340">
        <f t="shared" si="4"/>
        <v>1</v>
      </c>
      <c r="AC19" s="1340">
        <f t="shared" si="5"/>
        <v>1</v>
      </c>
    </row>
    <row r="20" spans="1:29" ht="15">
      <c r="A20" s="369"/>
      <c r="B20" s="397"/>
      <c r="C20" s="388"/>
      <c r="D20" s="389"/>
      <c r="E20" s="1885"/>
      <c r="F20" s="389"/>
      <c r="G20" s="1885"/>
      <c r="H20" s="389"/>
      <c r="I20" s="1884"/>
      <c r="J20" s="389"/>
      <c r="K20" s="610"/>
      <c r="L20" s="2707"/>
      <c r="M20" s="2701"/>
      <c r="N20" s="2701"/>
      <c r="O20" s="2758"/>
      <c r="P20" s="3708"/>
      <c r="Q20" s="1339"/>
      <c r="R20" s="692"/>
      <c r="S20" s="693"/>
      <c r="T20" s="692"/>
      <c r="U20" s="693"/>
      <c r="V20" s="692"/>
      <c r="W20" s="693"/>
      <c r="X20" s="1342"/>
      <c r="Y20" s="3708"/>
      <c r="Z20" s="1343"/>
      <c r="AA20" s="1340">
        <v>1</v>
      </c>
      <c r="AB20" s="1340">
        <v>1</v>
      </c>
      <c r="AC20" s="1340">
        <v>1</v>
      </c>
    </row>
    <row r="21" spans="1:29" ht="71.25">
      <c r="A21" s="369"/>
      <c r="B21" s="392" t="s">
        <v>1832</v>
      </c>
      <c r="C21" s="1887"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11">
        <v>3</v>
      </c>
      <c r="L21" s="2707"/>
      <c r="M21" s="2701"/>
      <c r="N21" s="2701"/>
      <c r="O21" s="2758"/>
      <c r="P21" s="3708"/>
      <c r="Q21" s="1339" t="str">
        <f>B21</f>
        <v>交通便捷度</v>
      </c>
      <c r="R21" s="692" t="s">
        <v>14</v>
      </c>
      <c r="S21" s="693">
        <f>F21</f>
        <v>100</v>
      </c>
      <c r="T21" s="692" t="s">
        <v>14</v>
      </c>
      <c r="U21" s="693">
        <f>H21</f>
        <v>100</v>
      </c>
      <c r="V21" s="692" t="s">
        <v>14</v>
      </c>
      <c r="W21" s="693">
        <f>J21</f>
        <v>100</v>
      </c>
      <c r="X21" s="1342"/>
      <c r="Y21" s="3708"/>
      <c r="Z21" s="1343" t="str">
        <f>Q21</f>
        <v>交通便捷度</v>
      </c>
      <c r="AA21" s="1340">
        <f t="shared" si="3"/>
        <v>1</v>
      </c>
      <c r="AB21" s="1340">
        <f t="shared" si="4"/>
        <v>1</v>
      </c>
      <c r="AC21" s="1340">
        <f t="shared" si="5"/>
        <v>1</v>
      </c>
    </row>
    <row r="22" spans="1:29" ht="15">
      <c r="A22" s="369"/>
      <c r="B22" s="1118"/>
      <c r="C22" s="388" t="s">
        <v>3389</v>
      </c>
      <c r="D22" s="391"/>
      <c r="E22" s="1885" t="s">
        <v>3389</v>
      </c>
      <c r="F22" s="389"/>
      <c r="G22" s="1885" t="s">
        <v>3389</v>
      </c>
      <c r="H22" s="389"/>
      <c r="I22" s="1884" t="s">
        <v>3389</v>
      </c>
      <c r="J22" s="389"/>
      <c r="K22" s="610"/>
      <c r="L22" s="2707"/>
      <c r="M22" s="2701"/>
      <c r="N22" s="2701"/>
      <c r="O22" s="2758"/>
      <c r="P22" s="3708"/>
      <c r="Q22" s="1339"/>
      <c r="R22" s="692"/>
      <c r="S22" s="693"/>
      <c r="T22" s="692"/>
      <c r="U22" s="693"/>
      <c r="V22" s="692"/>
      <c r="W22" s="693"/>
      <c r="X22" s="1342"/>
      <c r="Y22" s="3708"/>
      <c r="Z22" s="1343"/>
      <c r="AA22" s="1340">
        <v>1</v>
      </c>
      <c r="AB22" s="1340">
        <v>1</v>
      </c>
      <c r="AC22" s="1340">
        <v>1</v>
      </c>
    </row>
    <row r="23" spans="1:29" ht="15">
      <c r="A23" s="348"/>
      <c r="B23" s="392" t="s">
        <v>1870</v>
      </c>
      <c r="C23" s="1123">
        <f>估价对象房地状况!C19</f>
        <v>0</v>
      </c>
      <c r="D23" s="396">
        <v>100</v>
      </c>
      <c r="E23" s="393"/>
      <c r="F23" s="396">
        <f>SUMIF(95:95,E24,96:96)-SUMIF(95:95,C24,96:96)+100</f>
        <v>100</v>
      </c>
      <c r="G23" s="395"/>
      <c r="H23" s="396">
        <f>SUMIF(95:95,G24,96:96)-SUMIF(95:95,C24,96:96)+100</f>
        <v>100</v>
      </c>
      <c r="I23" s="395"/>
      <c r="J23" s="396">
        <f>SUMIF(95:95,I24,96:96)-SUMIF(95:95,C24,96:96)+100</f>
        <v>100</v>
      </c>
      <c r="K23" s="611"/>
      <c r="L23" s="2707"/>
      <c r="M23" s="2701"/>
      <c r="N23" s="2701"/>
      <c r="O23" s="2758"/>
      <c r="P23" s="3708"/>
      <c r="Q23" s="1339" t="str">
        <f t="shared" ref="Q23:Q37" si="8">B23</f>
        <v>区域土地利用方向</v>
      </c>
      <c r="R23" s="692" t="s">
        <v>14</v>
      </c>
      <c r="S23" s="693">
        <f>F23</f>
        <v>100</v>
      </c>
      <c r="T23" s="692" t="s">
        <v>14</v>
      </c>
      <c r="U23" s="693">
        <f>H23</f>
        <v>100</v>
      </c>
      <c r="V23" s="692" t="s">
        <v>14</v>
      </c>
      <c r="W23" s="693">
        <f>J23</f>
        <v>100</v>
      </c>
      <c r="X23" s="1342"/>
      <c r="Y23" s="3708"/>
      <c r="Z23" s="1343" t="str">
        <f>Q23</f>
        <v>区域土地利用方向</v>
      </c>
      <c r="AA23" s="1340">
        <f t="shared" si="3"/>
        <v>1</v>
      </c>
      <c r="AB23" s="1340">
        <f t="shared" si="4"/>
        <v>1</v>
      </c>
      <c r="AC23" s="1340">
        <f t="shared" si="5"/>
        <v>1</v>
      </c>
    </row>
    <row r="24" spans="1:29" ht="15">
      <c r="A24" s="348"/>
      <c r="B24" s="397"/>
      <c r="C24" s="555" t="s">
        <v>3389</v>
      </c>
      <c r="D24" s="389"/>
      <c r="E24" s="1885" t="s">
        <v>3389</v>
      </c>
      <c r="F24" s="389"/>
      <c r="G24" s="1884" t="s">
        <v>3389</v>
      </c>
      <c r="H24" s="389"/>
      <c r="I24" s="1884" t="s">
        <v>3389</v>
      </c>
      <c r="J24" s="389"/>
      <c r="K24" s="727"/>
      <c r="L24" s="2707"/>
      <c r="M24" s="2701"/>
      <c r="N24" s="2701"/>
      <c r="O24" s="2758"/>
      <c r="P24" s="3708"/>
      <c r="Q24" s="1339"/>
      <c r="R24" s="692"/>
      <c r="S24" s="693"/>
      <c r="T24" s="692"/>
      <c r="U24" s="693"/>
      <c r="V24" s="692"/>
      <c r="W24" s="693"/>
      <c r="X24" s="1342"/>
      <c r="Y24" s="3708"/>
      <c r="Z24" s="1343"/>
      <c r="AA24" s="1340"/>
      <c r="AB24" s="1340"/>
      <c r="AC24" s="1340"/>
    </row>
    <row r="25" spans="1:29" ht="71.25">
      <c r="A25" s="348"/>
      <c r="B25" s="1118" t="s">
        <v>1871</v>
      </c>
      <c r="C25" s="1942" t="str">
        <f>估价对象房地状况!C20</f>
        <v>区域自然环境：蓝靛厂公园、四季曙光公园、南长河公园；人文环境；综合评价环境状况较好</v>
      </c>
      <c r="D25" s="391">
        <v>100</v>
      </c>
      <c r="E25" s="393"/>
      <c r="F25" s="391">
        <f>SUMIF(97:97,E26,98:98)-SUMIF(97:97,C26,98:98)+100</f>
        <v>100</v>
      </c>
      <c r="G25" s="393"/>
      <c r="H25" s="391">
        <f>SUMIF(97:97,G26,98:98)-SUMIF(97:97,C26,98:98)+100</f>
        <v>97</v>
      </c>
      <c r="I25" s="395"/>
      <c r="J25" s="391">
        <f>SUMIF(97:97,I26,98:98)-SUMIF(97:97,C26,98:98)+100</f>
        <v>97</v>
      </c>
      <c r="K25" s="611">
        <v>3</v>
      </c>
      <c r="L25" s="2707"/>
      <c r="M25" s="2701"/>
      <c r="N25" s="2701"/>
      <c r="O25" s="2758"/>
      <c r="P25" s="3708"/>
      <c r="Q25" s="1339" t="str">
        <f t="shared" si="8"/>
        <v>自然及人文环境状况</v>
      </c>
      <c r="R25" s="692" t="s">
        <v>14</v>
      </c>
      <c r="S25" s="693">
        <f>F25</f>
        <v>100</v>
      </c>
      <c r="T25" s="692" t="s">
        <v>14</v>
      </c>
      <c r="U25" s="693">
        <f>H25</f>
        <v>97</v>
      </c>
      <c r="V25" s="692" t="s">
        <v>14</v>
      </c>
      <c r="W25" s="693">
        <f>J25</f>
        <v>97</v>
      </c>
      <c r="X25" s="1342"/>
      <c r="Y25" s="3708"/>
      <c r="Z25" s="1343" t="str">
        <f>Q25</f>
        <v>自然及人文环境状况</v>
      </c>
      <c r="AA25" s="1340">
        <f t="shared" si="3"/>
        <v>1</v>
      </c>
      <c r="AB25" s="1340">
        <f t="shared" si="4"/>
        <v>1.0309278350515463</v>
      </c>
      <c r="AC25" s="1340">
        <f t="shared" si="5"/>
        <v>1.0309278350515463</v>
      </c>
    </row>
    <row r="26" spans="1:29" ht="15">
      <c r="A26" s="348"/>
      <c r="B26" s="397"/>
      <c r="C26" s="388" t="s">
        <v>3389</v>
      </c>
      <c r="D26" s="389"/>
      <c r="E26" s="1891" t="s">
        <v>3389</v>
      </c>
      <c r="F26" s="389"/>
      <c r="G26" s="1891" t="s">
        <v>3390</v>
      </c>
      <c r="H26" s="389"/>
      <c r="I26" s="388" t="s">
        <v>3390</v>
      </c>
      <c r="J26" s="389"/>
      <c r="K26" s="610"/>
      <c r="L26" s="2707"/>
      <c r="M26" s="2701"/>
      <c r="N26" s="2701"/>
      <c r="O26" s="2758"/>
      <c r="P26" s="3708"/>
      <c r="Q26" s="1339"/>
      <c r="R26" s="692"/>
      <c r="S26" s="693"/>
      <c r="T26" s="692"/>
      <c r="U26" s="693"/>
      <c r="V26" s="692"/>
      <c r="W26" s="693"/>
      <c r="X26" s="1342"/>
      <c r="Y26" s="3708"/>
      <c r="Z26" s="1343"/>
      <c r="AA26" s="1340">
        <v>1</v>
      </c>
      <c r="AB26" s="1340">
        <v>1</v>
      </c>
      <c r="AC26" s="1340">
        <v>1</v>
      </c>
    </row>
    <row r="27" spans="1:29" s="105" customFormat="1" ht="42.75">
      <c r="A27" s="587"/>
      <c r="B27" s="1118" t="s">
        <v>1777</v>
      </c>
      <c r="C27" s="1887" t="str">
        <f>估价对象房地状况!C21</f>
        <v>估价对象所在区域公共配套设施齐备情况较好</v>
      </c>
      <c r="D27" s="391">
        <v>100</v>
      </c>
      <c r="E27" s="393"/>
      <c r="F27" s="391">
        <f>SUMIF(99:99,E28,100:100)-SUMIF(99:99,C28,100:100)+100</f>
        <v>100</v>
      </c>
      <c r="G27" s="393"/>
      <c r="H27" s="391">
        <f>SUMIF(99:99,G28,100:100)-SUMIF(99:99,C28,100:100)+100</f>
        <v>97</v>
      </c>
      <c r="I27" s="395"/>
      <c r="J27" s="391">
        <f>SUMIF(99:99,I28,100:100)-SUMIF(99:99,C28,100:100)+100</f>
        <v>97</v>
      </c>
      <c r="K27" s="611">
        <v>3</v>
      </c>
      <c r="L27" s="2702"/>
      <c r="M27" s="2703"/>
      <c r="N27" s="2703"/>
      <c r="O27" s="2756"/>
      <c r="P27" s="3708"/>
      <c r="Q27" s="1330" t="str">
        <f t="shared" si="8"/>
        <v>公共配套设施</v>
      </c>
      <c r="R27" s="688" t="s">
        <v>14</v>
      </c>
      <c r="S27" s="689">
        <f>F27</f>
        <v>100</v>
      </c>
      <c r="T27" s="688" t="s">
        <v>14</v>
      </c>
      <c r="U27" s="689">
        <f>H27</f>
        <v>97</v>
      </c>
      <c r="V27" s="688" t="s">
        <v>14</v>
      </c>
      <c r="W27" s="689">
        <f>J27</f>
        <v>97</v>
      </c>
      <c r="X27" s="690"/>
      <c r="Y27" s="3708"/>
      <c r="Z27" s="52" t="str">
        <f>Q27</f>
        <v>公共配套设施</v>
      </c>
      <c r="AA27" s="1340">
        <f>D27/F27</f>
        <v>1</v>
      </c>
      <c r="AB27" s="1340">
        <f>D27/H27</f>
        <v>1.0309278350515463</v>
      </c>
      <c r="AC27" s="1340">
        <f>D27/J27</f>
        <v>1.0309278350515463</v>
      </c>
    </row>
    <row r="28" spans="1:29" s="105" customFormat="1" ht="15">
      <c r="A28" s="587"/>
      <c r="B28" s="397"/>
      <c r="C28" s="1965" t="s">
        <v>3389</v>
      </c>
      <c r="D28" s="389"/>
      <c r="E28" s="1891" t="s">
        <v>3389</v>
      </c>
      <c r="F28" s="389"/>
      <c r="G28" s="1891" t="s">
        <v>3390</v>
      </c>
      <c r="H28" s="389"/>
      <c r="I28" s="388" t="s">
        <v>3390</v>
      </c>
      <c r="J28" s="389"/>
      <c r="K28" s="610"/>
      <c r="L28" s="2702"/>
      <c r="M28" s="2703"/>
      <c r="N28" s="2703"/>
      <c r="O28" s="2756"/>
      <c r="P28" s="3708"/>
      <c r="Q28" s="1330"/>
      <c r="R28" s="688"/>
      <c r="S28" s="689"/>
      <c r="T28" s="688"/>
      <c r="U28" s="689"/>
      <c r="V28" s="688"/>
      <c r="W28" s="689"/>
      <c r="X28" s="690"/>
      <c r="Y28" s="3708"/>
      <c r="Z28" s="52"/>
      <c r="AA28" s="1340">
        <v>1</v>
      </c>
      <c r="AB28" s="1340">
        <v>1</v>
      </c>
      <c r="AC28" s="1340">
        <v>1</v>
      </c>
    </row>
    <row r="29" spans="1:29" s="105" customFormat="1" ht="15">
      <c r="A29" s="587"/>
      <c r="B29" s="1118" t="s">
        <v>1778</v>
      </c>
      <c r="C29" s="1887" t="str">
        <f>估价对象房地状况!C22</f>
        <v>七通</v>
      </c>
      <c r="D29" s="391">
        <v>100</v>
      </c>
      <c r="E29" s="393"/>
      <c r="F29" s="391">
        <f>SUMIF(101:101,E30,102:102)-SUMIF(101:101,C30,102:102)+100</f>
        <v>100</v>
      </c>
      <c r="G29" s="393"/>
      <c r="H29" s="391">
        <f>SUMIF(101:101,G30,102:102)-SUMIF(101:101,C30,102:102)+100</f>
        <v>100</v>
      </c>
      <c r="I29" s="395"/>
      <c r="J29" s="391">
        <f>SUMIF(101:101,I30,102:102)-SUMIF(101:101,C30,102:102)+100</f>
        <v>100</v>
      </c>
      <c r="K29" s="611">
        <v>1</v>
      </c>
      <c r="L29" s="2702"/>
      <c r="M29" s="2703"/>
      <c r="N29" s="2703"/>
      <c r="O29" s="2756"/>
      <c r="P29" s="3708"/>
      <c r="Q29" s="1330" t="str">
        <f t="shared" ref="Q29" si="9">B29</f>
        <v>基础设施水平</v>
      </c>
      <c r="R29" s="688" t="s">
        <v>14</v>
      </c>
      <c r="S29" s="689">
        <f>F29</f>
        <v>100</v>
      </c>
      <c r="T29" s="688" t="s">
        <v>14</v>
      </c>
      <c r="U29" s="689">
        <f>H29</f>
        <v>100</v>
      </c>
      <c r="V29" s="688" t="s">
        <v>14</v>
      </c>
      <c r="W29" s="689">
        <f>J29</f>
        <v>100</v>
      </c>
      <c r="X29" s="690"/>
      <c r="Y29" s="3708"/>
      <c r="Z29" s="52" t="str">
        <f>Q29</f>
        <v>基础设施水平</v>
      </c>
      <c r="AA29" s="1340">
        <f>D29/F29</f>
        <v>1</v>
      </c>
      <c r="AB29" s="1340">
        <f>D29/H29</f>
        <v>1</v>
      </c>
      <c r="AC29" s="1340">
        <f>D29/J29</f>
        <v>1</v>
      </c>
    </row>
    <row r="30" spans="1:29" s="105" customFormat="1" ht="15">
      <c r="A30" s="587"/>
      <c r="B30" s="397"/>
      <c r="C30" s="1965" t="s">
        <v>3464</v>
      </c>
      <c r="D30" s="389"/>
      <c r="E30" s="1966" t="s">
        <v>3464</v>
      </c>
      <c r="F30" s="389"/>
      <c r="G30" s="1966" t="s">
        <v>3464</v>
      </c>
      <c r="H30" s="389"/>
      <c r="I30" s="1966" t="s">
        <v>3464</v>
      </c>
      <c r="J30" s="389"/>
      <c r="K30" s="610"/>
      <c r="L30" s="2702"/>
      <c r="M30" s="2703"/>
      <c r="N30" s="2703"/>
      <c r="O30" s="2756"/>
      <c r="P30" s="3708"/>
      <c r="Q30" s="1330"/>
      <c r="R30" s="688"/>
      <c r="S30" s="689"/>
      <c r="T30" s="688"/>
      <c r="U30" s="689"/>
      <c r="V30" s="688"/>
      <c r="W30" s="689"/>
      <c r="X30" s="690"/>
      <c r="Y30" s="3708"/>
      <c r="Z30" s="52"/>
      <c r="AA30" s="1340">
        <v>1</v>
      </c>
      <c r="AB30" s="1340">
        <v>1</v>
      </c>
      <c r="AC30" s="1340">
        <v>1</v>
      </c>
    </row>
    <row r="31" spans="1:29" ht="15">
      <c r="A31" s="369"/>
      <c r="B31" s="397" t="s">
        <v>1779</v>
      </c>
      <c r="C31" s="555"/>
      <c r="D31" s="376">
        <v>100</v>
      </c>
      <c r="E31" s="572"/>
      <c r="F31" s="376">
        <f>SUMIF(103:103,E31,104:104)-SUMIF(103:103,C31,104:104)+100</f>
        <v>100</v>
      </c>
      <c r="G31" s="572"/>
      <c r="H31" s="376">
        <f>SUMIF(103:103,G31,104:104)-SUMIF(103:103,C31,104:104)+100</f>
        <v>100</v>
      </c>
      <c r="I31" s="572"/>
      <c r="J31" s="376">
        <f>SUMIF(103:103,I31,104:104)-SUMIF(103:103,C31,104:104)+100</f>
        <v>100</v>
      </c>
      <c r="K31" s="611"/>
      <c r="L31" s="2707"/>
      <c r="M31" s="2701"/>
      <c r="N31" s="2701"/>
      <c r="O31" s="2758"/>
      <c r="P31" s="3708"/>
      <c r="Q31" s="1339" t="str">
        <f t="shared" si="8"/>
        <v>临街状况</v>
      </c>
      <c r="R31" s="692" t="s">
        <v>14</v>
      </c>
      <c r="S31" s="693">
        <f t="shared" ref="S31:S45" si="10">F31</f>
        <v>100</v>
      </c>
      <c r="T31" s="692" t="s">
        <v>14</v>
      </c>
      <c r="U31" s="693">
        <f t="shared" ref="U31:U45" si="11">H31</f>
        <v>100</v>
      </c>
      <c r="V31" s="692" t="s">
        <v>14</v>
      </c>
      <c r="W31" s="693">
        <f t="shared" ref="W31:W45" si="12">J31</f>
        <v>100</v>
      </c>
      <c r="X31" s="1342"/>
      <c r="Y31" s="3708"/>
      <c r="Z31" s="1343" t="str">
        <f t="shared" ref="Z31:Z45" si="13">Q31</f>
        <v>临街状况</v>
      </c>
      <c r="AA31" s="1340">
        <f t="shared" si="3"/>
        <v>1</v>
      </c>
      <c r="AB31" s="1340">
        <f t="shared" si="4"/>
        <v>1</v>
      </c>
      <c r="AC31" s="1340">
        <f t="shared" si="5"/>
        <v>1</v>
      </c>
    </row>
    <row r="32" spans="1:29" ht="27">
      <c r="A32" s="369"/>
      <c r="B32" s="1118" t="s">
        <v>1814</v>
      </c>
      <c r="C32" s="3511" t="s">
        <v>3821</v>
      </c>
      <c r="D32" s="391">
        <v>100</v>
      </c>
      <c r="E32" s="393" t="s">
        <v>3818</v>
      </c>
      <c r="F32" s="391">
        <f>SUMIF(105:105,E33,106:106)-SUMIF(105:105,C33,106:106)+100</f>
        <v>101</v>
      </c>
      <c r="G32" s="393"/>
      <c r="H32" s="391">
        <f>SUMIF(105:105,G33,106:106)-SUMIF(105:105,C33,106:106)+100</f>
        <v>100</v>
      </c>
      <c r="I32" s="395"/>
      <c r="J32" s="391">
        <f>SUMIF(105:105,I33,106:106)-SUMIF(105:105,C33,106:106)+100</f>
        <v>100</v>
      </c>
      <c r="K32" s="611">
        <v>1</v>
      </c>
      <c r="L32" s="2707"/>
      <c r="M32" s="2701"/>
      <c r="N32" s="2701"/>
      <c r="O32" s="2758"/>
      <c r="P32" s="3708"/>
      <c r="Q32" s="1339" t="str">
        <f t="shared" si="8"/>
        <v>毗邻道路的类型与等级</v>
      </c>
      <c r="R32" s="692" t="s">
        <v>14</v>
      </c>
      <c r="S32" s="693">
        <f t="shared" si="10"/>
        <v>101</v>
      </c>
      <c r="T32" s="692" t="s">
        <v>14</v>
      </c>
      <c r="U32" s="693">
        <f t="shared" si="11"/>
        <v>100</v>
      </c>
      <c r="V32" s="692" t="s">
        <v>14</v>
      </c>
      <c r="W32" s="693">
        <f t="shared" si="12"/>
        <v>100</v>
      </c>
      <c r="X32" s="1342"/>
      <c r="Y32" s="3708"/>
      <c r="Z32" s="1343" t="str">
        <f t="shared" si="13"/>
        <v>毗邻道路的类型与等级</v>
      </c>
      <c r="AA32" s="1340">
        <f t="shared" si="3"/>
        <v>0.99009900990099009</v>
      </c>
      <c r="AB32" s="1340">
        <f t="shared" si="4"/>
        <v>1</v>
      </c>
      <c r="AC32" s="1340">
        <f t="shared" si="5"/>
        <v>1</v>
      </c>
    </row>
    <row r="33" spans="1:29" ht="15">
      <c r="A33" s="369"/>
      <c r="B33" s="397"/>
      <c r="C33" s="388" t="s">
        <v>3820</v>
      </c>
      <c r="D33" s="389"/>
      <c r="E33" s="1891" t="s">
        <v>3819</v>
      </c>
      <c r="F33" s="389"/>
      <c r="G33" s="1891" t="s">
        <v>3820</v>
      </c>
      <c r="H33" s="389"/>
      <c r="I33" s="388" t="s">
        <v>3820</v>
      </c>
      <c r="J33" s="389"/>
      <c r="K33" s="552"/>
      <c r="L33" s="2707"/>
      <c r="M33" s="2701"/>
      <c r="N33" s="2701"/>
      <c r="O33" s="2758"/>
      <c r="P33" s="3708"/>
      <c r="Q33" s="1339"/>
      <c r="R33" s="692"/>
      <c r="S33" s="693"/>
      <c r="T33" s="692"/>
      <c r="U33" s="693"/>
      <c r="V33" s="692"/>
      <c r="W33" s="693"/>
      <c r="X33" s="1342"/>
      <c r="Y33" s="3708"/>
      <c r="Z33" s="1343"/>
      <c r="AA33" s="1340">
        <v>1</v>
      </c>
      <c r="AB33" s="1340">
        <v>1</v>
      </c>
      <c r="AC33" s="1340">
        <v>1</v>
      </c>
    </row>
    <row r="34" spans="1:29" ht="15">
      <c r="A34" s="369"/>
      <c r="B34" s="365" t="s">
        <v>1872</v>
      </c>
      <c r="C34" s="555"/>
      <c r="D34" s="376">
        <v>100</v>
      </c>
      <c r="E34" s="572"/>
      <c r="F34" s="376">
        <f>SUMIF(107:107,E34,108:108)-SUMIF(107:107,C34,108:108)+100</f>
        <v>100</v>
      </c>
      <c r="G34" s="572"/>
      <c r="H34" s="376">
        <f>SUMIF(107:107,G34,108:108)-SUMIF(107:107,C34,108:108)+100</f>
        <v>100</v>
      </c>
      <c r="I34" s="555"/>
      <c r="J34" s="376">
        <f>SUMIF(107:107,I34,108:108)-SUMIF(107:107,C34,108:108)+100</f>
        <v>100</v>
      </c>
      <c r="K34" s="551"/>
      <c r="L34" s="2707"/>
      <c r="M34" s="2701"/>
      <c r="N34" s="2701"/>
      <c r="O34" s="2758"/>
      <c r="P34" s="3708"/>
      <c r="Q34" s="1339" t="str">
        <f t="shared" si="8"/>
        <v>土地级别</v>
      </c>
      <c r="R34" s="692" t="s">
        <v>14</v>
      </c>
      <c r="S34" s="693">
        <f t="shared" si="10"/>
        <v>100</v>
      </c>
      <c r="T34" s="692" t="s">
        <v>14</v>
      </c>
      <c r="U34" s="693">
        <f t="shared" si="11"/>
        <v>100</v>
      </c>
      <c r="V34" s="692" t="s">
        <v>14</v>
      </c>
      <c r="W34" s="693">
        <f t="shared" si="12"/>
        <v>100</v>
      </c>
      <c r="X34" s="1342"/>
      <c r="Y34" s="3708"/>
      <c r="Z34" s="1343" t="str">
        <f t="shared" si="13"/>
        <v>土地级别</v>
      </c>
      <c r="AA34" s="1340">
        <f t="shared" si="3"/>
        <v>1</v>
      </c>
      <c r="AB34" s="1340">
        <f t="shared" si="4"/>
        <v>1</v>
      </c>
      <c r="AC34" s="1340">
        <f t="shared" si="5"/>
        <v>1</v>
      </c>
    </row>
    <row r="35" spans="1:29" ht="15">
      <c r="A35" s="348"/>
      <c r="B35" s="1120">
        <v>111</v>
      </c>
      <c r="C35" s="612"/>
      <c r="D35" s="376">
        <v>100</v>
      </c>
      <c r="E35" s="418"/>
      <c r="F35" s="376">
        <f>SUMIF(109:109,E35,110:110)-SUMIF(109:109,C35,110:110)+100</f>
        <v>100</v>
      </c>
      <c r="G35" s="418"/>
      <c r="H35" s="376">
        <f>SUMIF(109:109,G35,110:110)-SUMIF(109:109,C35,110:110)+100</f>
        <v>100</v>
      </c>
      <c r="I35" s="612"/>
      <c r="J35" s="376">
        <f>SUMIF(109:109,I35,110:110)-SUMIF(109:109,C35,110:110)+100</f>
        <v>100</v>
      </c>
      <c r="K35" s="552"/>
      <c r="L35" s="2707"/>
      <c r="M35" s="2701"/>
      <c r="N35" s="2701"/>
      <c r="O35" s="2758"/>
      <c r="P35" s="3708"/>
      <c r="Q35" s="1339">
        <f t="shared" si="8"/>
        <v>111</v>
      </c>
      <c r="R35" s="692" t="s">
        <v>14</v>
      </c>
      <c r="S35" s="693">
        <f t="shared" si="10"/>
        <v>100</v>
      </c>
      <c r="T35" s="692" t="s">
        <v>14</v>
      </c>
      <c r="U35" s="693">
        <f t="shared" si="11"/>
        <v>100</v>
      </c>
      <c r="V35" s="692" t="s">
        <v>14</v>
      </c>
      <c r="W35" s="693">
        <f t="shared" si="12"/>
        <v>100</v>
      </c>
      <c r="X35" s="1342"/>
      <c r="Y35" s="3708"/>
      <c r="Z35" s="1343">
        <f t="shared" si="13"/>
        <v>111</v>
      </c>
      <c r="AA35" s="1340">
        <f t="shared" si="3"/>
        <v>1</v>
      </c>
      <c r="AB35" s="1340">
        <f t="shared" si="4"/>
        <v>1</v>
      </c>
      <c r="AC35" s="1340">
        <f t="shared" si="5"/>
        <v>1</v>
      </c>
    </row>
    <row r="36" spans="1:29" ht="15">
      <c r="A36" s="613"/>
      <c r="B36" s="1121">
        <v>111</v>
      </c>
      <c r="C36" s="612"/>
      <c r="D36" s="376">
        <v>100</v>
      </c>
      <c r="E36" s="418"/>
      <c r="F36" s="376">
        <f>SUMIF(111:111,E37,112:112)-SUMIF(111:111,C37,112:112)+100</f>
        <v>100</v>
      </c>
      <c r="G36" s="418"/>
      <c r="H36" s="376">
        <f>SUMIF(111:111,G36,112:112)-SUMIF(111:111,C36,112:112)+100</f>
        <v>100</v>
      </c>
      <c r="I36" s="612"/>
      <c r="J36" s="376">
        <f>SUMIF(111:111,I36,112:112)-SUMIF(111:111,C36,112:112)+100</f>
        <v>100</v>
      </c>
      <c r="K36" s="552"/>
      <c r="L36" s="2707"/>
      <c r="M36" s="2701"/>
      <c r="N36" s="2701"/>
      <c r="O36" s="2758"/>
      <c r="P36" s="3792" t="s">
        <v>1695</v>
      </c>
      <c r="Q36" s="1339">
        <f t="shared" si="8"/>
        <v>111</v>
      </c>
      <c r="R36" s="692" t="s">
        <v>14</v>
      </c>
      <c r="S36" s="693">
        <f t="shared" si="10"/>
        <v>100</v>
      </c>
      <c r="T36" s="692" t="s">
        <v>14</v>
      </c>
      <c r="U36" s="693">
        <f t="shared" si="11"/>
        <v>100</v>
      </c>
      <c r="V36" s="692" t="s">
        <v>14</v>
      </c>
      <c r="W36" s="693">
        <f t="shared" si="12"/>
        <v>100</v>
      </c>
      <c r="X36" s="1342"/>
      <c r="Y36" s="3712" t="s">
        <v>1695</v>
      </c>
      <c r="Z36" s="1343">
        <f t="shared" si="13"/>
        <v>111</v>
      </c>
      <c r="AA36" s="1340">
        <f t="shared" si="3"/>
        <v>1</v>
      </c>
      <c r="AB36" s="1340">
        <f t="shared" si="4"/>
        <v>1</v>
      </c>
      <c r="AC36" s="1340">
        <f t="shared" si="5"/>
        <v>1</v>
      </c>
    </row>
    <row r="37" spans="1:29" s="412" customFormat="1" ht="15.75" thickBot="1">
      <c r="A37" s="614"/>
      <c r="B37" s="1122">
        <v>111</v>
      </c>
      <c r="C37" s="616"/>
      <c r="D37" s="118">
        <v>100</v>
      </c>
      <c r="E37" s="639"/>
      <c r="F37" s="379">
        <f>SUMIF(113:113,E37,114:114)-SUMIF(113:113,C37,114:114)+100</f>
        <v>100</v>
      </c>
      <c r="G37" s="639"/>
      <c r="H37" s="379">
        <f>SUMIF(113:113,G37,114:114)-SUMIF(113:113,C37,114:114)+100</f>
        <v>100</v>
      </c>
      <c r="I37" s="616"/>
      <c r="J37" s="379">
        <f>SUMIF(113:113,I37,114:114)-SUMIF(113:113,C37,114:114)+100</f>
        <v>100</v>
      </c>
      <c r="K37" s="552"/>
      <c r="L37" s="2706"/>
      <c r="M37" s="2708"/>
      <c r="N37" s="2708"/>
      <c r="O37" s="2759"/>
      <c r="P37" s="3712"/>
      <c r="Q37" s="1339">
        <f t="shared" si="8"/>
        <v>111</v>
      </c>
      <c r="R37" s="695" t="s">
        <v>14</v>
      </c>
      <c r="S37" s="696">
        <f t="shared" si="10"/>
        <v>100</v>
      </c>
      <c r="T37" s="695" t="s">
        <v>14</v>
      </c>
      <c r="U37" s="696">
        <f t="shared" si="11"/>
        <v>100</v>
      </c>
      <c r="V37" s="695" t="s">
        <v>14</v>
      </c>
      <c r="W37" s="696">
        <f t="shared" si="12"/>
        <v>100</v>
      </c>
      <c r="X37" s="697"/>
      <c r="Y37" s="3712"/>
      <c r="Z37" s="698">
        <f t="shared" si="13"/>
        <v>111</v>
      </c>
      <c r="AA37" s="1340">
        <f t="shared" si="3"/>
        <v>1</v>
      </c>
      <c r="AB37" s="1340">
        <f t="shared" si="4"/>
        <v>1</v>
      </c>
      <c r="AC37" s="1340">
        <f t="shared" si="5"/>
        <v>1</v>
      </c>
    </row>
    <row r="38" spans="1:29" ht="15">
      <c r="A38" s="413" t="s">
        <v>1693</v>
      </c>
      <c r="B38" s="397" t="s">
        <v>1873</v>
      </c>
      <c r="C38" s="617">
        <f>'数据-基础表'!A3</f>
        <v>28178.74</v>
      </c>
      <c r="D38" s="408">
        <v>100</v>
      </c>
      <c r="E38" s="617">
        <v>10610.35</v>
      </c>
      <c r="F38" s="408">
        <f>LOOKUP(E38,116:116,117:117)-LOOKUP(C38,116:116,117:117)+100</f>
        <v>100</v>
      </c>
      <c r="G38" s="617">
        <v>67829.210000000006</v>
      </c>
      <c r="H38" s="408">
        <f>LOOKUP(G38,116:116,117:117)-LOOKUP(C38,116:116,117:117)+100</f>
        <v>101</v>
      </c>
      <c r="I38" s="469">
        <v>62796.800000000003</v>
      </c>
      <c r="J38" s="408">
        <f>LOOKUP(I38,116:116,117:117)-LOOKUP(C38,116:116,117:117)+100</f>
        <v>101</v>
      </c>
      <c r="K38" s="552"/>
      <c r="L38" s="2707"/>
      <c r="M38" s="2701"/>
      <c r="N38" s="2701"/>
      <c r="O38" s="2758"/>
      <c r="P38" s="3712"/>
      <c r="Q38" s="1339" t="str">
        <f>B38</f>
        <v>宗地面积</v>
      </c>
      <c r="R38" s="692" t="s">
        <v>14</v>
      </c>
      <c r="S38" s="693">
        <f t="shared" si="10"/>
        <v>100</v>
      </c>
      <c r="T38" s="692" t="s">
        <v>14</v>
      </c>
      <c r="U38" s="693">
        <f t="shared" si="11"/>
        <v>101</v>
      </c>
      <c r="V38" s="692" t="s">
        <v>14</v>
      </c>
      <c r="W38" s="693">
        <f t="shared" si="12"/>
        <v>101</v>
      </c>
      <c r="X38" s="1342"/>
      <c r="Y38" s="3712"/>
      <c r="Z38" s="1343" t="str">
        <f t="shared" si="13"/>
        <v>宗地面积</v>
      </c>
      <c r="AA38" s="1340">
        <f t="shared" si="3"/>
        <v>1</v>
      </c>
      <c r="AB38" s="1340">
        <f t="shared" si="4"/>
        <v>0.99009900990099009</v>
      </c>
      <c r="AC38" s="1340">
        <f t="shared" si="5"/>
        <v>0.99009900990099009</v>
      </c>
    </row>
    <row r="39" spans="1:29" ht="42.75">
      <c r="A39" s="413"/>
      <c r="B39" s="365" t="s">
        <v>1874</v>
      </c>
      <c r="C39" s="1893" t="s">
        <v>3804</v>
      </c>
      <c r="D39" s="376">
        <v>100</v>
      </c>
      <c r="E39" s="1893" t="s">
        <v>3806</v>
      </c>
      <c r="F39" s="376">
        <f>SUMIF(118:118,E39,119:119)-SUMIF(118:118,C39,119:119)+100</f>
        <v>96</v>
      </c>
      <c r="G39" s="1893" t="s">
        <v>3804</v>
      </c>
      <c r="H39" s="376">
        <f>SUMIF(118:118,G39,119:119)-SUMIF(118:118,C39,119:119)+100</f>
        <v>100</v>
      </c>
      <c r="I39" s="1893" t="s">
        <v>3804</v>
      </c>
      <c r="J39" s="376">
        <f>SUMIF(118:118,I39,119:119)-SUMIF(118:118,C39,119:119)+100</f>
        <v>100</v>
      </c>
      <c r="K39" s="551">
        <v>2</v>
      </c>
      <c r="L39" s="2707"/>
      <c r="M39" s="2701"/>
      <c r="N39" s="2701"/>
      <c r="O39" s="2758"/>
      <c r="P39" s="3712"/>
      <c r="Q39" s="1339" t="str">
        <f t="shared" ref="Q39:Q45" si="14">B39</f>
        <v>宗地形状</v>
      </c>
      <c r="R39" s="692" t="s">
        <v>14</v>
      </c>
      <c r="S39" s="693">
        <f t="shared" si="10"/>
        <v>96</v>
      </c>
      <c r="T39" s="692" t="s">
        <v>14</v>
      </c>
      <c r="U39" s="693">
        <f t="shared" si="11"/>
        <v>100</v>
      </c>
      <c r="V39" s="692" t="s">
        <v>14</v>
      </c>
      <c r="W39" s="693">
        <f t="shared" si="12"/>
        <v>100</v>
      </c>
      <c r="X39" s="1342"/>
      <c r="Y39" s="3712"/>
      <c r="Z39" s="1343" t="str">
        <f t="shared" si="13"/>
        <v>宗地形状</v>
      </c>
      <c r="AA39" s="1340">
        <f t="shared" si="3"/>
        <v>1.0416666666666667</v>
      </c>
      <c r="AB39" s="1340">
        <f t="shared" si="4"/>
        <v>1</v>
      </c>
      <c r="AC39" s="1340">
        <f t="shared" si="5"/>
        <v>1</v>
      </c>
    </row>
    <row r="40" spans="1:29" ht="57">
      <c r="A40" s="413"/>
      <c r="B40" s="365" t="s">
        <v>1875</v>
      </c>
      <c r="C40" s="1893" t="s">
        <v>3809</v>
      </c>
      <c r="D40" s="376">
        <v>100</v>
      </c>
      <c r="E40" s="1893" t="s">
        <v>3809</v>
      </c>
      <c r="F40" s="376">
        <f>SUMIF(120:120,E40,121:121)-SUMIF(120:120,C40,121:121)+100</f>
        <v>100</v>
      </c>
      <c r="G40" s="1893" t="s">
        <v>3809</v>
      </c>
      <c r="H40" s="376">
        <f>SUMIF(120:120,G40,121:121)-SUMIF(120:120,C40,121:121)+100</f>
        <v>100</v>
      </c>
      <c r="I40" s="1893" t="s">
        <v>3809</v>
      </c>
      <c r="J40" s="376">
        <f>SUMIF(120:120,I40,121:121)-SUMIF(120:120,C40,121:121)+100</f>
        <v>100</v>
      </c>
      <c r="K40" s="551">
        <v>2</v>
      </c>
      <c r="L40" s="2707"/>
      <c r="M40" s="2701"/>
      <c r="N40" s="2701"/>
      <c r="O40" s="2758"/>
      <c r="P40" s="3712"/>
      <c r="Q40" s="1339" t="str">
        <f t="shared" si="14"/>
        <v>临街宽度及深度</v>
      </c>
      <c r="R40" s="692" t="s">
        <v>14</v>
      </c>
      <c r="S40" s="693">
        <f t="shared" si="10"/>
        <v>100</v>
      </c>
      <c r="T40" s="692" t="s">
        <v>14</v>
      </c>
      <c r="U40" s="693">
        <f t="shared" si="11"/>
        <v>100</v>
      </c>
      <c r="V40" s="692" t="s">
        <v>14</v>
      </c>
      <c r="W40" s="693">
        <f t="shared" si="12"/>
        <v>100</v>
      </c>
      <c r="X40" s="1342"/>
      <c r="Y40" s="3712"/>
      <c r="Z40" s="1343" t="str">
        <f t="shared" si="13"/>
        <v>临街宽度及深度</v>
      </c>
      <c r="AA40" s="1340">
        <f t="shared" si="3"/>
        <v>1</v>
      </c>
      <c r="AB40" s="1340">
        <f t="shared" si="4"/>
        <v>1</v>
      </c>
      <c r="AC40" s="1340">
        <f t="shared" si="5"/>
        <v>1</v>
      </c>
    </row>
    <row r="41" spans="1:29" s="105" customFormat="1" ht="15">
      <c r="A41" s="414"/>
      <c r="B41" s="365" t="s">
        <v>1876</v>
      </c>
      <c r="C41" s="1967" t="s">
        <v>3469</v>
      </c>
      <c r="D41" s="117">
        <v>100</v>
      </c>
      <c r="E41" s="1967" t="s">
        <v>3815</v>
      </c>
      <c r="F41" s="376">
        <f>SUMIF(122:122,E41,123:123)-SUMIF(122:122,C41,123:123)+100</f>
        <v>97</v>
      </c>
      <c r="G41" s="1967" t="s">
        <v>3815</v>
      </c>
      <c r="H41" s="376">
        <f>SUMIF(122:122,G41,123:123)-SUMIF(122:122,C41,123:123)+100</f>
        <v>97</v>
      </c>
      <c r="I41" s="1967" t="s">
        <v>3815</v>
      </c>
      <c r="J41" s="376">
        <f>SUMIF(122:122,I41,123:123)-SUMIF(122:122,C41,123:123)+100</f>
        <v>97</v>
      </c>
      <c r="K41" s="551">
        <v>1</v>
      </c>
      <c r="L41" s="2702"/>
      <c r="M41" s="2703"/>
      <c r="N41" s="2703"/>
      <c r="O41" s="2756"/>
      <c r="P41" s="3712"/>
      <c r="Q41" s="1339" t="str">
        <f t="shared" si="14"/>
        <v>宗地开发程度</v>
      </c>
      <c r="R41" s="688" t="s">
        <v>14</v>
      </c>
      <c r="S41" s="689">
        <f t="shared" si="10"/>
        <v>97</v>
      </c>
      <c r="T41" s="688" t="s">
        <v>14</v>
      </c>
      <c r="U41" s="689">
        <f t="shared" si="11"/>
        <v>97</v>
      </c>
      <c r="V41" s="688" t="s">
        <v>14</v>
      </c>
      <c r="W41" s="689">
        <f t="shared" si="12"/>
        <v>97</v>
      </c>
      <c r="X41" s="690"/>
      <c r="Y41" s="3712"/>
      <c r="Z41" s="52" t="str">
        <f t="shared" si="13"/>
        <v>宗地开发程度</v>
      </c>
      <c r="AA41" s="691">
        <f t="shared" si="3"/>
        <v>1.0309278350515463</v>
      </c>
      <c r="AB41" s="691">
        <f t="shared" si="4"/>
        <v>1.0309278350515463</v>
      </c>
      <c r="AC41" s="691">
        <f t="shared" si="5"/>
        <v>1.0309278350515463</v>
      </c>
    </row>
    <row r="42" spans="1:29" ht="15">
      <c r="A42" s="413"/>
      <c r="B42" s="365" t="s">
        <v>1877</v>
      </c>
      <c r="C42" s="1893" t="s">
        <v>3389</v>
      </c>
      <c r="D42" s="376">
        <v>100</v>
      </c>
      <c r="E42" s="1893" t="s">
        <v>3389</v>
      </c>
      <c r="F42" s="376">
        <f>SUMIF(124:124,E42,125:125)-SUMIF(124:124,C42,125:125)+100</f>
        <v>100</v>
      </c>
      <c r="G42" s="1893" t="s">
        <v>3389</v>
      </c>
      <c r="H42" s="376">
        <f>SUMIF(124:124,G42,125:125)-SUMIF(124:124,C42,125:125)+100</f>
        <v>100</v>
      </c>
      <c r="I42" s="1893" t="s">
        <v>3389</v>
      </c>
      <c r="J42" s="376">
        <f>SUMIF(124:124,I42,125:125)-SUMIF(124:124,C42,125:125)+100</f>
        <v>100</v>
      </c>
      <c r="K42" s="551">
        <v>2</v>
      </c>
      <c r="L42" s="2707"/>
      <c r="M42" s="2701"/>
      <c r="N42" s="2701"/>
      <c r="O42" s="2758"/>
      <c r="P42" s="3712" t="s">
        <v>1695</v>
      </c>
      <c r="Q42" s="1339" t="str">
        <f t="shared" si="14"/>
        <v>工程地质条件</v>
      </c>
      <c r="R42" s="692" t="s">
        <v>14</v>
      </c>
      <c r="S42" s="693">
        <f t="shared" si="10"/>
        <v>100</v>
      </c>
      <c r="T42" s="692" t="s">
        <v>14</v>
      </c>
      <c r="U42" s="693">
        <f t="shared" si="11"/>
        <v>100</v>
      </c>
      <c r="V42" s="692" t="s">
        <v>14</v>
      </c>
      <c r="W42" s="693">
        <f t="shared" si="12"/>
        <v>100</v>
      </c>
      <c r="X42" s="1342"/>
      <c r="Y42" s="3712" t="s">
        <v>1695</v>
      </c>
      <c r="Z42" s="1343" t="str">
        <f t="shared" si="13"/>
        <v>工程地质条件</v>
      </c>
      <c r="AA42" s="1340">
        <f t="shared" si="3"/>
        <v>1</v>
      </c>
      <c r="AB42" s="1340">
        <f t="shared" si="4"/>
        <v>1</v>
      </c>
      <c r="AC42" s="1340">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7"/>
      <c r="M43" s="2701"/>
      <c r="N43" s="2701"/>
      <c r="O43" s="2758"/>
      <c r="P43" s="3712"/>
      <c r="Q43" s="1339">
        <f t="shared" si="14"/>
        <v>111</v>
      </c>
      <c r="R43" s="692" t="s">
        <v>14</v>
      </c>
      <c r="S43" s="693">
        <f t="shared" si="10"/>
        <v>100</v>
      </c>
      <c r="T43" s="692" t="s">
        <v>14</v>
      </c>
      <c r="U43" s="693">
        <f t="shared" si="11"/>
        <v>100</v>
      </c>
      <c r="V43" s="692" t="s">
        <v>14</v>
      </c>
      <c r="W43" s="693">
        <f t="shared" si="12"/>
        <v>100</v>
      </c>
      <c r="X43" s="1342"/>
      <c r="Y43" s="3712"/>
      <c r="Z43" s="1343">
        <f t="shared" si="13"/>
        <v>111</v>
      </c>
      <c r="AA43" s="1340">
        <f t="shared" si="3"/>
        <v>1</v>
      </c>
      <c r="AB43" s="1340">
        <f t="shared" si="4"/>
        <v>1</v>
      </c>
      <c r="AC43" s="1340">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7"/>
      <c r="M44" s="2701"/>
      <c r="N44" s="2701"/>
      <c r="O44" s="2758"/>
      <c r="P44" s="3712"/>
      <c r="Q44" s="1339">
        <f t="shared" si="14"/>
        <v>111</v>
      </c>
      <c r="R44" s="692" t="s">
        <v>14</v>
      </c>
      <c r="S44" s="693">
        <f t="shared" si="10"/>
        <v>100</v>
      </c>
      <c r="T44" s="692" t="s">
        <v>14</v>
      </c>
      <c r="U44" s="693">
        <f t="shared" si="11"/>
        <v>100</v>
      </c>
      <c r="V44" s="692" t="s">
        <v>14</v>
      </c>
      <c r="W44" s="693">
        <f t="shared" si="12"/>
        <v>100</v>
      </c>
      <c r="X44" s="1342"/>
      <c r="Y44" s="3712"/>
      <c r="Z44" s="1343">
        <f t="shared" si="13"/>
        <v>111</v>
      </c>
      <c r="AA44" s="1340">
        <f t="shared" si="3"/>
        <v>1</v>
      </c>
      <c r="AB44" s="1340">
        <f t="shared" si="4"/>
        <v>1</v>
      </c>
      <c r="AC44" s="1340">
        <f t="shared" si="5"/>
        <v>1</v>
      </c>
    </row>
    <row r="45" spans="1:29" s="412" customFormat="1" ht="15.75" thickBot="1">
      <c r="A45" s="409"/>
      <c r="B45" s="1121">
        <v>111</v>
      </c>
      <c r="C45" s="1968"/>
      <c r="D45" s="618">
        <v>100</v>
      </c>
      <c r="E45" s="612"/>
      <c r="F45" s="379">
        <f>SUMIF(130:130,E45,131:131)-SUMIF(130:130,C45,131:131)+100</f>
        <v>100</v>
      </c>
      <c r="G45" s="612"/>
      <c r="H45" s="379">
        <f>SUMIF(130:130,G45,131:131)-SUMIF(130:130,C45,131:131)+100</f>
        <v>100</v>
      </c>
      <c r="I45" s="612"/>
      <c r="J45" s="379">
        <f>SUMIF(130:130,I45,131:131)-SUMIF(130:130,C45,131:131)+100</f>
        <v>100</v>
      </c>
      <c r="K45" s="619"/>
      <c r="L45" s="2706"/>
      <c r="M45" s="2708"/>
      <c r="N45" s="2708"/>
      <c r="O45" s="2759"/>
      <c r="P45" s="3712"/>
      <c r="Q45" s="1339">
        <f t="shared" si="14"/>
        <v>111</v>
      </c>
      <c r="R45" s="695" t="s">
        <v>14</v>
      </c>
      <c r="S45" s="696">
        <f t="shared" si="10"/>
        <v>100</v>
      </c>
      <c r="T45" s="695" t="s">
        <v>14</v>
      </c>
      <c r="U45" s="696">
        <f t="shared" si="11"/>
        <v>100</v>
      </c>
      <c r="V45" s="695" t="s">
        <v>14</v>
      </c>
      <c r="W45" s="696">
        <f t="shared" si="12"/>
        <v>100</v>
      </c>
      <c r="X45" s="697"/>
      <c r="Y45" s="3712"/>
      <c r="Z45" s="698">
        <f t="shared" si="13"/>
        <v>111</v>
      </c>
      <c r="AA45" s="1340">
        <f t="shared" si="3"/>
        <v>1</v>
      </c>
      <c r="AB45" s="1340">
        <f t="shared" si="4"/>
        <v>1</v>
      </c>
      <c r="AC45" s="1340">
        <f t="shared" si="5"/>
        <v>1</v>
      </c>
    </row>
    <row r="46" spans="1:29" ht="15">
      <c r="A46" s="420" t="s">
        <v>1843</v>
      </c>
      <c r="B46" s="1969" t="s">
        <v>1878</v>
      </c>
      <c r="C46" s="620" t="s">
        <v>0</v>
      </c>
      <c r="D46" s="422"/>
      <c r="E46" s="423">
        <v>28065</v>
      </c>
      <c r="F46" s="424"/>
      <c r="G46" s="425">
        <v>22811</v>
      </c>
      <c r="H46" s="426"/>
      <c r="I46" s="423">
        <v>23078</v>
      </c>
      <c r="J46" s="426"/>
      <c r="K46" s="701"/>
      <c r="L46" s="2709"/>
      <c r="M46" s="2710"/>
      <c r="N46" s="2701"/>
      <c r="O46" s="2710"/>
      <c r="P46" s="3700" t="str">
        <f>A46</f>
        <v>成交单价</v>
      </c>
      <c r="Q46" s="3700"/>
      <c r="R46" s="3714">
        <f>E46</f>
        <v>28065</v>
      </c>
      <c r="S46" s="3714"/>
      <c r="T46" s="3714">
        <f>G46</f>
        <v>22811</v>
      </c>
      <c r="U46" s="3714"/>
      <c r="V46" s="3714">
        <f>I46</f>
        <v>23078</v>
      </c>
      <c r="W46" s="3714"/>
      <c r="X46" s="677"/>
      <c r="Y46" s="699"/>
      <c r="Z46" s="677"/>
      <c r="AA46" s="677"/>
      <c r="AB46" s="677"/>
      <c r="AC46" s="677"/>
    </row>
    <row r="47" spans="1:29" ht="15.75" thickBot="1">
      <c r="A47" s="427" t="s">
        <v>1792</v>
      </c>
      <c r="B47" s="621"/>
      <c r="C47" s="430">
        <f>R48</f>
        <v>20522</v>
      </c>
      <c r="D47" s="2304" t="s">
        <v>3826</v>
      </c>
      <c r="E47" s="430">
        <f>R47</f>
        <v>22184</v>
      </c>
      <c r="F47" s="2305">
        <v>0.5</v>
      </c>
      <c r="G47" s="429">
        <f>T47</f>
        <v>18434</v>
      </c>
      <c r="H47" s="2305">
        <v>0.25</v>
      </c>
      <c r="I47" s="430">
        <f>V47</f>
        <v>19284</v>
      </c>
      <c r="J47" s="2305">
        <v>0.25</v>
      </c>
      <c r="K47" s="2307">
        <f>F47+H47+J47</f>
        <v>1</v>
      </c>
      <c r="L47" s="2709"/>
      <c r="M47" s="2710"/>
      <c r="N47" s="2710"/>
      <c r="O47" s="2710"/>
      <c r="P47" s="3700" t="str">
        <f>A47</f>
        <v>比较价值（元/平方米）</v>
      </c>
      <c r="Q47" s="3700"/>
      <c r="R47" s="3800">
        <f>ROUND(PRODUCT(R46,AA7:AA45),0)</f>
        <v>22184</v>
      </c>
      <c r="S47" s="3800"/>
      <c r="T47" s="3800">
        <f>ROUND(PRODUCT(T46,AB7:AB45),0)</f>
        <v>18434</v>
      </c>
      <c r="U47" s="3800"/>
      <c r="V47" s="3800">
        <f>ROUND(PRODUCT(V46,AC7:AC45),0)</f>
        <v>19284</v>
      </c>
      <c r="W47" s="3800"/>
      <c r="X47" s="677"/>
      <c r="Y47" s="677"/>
      <c r="Z47" s="677"/>
      <c r="AA47" s="677"/>
      <c r="AB47" s="677"/>
      <c r="AC47" s="677"/>
    </row>
    <row r="48" spans="1:29" ht="15.75" thickBot="1">
      <c r="A48" s="431" t="s">
        <v>1879</v>
      </c>
      <c r="B48" s="432"/>
      <c r="C48" s="433">
        <f>R48</f>
        <v>20522</v>
      </c>
      <c r="D48" s="433"/>
      <c r="E48" s="433"/>
      <c r="F48" s="433"/>
      <c r="G48" s="433"/>
      <c r="H48" s="433"/>
      <c r="I48" s="433"/>
      <c r="J48" s="433"/>
      <c r="K48" s="702"/>
      <c r="L48" s="2709"/>
      <c r="M48" s="2710"/>
      <c r="N48" s="2710"/>
      <c r="O48" s="2710"/>
      <c r="P48" s="3702" t="str">
        <f>A48</f>
        <v>估价对象XX用房的比较价值（楼面单价，元/平方米）</v>
      </c>
      <c r="Q48" s="3703"/>
      <c r="R48" s="3799">
        <f>ROUND(IF(D47="简单平均",AVERAGE(R47:W47),R47*F47+T47*H47+V47*J47),0)</f>
        <v>20522</v>
      </c>
      <c r="S48" s="3799"/>
      <c r="T48" s="3799"/>
      <c r="U48" s="3799"/>
      <c r="V48" s="3799"/>
      <c r="W48" s="3799"/>
      <c r="X48" s="677"/>
      <c r="Y48" s="677"/>
      <c r="Z48" s="677"/>
      <c r="AA48" s="677"/>
      <c r="AB48" s="677"/>
      <c r="AC48" s="677"/>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36" t="s">
        <v>1794</v>
      </c>
      <c r="D51" s="437"/>
      <c r="E51" s="438">
        <f>IF(E46&lt;E47,E47/E46-1,E46/E47-1)</f>
        <v>0.26510097367472052</v>
      </c>
      <c r="F51" s="439" t="str">
        <f>IF(OR(E51&gt;=0.3,E51&lt;=-0.3),"超过30%","")</f>
        <v/>
      </c>
      <c r="G51" s="438">
        <f>IF(G46&lt;G47,G47/G46-1,G46/G47-1)</f>
        <v>0.23744168384506881</v>
      </c>
      <c r="H51" s="439" t="str">
        <f>IF(OR(G51&gt;=0.3,G51&lt;=-0.3),"超过30%","")</f>
        <v/>
      </c>
      <c r="I51" s="438">
        <f>IF(I46&lt;I47,I47/I46-1,I46/I47-1)</f>
        <v>0.19674341422941288</v>
      </c>
      <c r="J51" s="439" t="str">
        <f>IF(OR(I51&gt;=0.3,I51&lt;=-0.3),"超过30%","")</f>
        <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36" t="s">
        <v>1795</v>
      </c>
      <c r="D52" s="440"/>
      <c r="E52" s="438">
        <f>IF(E47&lt;G47,G47/E47-1,E47/G47-1)</f>
        <v>0.20342844743408928</v>
      </c>
      <c r="F52" s="439" t="str">
        <f>IF(OR(E52&gt;=0.2,E52&lt;=-0.2),"超过20%","")</f>
        <v>超过20%</v>
      </c>
      <c r="G52" s="438">
        <f>IF(G47&lt;I47,I47/G47-1,G47/I47-1)</f>
        <v>4.6110448085060263E-2</v>
      </c>
      <c r="H52" s="439" t="str">
        <f>IF(OR(G52&gt;=0.2,G52&lt;=-0.2),"超过20%","")</f>
        <v/>
      </c>
      <c r="I52" s="438">
        <f>IF(I47&lt;E47,E47/I47-1,I47/E47-1)</f>
        <v>0.1503837378137316</v>
      </c>
      <c r="J52" s="439" t="str">
        <f>IF(OR(I52&gt;=0.2,I52&lt;=-0.2),"超过20%","")</f>
        <v/>
      </c>
      <c r="K52" s="2715"/>
      <c r="L52" s="2711"/>
      <c r="M52" s="2710"/>
      <c r="N52" s="2710"/>
      <c r="O52" s="2710"/>
      <c r="P52" s="2710"/>
      <c r="Q52" s="2710"/>
      <c r="R52" s="2710"/>
      <c r="S52" s="2710"/>
      <c r="T52" s="2710"/>
      <c r="U52" s="2710"/>
      <c r="V52" s="2710"/>
      <c r="W52" s="2710"/>
      <c r="X52" s="2710"/>
      <c r="Y52" s="2710"/>
      <c r="Z52" s="2710"/>
      <c r="AA52" s="2710"/>
      <c r="AB52" s="2710"/>
      <c r="AC52" s="2710"/>
    </row>
    <row r="53" spans="1:29" s="441" customFormat="1" ht="13.5" customHeight="1">
      <c r="A53" s="2713"/>
      <c r="B53" s="2713"/>
      <c r="C53" s="436" t="s">
        <v>1796</v>
      </c>
      <c r="D53" s="440"/>
      <c r="E53" s="438">
        <f>IF(E46&lt;G46,G46/E46-1,E46/G46-1)</f>
        <v>0.23032747358730443</v>
      </c>
      <c r="F53" s="439" t="str">
        <f>IF(OR(E53&gt;=0.3,E53&lt;=-0.3),"超过30%","")</f>
        <v/>
      </c>
      <c r="G53" s="438">
        <f>IF(G46&lt;I46,I46/G46-1,G46/I46-1)</f>
        <v>1.1704879224935238E-2</v>
      </c>
      <c r="H53" s="439" t="str">
        <f>IF(OR(G53&gt;=0.3,G53&lt;=-0.3),"超过30%","")</f>
        <v/>
      </c>
      <c r="I53" s="438">
        <f>IF(I46&lt;E46,E46/I46-1,I46/E46-1)</f>
        <v>0.21609324898171423</v>
      </c>
      <c r="J53" s="439" t="str">
        <f>IF(OR(I53&gt;=0.3,I53&lt;=-0.3),"超过30%","")</f>
        <v/>
      </c>
      <c r="K53" s="2718"/>
      <c r="L53" s="2712"/>
      <c r="M53" s="2713"/>
      <c r="N53" s="2713"/>
      <c r="O53" s="2713"/>
      <c r="P53" s="2713"/>
      <c r="Q53" s="2713"/>
      <c r="R53" s="2713"/>
      <c r="S53" s="2713"/>
      <c r="T53" s="2713"/>
      <c r="U53" s="2713"/>
      <c r="V53" s="2713"/>
      <c r="W53" s="2713"/>
      <c r="X53" s="2713"/>
      <c r="Y53" s="2713"/>
      <c r="Z53" s="2713"/>
      <c r="AA53" s="2713"/>
      <c r="AB53" s="2713"/>
      <c r="AC53" s="2713"/>
    </row>
    <row r="54" spans="1:29" s="441" customFormat="1" ht="15" thickBot="1">
      <c r="A54" s="2713"/>
      <c r="B54" s="2716"/>
      <c r="C54" s="680"/>
      <c r="D54" s="678"/>
      <c r="E54" s="678"/>
      <c r="F54" s="678"/>
      <c r="G54" s="678"/>
      <c r="H54" s="678"/>
      <c r="I54" s="678"/>
      <c r="J54" s="678"/>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22" t="s">
        <v>1880</v>
      </c>
      <c r="B55" s="623" t="s">
        <v>1881</v>
      </c>
      <c r="C55" s="1970" t="s">
        <v>1882</v>
      </c>
      <c r="D55" s="1971" t="s">
        <v>1883</v>
      </c>
      <c r="E55" s="624" t="s">
        <v>1884</v>
      </c>
      <c r="F55" s="877" t="s">
        <v>1885</v>
      </c>
      <c r="G55" s="3719" t="s">
        <v>1886</v>
      </c>
      <c r="H55" s="3794"/>
      <c r="I55" s="125" t="s">
        <v>1887</v>
      </c>
      <c r="J55" s="1972">
        <f>项目基本情况!F35</f>
        <v>0</v>
      </c>
      <c r="K55" s="1973" t="s">
        <v>1888</v>
      </c>
      <c r="L55" s="2711"/>
      <c r="M55" s="2710"/>
      <c r="N55" s="2710"/>
      <c r="O55" s="2710"/>
      <c r="P55" s="2710"/>
      <c r="Q55" s="2710"/>
      <c r="R55" s="2710"/>
      <c r="S55" s="2710"/>
      <c r="T55" s="2710"/>
      <c r="U55" s="2710"/>
      <c r="V55" s="2710"/>
      <c r="W55" s="2710"/>
      <c r="X55" s="2710"/>
      <c r="Y55" s="2710"/>
      <c r="Z55" s="2710"/>
      <c r="AA55" s="2710"/>
      <c r="AB55" s="2710"/>
      <c r="AC55" s="2710"/>
    </row>
    <row r="56" spans="1:29" s="630" customFormat="1">
      <c r="A56" s="626" t="s">
        <v>1889</v>
      </c>
      <c r="B56" s="627">
        <f>C48</f>
        <v>20522</v>
      </c>
      <c r="C56" s="628">
        <v>1</v>
      </c>
      <c r="D56" s="931">
        <v>1</v>
      </c>
      <c r="E56" s="628">
        <f>'数据-汇总表'!E8+'数据-汇总表'!E9</f>
        <v>56128.46</v>
      </c>
      <c r="F56" s="873">
        <f t="shared" ref="F56:F64" si="15">ROUND(B56*E56/10000,0)</f>
        <v>115187</v>
      </c>
      <c r="G56" s="3715"/>
      <c r="H56" s="3700"/>
      <c r="I56" s="878">
        <v>1</v>
      </c>
      <c r="J56" s="881">
        <v>1</v>
      </c>
      <c r="K56" s="2713"/>
      <c r="L56" s="2766"/>
      <c r="M56" s="2766"/>
      <c r="N56" s="2766"/>
      <c r="O56" s="2766"/>
      <c r="P56" s="2766"/>
      <c r="Q56" s="2766"/>
      <c r="R56" s="2766"/>
      <c r="S56" s="2766"/>
      <c r="T56" s="2766"/>
      <c r="U56" s="2766"/>
      <c r="V56" s="2766"/>
      <c r="W56" s="2766"/>
      <c r="X56" s="2766"/>
      <c r="Y56" s="2766"/>
      <c r="Z56" s="2766"/>
      <c r="AA56" s="2766"/>
      <c r="AB56" s="2766"/>
      <c r="AC56" s="2766"/>
    </row>
    <row r="57" spans="1:29" s="630" customFormat="1">
      <c r="A57" s="631" t="s">
        <v>1890</v>
      </c>
      <c r="B57" s="208">
        <f>ROUND($C$48*C57*D57,0)</f>
        <v>3078</v>
      </c>
      <c r="C57" s="161">
        <f t="shared" ref="C57:C64" si="16">IF($C$55="北京市系数",I57,J57)</f>
        <v>0.6</v>
      </c>
      <c r="D57" s="932">
        <v>0.25</v>
      </c>
      <c r="E57" s="632">
        <f>'数据-基础表'!K13/2</f>
        <v>21091.855</v>
      </c>
      <c r="F57" s="873">
        <f t="shared" si="15"/>
        <v>6492</v>
      </c>
      <c r="G57" s="2983" t="s">
        <v>1891</v>
      </c>
      <c r="H57" s="874" t="str">
        <f>项目基本情况!B37</f>
        <v>四级</v>
      </c>
      <c r="I57" s="878">
        <f>SUMIF(修正!A57:A68,H57,修正!B57:B68)</f>
        <v>0.6</v>
      </c>
      <c r="J57" s="882"/>
      <c r="K57" s="2710"/>
      <c r="L57" s="2766"/>
      <c r="M57" s="2766"/>
      <c r="N57" s="2766"/>
      <c r="O57" s="2766"/>
      <c r="P57" s="2766"/>
      <c r="Q57" s="2766"/>
      <c r="R57" s="2766"/>
      <c r="S57" s="2766"/>
      <c r="T57" s="2766"/>
      <c r="U57" s="2766"/>
      <c r="V57" s="2766"/>
      <c r="W57" s="2766"/>
      <c r="X57" s="2766"/>
      <c r="Y57" s="2766"/>
      <c r="Z57" s="2766"/>
      <c r="AA57" s="2766"/>
      <c r="AB57" s="2766"/>
      <c r="AC57" s="2766"/>
    </row>
    <row r="58" spans="1:29" s="630" customFormat="1">
      <c r="A58" s="631" t="s">
        <v>1892</v>
      </c>
      <c r="B58" s="208">
        <f t="shared" ref="B58:B64" si="17">ROUND($C$48*C58*D58,0)</f>
        <v>1539</v>
      </c>
      <c r="C58" s="161">
        <f t="shared" si="16"/>
        <v>0.3</v>
      </c>
      <c r="D58" s="932">
        <v>0.25</v>
      </c>
      <c r="E58" s="632">
        <f>E57</f>
        <v>21091.855</v>
      </c>
      <c r="F58" s="873">
        <f t="shared" si="15"/>
        <v>3246</v>
      </c>
      <c r="G58" s="2984"/>
      <c r="H58" s="874" t="str">
        <f>项目基本情况!B37</f>
        <v>四级</v>
      </c>
      <c r="I58" s="878">
        <f>SUMIF(修正!A57:A68,H58,修正!C57:C68)</f>
        <v>0.3</v>
      </c>
      <c r="J58" s="882"/>
      <c r="K58" s="2713"/>
      <c r="L58" s="2766"/>
      <c r="M58" s="2766"/>
      <c r="N58" s="2766"/>
      <c r="O58" s="2766"/>
      <c r="P58" s="2766"/>
      <c r="Q58" s="2766"/>
      <c r="R58" s="2766"/>
      <c r="S58" s="2766"/>
      <c r="T58" s="2766"/>
      <c r="U58" s="2766"/>
      <c r="V58" s="2766"/>
      <c r="W58" s="2766"/>
      <c r="X58" s="2766"/>
      <c r="Y58" s="2766"/>
      <c r="Z58" s="2766"/>
      <c r="AA58" s="2766"/>
      <c r="AB58" s="2766"/>
      <c r="AC58" s="2766"/>
    </row>
    <row r="59" spans="1:29" s="630" customFormat="1">
      <c r="A59" s="631" t="s">
        <v>1893</v>
      </c>
      <c r="B59" s="208">
        <f t="shared" si="17"/>
        <v>1283</v>
      </c>
      <c r="C59" s="161">
        <f t="shared" si="16"/>
        <v>0.25</v>
      </c>
      <c r="D59" s="932">
        <v>0.25</v>
      </c>
      <c r="E59" s="632"/>
      <c r="F59" s="873">
        <f t="shared" si="15"/>
        <v>0</v>
      </c>
      <c r="G59" s="2984"/>
      <c r="H59" s="874" t="str">
        <f>项目基本情况!B37</f>
        <v>四级</v>
      </c>
      <c r="I59" s="878">
        <f>SUMIF(修正!A57:A68,H59,修正!D57:D68)</f>
        <v>0.25</v>
      </c>
      <c r="J59" s="882"/>
      <c r="K59" s="2710"/>
      <c r="L59" s="2766"/>
      <c r="M59" s="2766"/>
      <c r="N59" s="2766"/>
      <c r="O59" s="2766"/>
      <c r="P59" s="2766"/>
      <c r="Q59" s="2766"/>
      <c r="R59" s="2766"/>
      <c r="S59" s="2766"/>
      <c r="T59" s="2766"/>
      <c r="U59" s="2766"/>
      <c r="V59" s="2766"/>
      <c r="W59" s="2766"/>
      <c r="X59" s="2766"/>
      <c r="Y59" s="2766"/>
      <c r="Z59" s="2766"/>
      <c r="AA59" s="2766"/>
      <c r="AB59" s="2766"/>
      <c r="AC59" s="2766"/>
    </row>
    <row r="60" spans="1:29" s="630" customFormat="1">
      <c r="A60" s="631" t="s">
        <v>1894</v>
      </c>
      <c r="B60" s="208">
        <f t="shared" si="17"/>
        <v>1283</v>
      </c>
      <c r="C60" s="161">
        <f t="shared" si="16"/>
        <v>0.25</v>
      </c>
      <c r="D60" s="932">
        <v>0.25</v>
      </c>
      <c r="E60" s="207">
        <f>'数据-汇总表'!E11</f>
        <v>0</v>
      </c>
      <c r="F60" s="873">
        <f t="shared" si="15"/>
        <v>0</v>
      </c>
      <c r="G60" s="1974" t="s">
        <v>1895</v>
      </c>
      <c r="H60" s="874" t="str">
        <f>项目基本情况!C37</f>
        <v>四级</v>
      </c>
      <c r="I60" s="878">
        <f>SUMIF(修正!A57:A68,H60,修正!E57:E68)</f>
        <v>0.25</v>
      </c>
      <c r="J60" s="882"/>
      <c r="K60" s="2710"/>
      <c r="L60" s="2766"/>
      <c r="M60" s="2766"/>
      <c r="N60" s="2766"/>
      <c r="O60" s="2766"/>
      <c r="P60" s="2766"/>
      <c r="Q60" s="2766"/>
      <c r="R60" s="2766"/>
      <c r="S60" s="2766"/>
      <c r="T60" s="2766"/>
      <c r="U60" s="2766"/>
      <c r="V60" s="2766"/>
      <c r="W60" s="2766"/>
      <c r="X60" s="2766"/>
      <c r="Y60" s="2766"/>
      <c r="Z60" s="2766"/>
      <c r="AA60" s="2766"/>
      <c r="AB60" s="2766"/>
      <c r="AC60" s="2766"/>
    </row>
    <row r="61" spans="1:29" s="630" customFormat="1">
      <c r="A61" s="631" t="s">
        <v>1896</v>
      </c>
      <c r="B61" s="208">
        <f t="shared" si="17"/>
        <v>1283</v>
      </c>
      <c r="C61" s="161">
        <f t="shared" si="16"/>
        <v>0.25</v>
      </c>
      <c r="D61" s="932">
        <v>0.25</v>
      </c>
      <c r="E61" s="207">
        <f>'数据-汇总表'!E12</f>
        <v>0</v>
      </c>
      <c r="F61" s="873">
        <f t="shared" si="15"/>
        <v>0</v>
      </c>
      <c r="G61" s="879" t="s">
        <v>1897</v>
      </c>
      <c r="H61" s="874" t="str">
        <f>IF(G61="商业",项目基本情况!B37,IF(G61="办公",项目基本情况!C37,IF(G61="住宅",项目基本情况!D37,项目基本情况!E37)))</f>
        <v>四级</v>
      </c>
      <c r="I61" s="878">
        <f>SUMIF(修正!A57:A68,H61,修正!F57:F68)</f>
        <v>0.25</v>
      </c>
      <c r="J61" s="882"/>
      <c r="K61" s="2713"/>
      <c r="L61" s="2766"/>
      <c r="M61" s="2766"/>
      <c r="N61" s="2766"/>
      <c r="O61" s="2766"/>
      <c r="P61" s="2766"/>
      <c r="Q61" s="2766"/>
      <c r="R61" s="2766"/>
      <c r="S61" s="2766"/>
      <c r="T61" s="2766"/>
      <c r="U61" s="2766"/>
      <c r="V61" s="2766"/>
      <c r="W61" s="2766"/>
      <c r="X61" s="2766"/>
      <c r="Y61" s="2766"/>
      <c r="Z61" s="2766"/>
      <c r="AA61" s="2766"/>
      <c r="AB61" s="2766"/>
      <c r="AC61" s="2766"/>
    </row>
    <row r="62" spans="1:29" s="630" customFormat="1">
      <c r="A62" s="631" t="s">
        <v>1898</v>
      </c>
      <c r="B62" s="208">
        <f t="shared" si="17"/>
        <v>770</v>
      </c>
      <c r="C62" s="161">
        <f t="shared" si="16"/>
        <v>0.15</v>
      </c>
      <c r="D62" s="932">
        <v>0.25</v>
      </c>
      <c r="E62" s="207">
        <f>'数据-汇总表'!E13</f>
        <v>0</v>
      </c>
      <c r="F62" s="873">
        <f t="shared" si="15"/>
        <v>0</v>
      </c>
      <c r="G62" s="879" t="s">
        <v>1899</v>
      </c>
      <c r="H62" s="874" t="str">
        <f>IF(G62="商业",项目基本情况!B37,IF(G62="办公",项目基本情况!C37,IF(G62="住宅",项目基本情况!D37,项目基本情况!E37)))</f>
        <v>四级</v>
      </c>
      <c r="I62" s="878">
        <f>SUMIF(修正!A57:A68,H62,修正!G57:G68)</f>
        <v>0.15</v>
      </c>
      <c r="J62" s="882"/>
      <c r="K62" s="2710"/>
      <c r="L62" s="2766"/>
      <c r="M62" s="2766"/>
      <c r="N62" s="2766"/>
      <c r="O62" s="2766"/>
      <c r="P62" s="2766"/>
      <c r="Q62" s="2766"/>
      <c r="R62" s="2766"/>
      <c r="S62" s="2766"/>
      <c r="T62" s="2766"/>
      <c r="U62" s="2766"/>
      <c r="V62" s="2766"/>
      <c r="W62" s="2766"/>
      <c r="X62" s="2766"/>
      <c r="Y62" s="2766"/>
      <c r="Z62" s="2766"/>
      <c r="AA62" s="2766"/>
      <c r="AB62" s="2766"/>
      <c r="AC62" s="2766"/>
    </row>
    <row r="63" spans="1:29" s="630" customFormat="1">
      <c r="A63" s="631" t="s">
        <v>1900</v>
      </c>
      <c r="B63" s="208">
        <f t="shared" si="17"/>
        <v>770</v>
      </c>
      <c r="C63" s="161">
        <f t="shared" si="16"/>
        <v>0.15</v>
      </c>
      <c r="D63" s="932">
        <v>0.25</v>
      </c>
      <c r="E63" s="207">
        <f>'数据-汇总表'!E14</f>
        <v>0</v>
      </c>
      <c r="F63" s="873">
        <f t="shared" si="15"/>
        <v>0</v>
      </c>
      <c r="G63" s="1974" t="s">
        <v>1891</v>
      </c>
      <c r="H63" s="874" t="str">
        <f>项目基本情况!B37</f>
        <v>四级</v>
      </c>
      <c r="I63" s="878">
        <f>SUMIF(修正!A57:A68,H63,修正!G57:G68)</f>
        <v>0.15</v>
      </c>
      <c r="J63" s="882"/>
      <c r="K63" s="2713"/>
      <c r="L63" s="2766"/>
      <c r="M63" s="2766"/>
      <c r="N63" s="2766"/>
      <c r="O63" s="2766"/>
      <c r="P63" s="2766"/>
      <c r="Q63" s="2766"/>
      <c r="R63" s="2766"/>
      <c r="S63" s="2766"/>
      <c r="T63" s="2766"/>
      <c r="U63" s="2766"/>
      <c r="V63" s="2766"/>
      <c r="W63" s="2766"/>
      <c r="X63" s="2766"/>
      <c r="Y63" s="2766"/>
      <c r="Z63" s="2766"/>
      <c r="AA63" s="2766"/>
      <c r="AB63" s="2766"/>
      <c r="AC63" s="2766"/>
    </row>
    <row r="64" spans="1:29" s="630" customFormat="1" ht="15" thickBot="1">
      <c r="A64" s="631" t="s">
        <v>1901</v>
      </c>
      <c r="B64" s="208">
        <f t="shared" si="17"/>
        <v>770</v>
      </c>
      <c r="C64" s="161">
        <f t="shared" si="16"/>
        <v>0.15</v>
      </c>
      <c r="D64" s="932">
        <v>0.25</v>
      </c>
      <c r="E64" s="207">
        <f>'数据-汇总表'!E15</f>
        <v>0</v>
      </c>
      <c r="F64" s="873">
        <f t="shared" si="15"/>
        <v>0</v>
      </c>
      <c r="G64" s="1975" t="s">
        <v>1895</v>
      </c>
      <c r="H64" s="884" t="str">
        <f>项目基本情况!C37</f>
        <v>四级</v>
      </c>
      <c r="I64" s="880">
        <f>SUMIF(修正!A57:A68,H64,修正!G57:G68)</f>
        <v>0.15</v>
      </c>
      <c r="J64" s="883"/>
      <c r="K64" s="2710"/>
      <c r="L64" s="2766"/>
      <c r="M64" s="2766"/>
      <c r="N64" s="2766"/>
      <c r="O64" s="2766"/>
      <c r="P64" s="2766"/>
      <c r="Q64" s="2766"/>
      <c r="R64" s="2766"/>
      <c r="S64" s="2766"/>
      <c r="T64" s="2766"/>
      <c r="U64" s="2766"/>
      <c r="V64" s="2766"/>
      <c r="W64" s="2766"/>
      <c r="X64" s="2766"/>
      <c r="Y64" s="2766"/>
      <c r="Z64" s="2766"/>
      <c r="AA64" s="2766"/>
      <c r="AB64" s="2766"/>
      <c r="AC64" s="2766"/>
    </row>
    <row r="65" spans="1:29" s="630" customFormat="1" ht="13.5" thickBot="1">
      <c r="A65" s="633" t="s">
        <v>1902</v>
      </c>
      <c r="B65" s="634" t="s">
        <v>22</v>
      </c>
      <c r="C65" s="634" t="s">
        <v>23</v>
      </c>
      <c r="D65" s="634" t="s">
        <v>392</v>
      </c>
      <c r="E65" s="634">
        <f>IF(B46="楼面地价",SUM(E56:E64),'数据-汇总表'!D3)</f>
        <v>98312.17</v>
      </c>
      <c r="F65" s="635">
        <f>IF(B46="楼面地价",SUM(F56:F64),ROUND(C48*E65/10000,0))</f>
        <v>124925</v>
      </c>
      <c r="G65" s="704"/>
      <c r="H65" s="704"/>
      <c r="I65" s="704"/>
      <c r="J65" s="704"/>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77"/>
      <c r="B66" s="679"/>
      <c r="C66" s="680"/>
      <c r="D66" s="677"/>
      <c r="E66" s="677"/>
      <c r="F66" s="677"/>
      <c r="G66" s="677"/>
      <c r="H66" s="677"/>
      <c r="I66" s="677"/>
      <c r="J66" s="914"/>
      <c r="K66" s="875"/>
      <c r="L66" s="876"/>
      <c r="M66" s="914"/>
      <c r="N66" s="914"/>
      <c r="O66" s="914"/>
      <c r="P66" s="2710"/>
      <c r="Q66" s="2710"/>
      <c r="R66" s="2710"/>
      <c r="S66" s="2710"/>
      <c r="T66" s="2710"/>
      <c r="U66" s="2710"/>
      <c r="V66" s="2710"/>
      <c r="W66" s="2710"/>
      <c r="X66" s="2710"/>
      <c r="Y66" s="2710"/>
      <c r="Z66" s="2710"/>
      <c r="AA66" s="2710"/>
      <c r="AB66" s="2710"/>
      <c r="AC66" s="2710"/>
    </row>
    <row r="67" spans="1:29">
      <c r="A67" s="677"/>
      <c r="B67" s="679"/>
      <c r="C67" s="679" t="str">
        <f>YEAR(C7)&amp;"-"&amp;MONTH(C7)&amp;"-1"</f>
        <v>2024-3-1</v>
      </c>
      <c r="D67" s="679">
        <f>EDATE(C67,-3)</f>
        <v>45261</v>
      </c>
      <c r="E67" s="679">
        <f>EDATE(D67,-3)</f>
        <v>45170</v>
      </c>
      <c r="F67" s="679">
        <f t="shared" ref="F67:O67" si="18">EDATE(E67,-3)</f>
        <v>45078</v>
      </c>
      <c r="G67" s="679">
        <f t="shared" si="18"/>
        <v>44986</v>
      </c>
      <c r="H67" s="679">
        <f t="shared" si="18"/>
        <v>44896</v>
      </c>
      <c r="I67" s="679">
        <f t="shared" si="18"/>
        <v>44805</v>
      </c>
      <c r="J67" s="679">
        <f t="shared" si="18"/>
        <v>44713</v>
      </c>
      <c r="K67" s="679">
        <f t="shared" si="18"/>
        <v>44621</v>
      </c>
      <c r="L67" s="679">
        <f t="shared" si="18"/>
        <v>44531</v>
      </c>
      <c r="M67" s="679">
        <f t="shared" si="18"/>
        <v>44440</v>
      </c>
      <c r="N67" s="679">
        <f t="shared" si="18"/>
        <v>44348</v>
      </c>
      <c r="O67" s="679">
        <f t="shared" si="18"/>
        <v>44256</v>
      </c>
      <c r="P67" s="2710"/>
      <c r="Q67" s="2710"/>
      <c r="R67" s="2710"/>
      <c r="S67" s="2710"/>
      <c r="T67" s="2710"/>
      <c r="U67" s="2710"/>
      <c r="V67" s="2710"/>
      <c r="W67" s="2710"/>
      <c r="X67" s="2710"/>
      <c r="Y67" s="2710"/>
      <c r="Z67" s="2710"/>
      <c r="AA67" s="2710"/>
      <c r="AB67" s="2710"/>
      <c r="AC67" s="2710"/>
    </row>
    <row r="68" spans="1:29" ht="21.75" thickBot="1">
      <c r="A68" s="681" t="s">
        <v>1797</v>
      </c>
      <c r="B68" s="677"/>
      <c r="C68" s="682"/>
      <c r="D68" s="682"/>
      <c r="E68" s="682"/>
      <c r="F68" s="683"/>
      <c r="G68" s="683"/>
      <c r="H68" s="682"/>
      <c r="I68" s="682"/>
      <c r="J68" s="927"/>
      <c r="K68" s="928"/>
      <c r="L68" s="929"/>
      <c r="M68" s="927"/>
      <c r="N68" s="2753"/>
      <c r="O68" s="2753"/>
      <c r="P68" s="2753"/>
      <c r="Q68" s="2724"/>
      <c r="R68" s="2710"/>
      <c r="S68" s="2710"/>
      <c r="T68" s="2710"/>
      <c r="U68" s="2710"/>
      <c r="V68" s="2710"/>
      <c r="W68" s="2710"/>
      <c r="X68" s="2710"/>
      <c r="Y68" s="2710"/>
      <c r="Z68" s="2710"/>
      <c r="AA68" s="2710"/>
      <c r="AB68" s="2710"/>
      <c r="AC68" s="2710"/>
    </row>
    <row r="69" spans="1:29" s="447" customFormat="1" ht="15">
      <c r="A69" s="1976" t="s">
        <v>1903</v>
      </c>
      <c r="B69" s="1096"/>
      <c r="C69" s="1169" t="str">
        <f>YEAR(C67)&amp;"-"&amp;ROUNDUP(MONTH(C67)/3,0)</f>
        <v>2024-1</v>
      </c>
      <c r="D69" s="1169" t="str">
        <f>YEAR(D67)&amp;"-"&amp;ROUNDUP(MONTH(D67)/3,0)</f>
        <v>2023-4</v>
      </c>
      <c r="E69" s="1169" t="str">
        <f t="shared" ref="E69:O69" si="19">YEAR(E67)&amp;"-"&amp;ROUNDUP(MONTH(E67)/3,0)</f>
        <v>2023-3</v>
      </c>
      <c r="F69" s="1169" t="str">
        <f t="shared" si="19"/>
        <v>2023-2</v>
      </c>
      <c r="G69" s="1169" t="str">
        <f t="shared" si="19"/>
        <v>2023-1</v>
      </c>
      <c r="H69" s="1169" t="str">
        <f t="shared" si="19"/>
        <v>2022-4</v>
      </c>
      <c r="I69" s="1169" t="str">
        <f t="shared" si="19"/>
        <v>2022-3</v>
      </c>
      <c r="J69" s="1169" t="str">
        <f t="shared" si="19"/>
        <v>2022-2</v>
      </c>
      <c r="K69" s="1169" t="str">
        <f t="shared" si="19"/>
        <v>2022-1</v>
      </c>
      <c r="L69" s="1169" t="str">
        <f t="shared" si="19"/>
        <v>2021-4</v>
      </c>
      <c r="M69" s="1169" t="str">
        <f t="shared" si="19"/>
        <v>2021-3</v>
      </c>
      <c r="N69" s="1169" t="str">
        <f t="shared" si="19"/>
        <v>2021-2</v>
      </c>
      <c r="O69" s="1169" t="str">
        <f t="shared" si="19"/>
        <v>2021-1</v>
      </c>
      <c r="P69" s="2760"/>
      <c r="Q69" s="2725"/>
      <c r="R69" s="2725"/>
      <c r="S69" s="2725"/>
      <c r="T69" s="2725"/>
      <c r="U69" s="2725"/>
      <c r="V69" s="2725"/>
      <c r="W69" s="2725"/>
      <c r="X69" s="2725"/>
      <c r="Y69" s="2725"/>
      <c r="Z69" s="2725"/>
      <c r="AA69" s="2725"/>
      <c r="AB69" s="2725"/>
      <c r="AC69" s="2725"/>
    </row>
    <row r="70" spans="1:29" s="105" customFormat="1" ht="30" customHeight="1">
      <c r="A70" s="1977" t="s">
        <v>1904</v>
      </c>
      <c r="B70" s="278" t="str">
        <f>"北京市平均增长率"&amp;TEXT(SUMIF(基准地价修正!N25:N29,A70,基准地价修正!P25:P29),"0.00%")</f>
        <v>北京市平均增长率0.00%</v>
      </c>
      <c r="C70" s="542">
        <v>100</v>
      </c>
      <c r="D70" s="534">
        <f>C70-$C$71</f>
        <v>99.8</v>
      </c>
      <c r="E70" s="534">
        <f t="shared" ref="E70:N70" si="20">D70-$C$71</f>
        <v>99.6</v>
      </c>
      <c r="F70" s="534">
        <f t="shared" si="20"/>
        <v>99.399999999999991</v>
      </c>
      <c r="G70" s="534">
        <f t="shared" si="20"/>
        <v>99.199999999999989</v>
      </c>
      <c r="H70" s="534">
        <f t="shared" si="20"/>
        <v>98.999999999999986</v>
      </c>
      <c r="I70" s="534">
        <f t="shared" si="20"/>
        <v>98.799999999999983</v>
      </c>
      <c r="J70" s="534">
        <f t="shared" si="20"/>
        <v>98.59999999999998</v>
      </c>
      <c r="K70" s="534">
        <f t="shared" si="20"/>
        <v>98.399999999999977</v>
      </c>
      <c r="L70" s="534">
        <f t="shared" si="20"/>
        <v>98.199999999999974</v>
      </c>
      <c r="M70" s="534">
        <f t="shared" si="20"/>
        <v>97.999999999999972</v>
      </c>
      <c r="N70" s="534">
        <f t="shared" si="20"/>
        <v>97.799999999999969</v>
      </c>
      <c r="O70" s="1166"/>
      <c r="P70" s="2724"/>
      <c r="Q70" s="2647"/>
      <c r="R70" s="2647"/>
      <c r="S70" s="2647"/>
      <c r="T70" s="2647"/>
      <c r="U70" s="2647"/>
      <c r="V70" s="2647"/>
      <c r="W70" s="2647"/>
      <c r="X70" s="2647"/>
      <c r="Y70" s="2647"/>
      <c r="Z70" s="2647"/>
      <c r="AA70" s="2647"/>
      <c r="AB70" s="2647"/>
      <c r="AC70" s="2647"/>
    </row>
    <row r="71" spans="1:29" s="105" customFormat="1" ht="15.75" thickBot="1">
      <c r="A71" s="454" t="s">
        <v>1715</v>
      </c>
      <c r="B71" s="455"/>
      <c r="C71" s="456">
        <v>0.2</v>
      </c>
      <c r="D71" s="457"/>
      <c r="E71" s="457"/>
      <c r="F71" s="457"/>
      <c r="G71" s="457"/>
      <c r="H71" s="457"/>
      <c r="I71" s="457"/>
      <c r="J71" s="457"/>
      <c r="K71" s="457"/>
      <c r="L71" s="457"/>
      <c r="M71" s="458"/>
      <c r="N71" s="457"/>
      <c r="O71" s="930"/>
      <c r="P71" s="2724"/>
      <c r="Q71" s="2724"/>
      <c r="R71" s="2647"/>
      <c r="S71" s="2647"/>
      <c r="T71" s="2647"/>
      <c r="U71" s="2647"/>
      <c r="V71" s="2647"/>
      <c r="W71" s="2647"/>
      <c r="X71" s="2647"/>
      <c r="Y71" s="2647"/>
      <c r="Z71" s="2647"/>
      <c r="AA71" s="2647"/>
      <c r="AB71" s="2647"/>
      <c r="AC71" s="2647"/>
    </row>
    <row r="72" spans="1:29" s="105" customFormat="1" ht="15">
      <c r="A72" s="460" t="s">
        <v>1680</v>
      </c>
      <c r="B72" s="449"/>
      <c r="C72" s="461" t="s">
        <v>1775</v>
      </c>
      <c r="D72" s="462"/>
      <c r="E72" s="462"/>
      <c r="F72" s="462"/>
      <c r="G72" s="462"/>
      <c r="H72" s="462"/>
      <c r="I72" s="462"/>
      <c r="J72" s="462"/>
      <c r="K72" s="462"/>
      <c r="L72" s="463"/>
      <c r="M72" s="464"/>
      <c r="N72" s="2736"/>
      <c r="O72" s="2736"/>
      <c r="P72" s="2761"/>
      <c r="Q72" s="2724"/>
      <c r="R72" s="2647"/>
      <c r="S72" s="2647"/>
      <c r="T72" s="2647"/>
      <c r="U72" s="2647"/>
      <c r="V72" s="2647"/>
      <c r="W72" s="2647"/>
      <c r="X72" s="2647"/>
      <c r="Y72" s="2647"/>
      <c r="Z72" s="2647"/>
      <c r="AA72" s="2647"/>
      <c r="AB72" s="2647"/>
      <c r="AC72" s="2647"/>
    </row>
    <row r="73" spans="1:29" s="105" customFormat="1" ht="15.75" thickBot="1">
      <c r="A73" s="460"/>
      <c r="B73" s="449"/>
      <c r="C73" s="577">
        <v>100</v>
      </c>
      <c r="D73" s="451"/>
      <c r="E73" s="451"/>
      <c r="F73" s="451"/>
      <c r="G73" s="451"/>
      <c r="H73" s="451"/>
      <c r="I73" s="451"/>
      <c r="J73" s="451"/>
      <c r="K73" s="451"/>
      <c r="L73" s="451"/>
      <c r="M73" s="453"/>
      <c r="N73" s="2736"/>
      <c r="O73" s="2736"/>
      <c r="P73" s="2724"/>
      <c r="Q73" s="2724"/>
      <c r="R73" s="2647"/>
      <c r="S73" s="2647"/>
      <c r="T73" s="2647"/>
      <c r="U73" s="2647"/>
      <c r="V73" s="2647"/>
      <c r="W73" s="2647"/>
      <c r="X73" s="2647"/>
      <c r="Y73" s="2647"/>
      <c r="Z73" s="2647"/>
      <c r="AA73" s="2647"/>
      <c r="AB73" s="2647"/>
      <c r="AC73" s="2647"/>
    </row>
    <row r="74" spans="1:29">
      <c r="A74" s="466" t="s">
        <v>1718</v>
      </c>
      <c r="B74" s="467" t="s">
        <v>1684</v>
      </c>
      <c r="C74" s="3502" t="s">
        <v>3797</v>
      </c>
      <c r="D74" s="469"/>
      <c r="E74" s="469"/>
      <c r="F74" s="469"/>
      <c r="G74" s="469"/>
      <c r="H74" s="469"/>
      <c r="I74" s="469"/>
      <c r="J74" s="469"/>
      <c r="K74" s="470"/>
      <c r="L74" s="471"/>
      <c r="M74" s="472"/>
      <c r="N74" s="2737"/>
      <c r="O74" s="2737"/>
      <c r="P74" s="2762"/>
      <c r="Q74" s="2724"/>
      <c r="R74" s="2710"/>
      <c r="S74" s="2710"/>
      <c r="T74" s="2710"/>
      <c r="U74" s="2710"/>
      <c r="V74" s="2710"/>
      <c r="W74" s="2710"/>
      <c r="X74" s="2710"/>
      <c r="Y74" s="2710"/>
      <c r="Z74" s="2710"/>
      <c r="AA74" s="2710"/>
      <c r="AB74" s="2710"/>
      <c r="AC74" s="2710"/>
    </row>
    <row r="75" spans="1:29" ht="15.75" thickBot="1">
      <c r="A75" s="473"/>
      <c r="B75" s="474"/>
      <c r="C75" s="3503">
        <v>100</v>
      </c>
      <c r="D75" s="475"/>
      <c r="E75" s="475"/>
      <c r="F75" s="475"/>
      <c r="G75" s="475"/>
      <c r="H75" s="475"/>
      <c r="I75" s="475"/>
      <c r="J75" s="475"/>
      <c r="K75" s="475"/>
      <c r="L75" s="475"/>
      <c r="M75" s="476"/>
      <c r="N75" s="2738"/>
      <c r="O75" s="2738"/>
      <c r="P75" s="2762"/>
      <c r="Q75" s="2724"/>
      <c r="R75" s="2710"/>
      <c r="S75" s="2710"/>
      <c r="T75" s="2710"/>
      <c r="U75" s="2710"/>
      <c r="V75" s="2710"/>
      <c r="W75" s="2710"/>
      <c r="X75" s="2710"/>
      <c r="Y75" s="2710"/>
      <c r="Z75" s="2710"/>
      <c r="AA75" s="2710"/>
      <c r="AB75" s="2710"/>
      <c r="AC75" s="2710"/>
    </row>
    <row r="76" spans="1:29" ht="27.75" thickTop="1">
      <c r="A76" s="473"/>
      <c r="B76" s="477" t="s">
        <v>1687</v>
      </c>
      <c r="C76" s="478"/>
      <c r="D76" s="478"/>
      <c r="E76" s="478"/>
      <c r="F76" s="478"/>
      <c r="G76" s="478"/>
      <c r="H76" s="478"/>
      <c r="I76" s="478"/>
      <c r="J76" s="478"/>
      <c r="K76" s="479"/>
      <c r="L76" s="480"/>
      <c r="M76" s="481"/>
      <c r="N76" s="2737"/>
      <c r="O76" s="2737"/>
      <c r="P76" s="2762"/>
      <c r="Q76" s="2724"/>
      <c r="R76" s="2710"/>
      <c r="S76" s="2710"/>
      <c r="T76" s="2710"/>
      <c r="U76" s="2710"/>
      <c r="V76" s="2710"/>
      <c r="W76" s="2710"/>
      <c r="X76" s="2710"/>
      <c r="Y76" s="2710"/>
      <c r="Z76" s="2710"/>
      <c r="AA76" s="2710"/>
      <c r="AB76" s="2710"/>
      <c r="AC76" s="2710"/>
    </row>
    <row r="77" spans="1:29" ht="15.75" thickBot="1">
      <c r="A77" s="473"/>
      <c r="B77" s="482"/>
      <c r="C77" s="483"/>
      <c r="D77" s="483"/>
      <c r="E77" s="483"/>
      <c r="F77" s="483"/>
      <c r="G77" s="483"/>
      <c r="H77" s="483"/>
      <c r="I77" s="483"/>
      <c r="J77" s="483"/>
      <c r="K77" s="483"/>
      <c r="L77" s="483"/>
      <c r="M77" s="484"/>
      <c r="N77" s="2738"/>
      <c r="O77" s="2738"/>
      <c r="P77" s="2762"/>
      <c r="Q77" s="2724"/>
      <c r="R77" s="2710"/>
      <c r="S77" s="2710"/>
      <c r="T77" s="2710"/>
      <c r="U77" s="2710"/>
      <c r="V77" s="2710"/>
      <c r="W77" s="2710"/>
      <c r="X77" s="2710"/>
      <c r="Y77" s="2710"/>
      <c r="Z77" s="2710"/>
      <c r="AA77" s="2710"/>
      <c r="AB77" s="2710"/>
      <c r="AC77" s="2710"/>
    </row>
    <row r="78" spans="1:29" ht="15.75" thickTop="1">
      <c r="A78" s="473"/>
      <c r="B78" s="485" t="s">
        <v>1688</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5（含）-6</v>
      </c>
      <c r="I78" s="486" t="str">
        <f t="shared" si="21"/>
        <v>6（含）-</v>
      </c>
      <c r="J78" s="486" t="str">
        <f t="shared" si="21"/>
        <v>（含）-</v>
      </c>
      <c r="K78" s="486" t="str">
        <f t="shared" si="21"/>
        <v>（含）-</v>
      </c>
      <c r="L78" s="486" t="str">
        <f t="shared" si="21"/>
        <v>（含）-</v>
      </c>
      <c r="M78" s="389" t="str">
        <f>M79&amp;"（含）"&amp;"-"&amp;P79</f>
        <v>（含）-</v>
      </c>
      <c r="N78" s="2738"/>
      <c r="O78" s="2738"/>
      <c r="P78" s="2762"/>
      <c r="Q78" s="2724"/>
      <c r="R78" s="2710"/>
      <c r="S78" s="2710"/>
      <c r="T78" s="2710"/>
      <c r="U78" s="2710"/>
      <c r="V78" s="2710"/>
      <c r="W78" s="2710"/>
      <c r="X78" s="2710"/>
      <c r="Y78" s="2710"/>
      <c r="Z78" s="2710"/>
      <c r="AA78" s="2710"/>
      <c r="AB78" s="2710"/>
      <c r="AC78" s="2710"/>
    </row>
    <row r="79" spans="1:29" ht="15">
      <c r="A79" s="473"/>
      <c r="B79" s="487"/>
      <c r="C79" s="3504">
        <v>0</v>
      </c>
      <c r="D79" s="3504">
        <v>1</v>
      </c>
      <c r="E79" s="3504">
        <v>2</v>
      </c>
      <c r="F79" s="3504">
        <v>3</v>
      </c>
      <c r="G79" s="3504">
        <v>4</v>
      </c>
      <c r="H79" s="3504">
        <v>5</v>
      </c>
      <c r="I79" s="3504">
        <v>6</v>
      </c>
      <c r="J79" s="488"/>
      <c r="K79" s="489"/>
      <c r="L79" s="490"/>
      <c r="M79" s="491"/>
      <c r="N79" s="2737"/>
      <c r="O79" s="2737"/>
      <c r="P79" s="2762"/>
      <c r="Q79" s="2724"/>
      <c r="R79" s="2710"/>
      <c r="S79" s="2710"/>
      <c r="T79" s="2710"/>
      <c r="U79" s="2710"/>
      <c r="V79" s="2710"/>
      <c r="W79" s="2710"/>
      <c r="X79" s="2710"/>
      <c r="Y79" s="2710"/>
      <c r="Z79" s="2710"/>
      <c r="AA79" s="2710"/>
      <c r="AB79" s="2710"/>
      <c r="AC79" s="2710"/>
    </row>
    <row r="80" spans="1:29" ht="15.75" thickBot="1">
      <c r="A80" s="473"/>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738"/>
      <c r="O80" s="2738"/>
      <c r="P80" s="2762"/>
      <c r="Q80" s="2724"/>
      <c r="R80" s="2710"/>
      <c r="S80" s="2710"/>
      <c r="T80" s="2710"/>
      <c r="U80" s="2710"/>
      <c r="V80" s="2710"/>
      <c r="W80" s="2710"/>
      <c r="X80" s="2710"/>
      <c r="Y80" s="2710"/>
      <c r="Z80" s="2710"/>
      <c r="AA80" s="2710"/>
      <c r="AB80" s="2710"/>
      <c r="AC80" s="2710"/>
    </row>
    <row r="81" spans="1:29" s="412" customFormat="1" ht="15.75" thickTop="1">
      <c r="A81" s="492"/>
      <c r="B81" s="477" t="str">
        <f>B12</f>
        <v>配建</v>
      </c>
      <c r="C81" s="493"/>
      <c r="D81" s="493"/>
      <c r="E81" s="493"/>
      <c r="F81" s="493"/>
      <c r="G81" s="493"/>
      <c r="H81" s="494"/>
      <c r="I81" s="494"/>
      <c r="J81" s="494"/>
      <c r="K81" s="494"/>
      <c r="L81" s="495"/>
      <c r="M81" s="496"/>
      <c r="N81" s="2739"/>
      <c r="O81" s="2739"/>
      <c r="P81" s="2763"/>
      <c r="Q81" s="2730"/>
      <c r="R81" s="2731"/>
      <c r="S81" s="2731"/>
      <c r="T81" s="2731"/>
      <c r="U81" s="2731"/>
      <c r="V81" s="2731"/>
      <c r="W81" s="2731"/>
      <c r="X81" s="2731"/>
      <c r="Y81" s="2731"/>
      <c r="Z81" s="2731"/>
      <c r="AA81" s="2731"/>
      <c r="AB81" s="2731"/>
      <c r="AC81" s="2731"/>
    </row>
    <row r="82" spans="1:29" s="412" customFormat="1" ht="15.75" thickBot="1">
      <c r="A82" s="492"/>
      <c r="B82" s="482"/>
      <c r="C82" s="499"/>
      <c r="D82" s="475"/>
      <c r="E82" s="475"/>
      <c r="F82" s="475"/>
      <c r="G82" s="475"/>
      <c r="H82" s="475"/>
      <c r="I82" s="475"/>
      <c r="J82" s="475"/>
      <c r="K82" s="475"/>
      <c r="L82" s="475"/>
      <c r="M82" s="476"/>
      <c r="N82" s="2738"/>
      <c r="O82" s="2738"/>
      <c r="P82" s="2763"/>
      <c r="Q82" s="2730"/>
      <c r="R82" s="2731"/>
      <c r="S82" s="2731"/>
      <c r="T82" s="2731"/>
      <c r="U82" s="2731"/>
      <c r="V82" s="2731"/>
      <c r="W82" s="2731"/>
      <c r="X82" s="2731"/>
      <c r="Y82" s="2731"/>
      <c r="Z82" s="2731"/>
      <c r="AA82" s="2731"/>
      <c r="AB82" s="2731"/>
      <c r="AC82" s="2731"/>
    </row>
    <row r="83" spans="1:29" s="412" customFormat="1" ht="15.75" thickTop="1">
      <c r="A83" s="492"/>
      <c r="B83" s="477">
        <f>B13</f>
        <v>111</v>
      </c>
      <c r="C83" s="493"/>
      <c r="D83" s="493"/>
      <c r="E83" s="493"/>
      <c r="F83" s="493"/>
      <c r="G83" s="493"/>
      <c r="H83" s="494"/>
      <c r="I83" s="494"/>
      <c r="J83" s="494"/>
      <c r="K83" s="494"/>
      <c r="L83" s="495"/>
      <c r="M83" s="496"/>
      <c r="N83" s="2739"/>
      <c r="O83" s="2739"/>
      <c r="P83" s="2708"/>
      <c r="Q83" s="2733"/>
      <c r="R83" s="2731"/>
      <c r="S83" s="2731"/>
      <c r="T83" s="2731"/>
      <c r="U83" s="2731"/>
      <c r="V83" s="2731"/>
      <c r="W83" s="2731"/>
      <c r="X83" s="2731"/>
      <c r="Y83" s="2731"/>
      <c r="Z83" s="2731"/>
      <c r="AA83" s="2731"/>
      <c r="AB83" s="2731"/>
      <c r="AC83" s="2731"/>
    </row>
    <row r="84" spans="1:29" s="412" customFormat="1" ht="15.75" thickBot="1">
      <c r="A84" s="492"/>
      <c r="B84" s="482"/>
      <c r="C84" s="499"/>
      <c r="D84" s="499"/>
      <c r="E84" s="499"/>
      <c r="F84" s="499"/>
      <c r="G84" s="499"/>
      <c r="H84" s="501"/>
      <c r="I84" s="501"/>
      <c r="J84" s="501"/>
      <c r="K84" s="501"/>
      <c r="L84" s="501"/>
      <c r="M84" s="502"/>
      <c r="N84" s="2739"/>
      <c r="O84" s="2739"/>
      <c r="P84" s="2763"/>
      <c r="Q84" s="2730"/>
      <c r="R84" s="2731"/>
      <c r="S84" s="2731"/>
      <c r="T84" s="2731"/>
      <c r="U84" s="2731"/>
      <c r="V84" s="2731"/>
      <c r="W84" s="2731"/>
      <c r="X84" s="2731"/>
      <c r="Y84" s="2731"/>
      <c r="Z84" s="2731"/>
      <c r="AA84" s="2731"/>
      <c r="AB84" s="2731"/>
      <c r="AC84" s="2731"/>
    </row>
    <row r="85" spans="1:29" s="412" customFormat="1" ht="15.75" thickTop="1">
      <c r="A85" s="492"/>
      <c r="B85" s="485">
        <f>B14</f>
        <v>111</v>
      </c>
      <c r="C85" s="462"/>
      <c r="D85" s="462"/>
      <c r="E85" s="462"/>
      <c r="F85" s="462"/>
      <c r="G85" s="462"/>
      <c r="H85" s="503"/>
      <c r="I85" s="503"/>
      <c r="J85" s="503"/>
      <c r="K85" s="503"/>
      <c r="L85" s="504"/>
      <c r="M85" s="505"/>
      <c r="N85" s="2739"/>
      <c r="O85" s="2739"/>
      <c r="P85" s="2768"/>
      <c r="Q85" s="2730"/>
      <c r="R85" s="2731"/>
      <c r="S85" s="2731"/>
      <c r="T85" s="2731"/>
      <c r="U85" s="2731"/>
      <c r="V85" s="2731"/>
      <c r="W85" s="2731"/>
      <c r="X85" s="2731"/>
      <c r="Y85" s="2731"/>
      <c r="Z85" s="2731"/>
      <c r="AA85" s="2731"/>
      <c r="AB85" s="2731"/>
      <c r="AC85" s="2731"/>
    </row>
    <row r="86" spans="1:29" s="412" customFormat="1" ht="15.75" thickBot="1">
      <c r="A86" s="507"/>
      <c r="B86" s="508"/>
      <c r="C86" s="509"/>
      <c r="D86" s="509"/>
      <c r="E86" s="509"/>
      <c r="F86" s="509"/>
      <c r="G86" s="509"/>
      <c r="H86" s="510"/>
      <c r="I86" s="510"/>
      <c r="J86" s="510"/>
      <c r="K86" s="510"/>
      <c r="L86" s="510"/>
      <c r="M86" s="511"/>
      <c r="N86" s="2739"/>
      <c r="O86" s="2739"/>
      <c r="P86" s="2763"/>
      <c r="Q86" s="2730"/>
      <c r="R86" s="2731"/>
      <c r="S86" s="2731"/>
      <c r="T86" s="2731"/>
      <c r="U86" s="2731"/>
      <c r="V86" s="2731"/>
      <c r="W86" s="2731"/>
      <c r="X86" s="2731"/>
      <c r="Y86" s="2731"/>
      <c r="Z86" s="2731"/>
      <c r="AA86" s="2731"/>
      <c r="AB86" s="2731"/>
      <c r="AC86" s="2731"/>
    </row>
    <row r="87" spans="1:29">
      <c r="A87" s="466" t="s">
        <v>1689</v>
      </c>
      <c r="B87" s="467" t="s">
        <v>1719</v>
      </c>
      <c r="C87" s="512" t="s">
        <v>1720</v>
      </c>
      <c r="D87" s="512" t="s">
        <v>1721</v>
      </c>
      <c r="E87" s="512" t="s">
        <v>1722</v>
      </c>
      <c r="F87" s="512" t="s">
        <v>1723</v>
      </c>
      <c r="G87" s="512" t="s">
        <v>1724</v>
      </c>
      <c r="H87" s="468"/>
      <c r="I87" s="468"/>
      <c r="J87" s="468"/>
      <c r="K87" s="513"/>
      <c r="L87" s="514"/>
      <c r="M87" s="515"/>
      <c r="N87" s="2737"/>
      <c r="O87" s="2737"/>
      <c r="P87" s="2764"/>
      <c r="Q87" s="2724"/>
      <c r="R87" s="2710"/>
      <c r="S87" s="2710"/>
      <c r="T87" s="2710"/>
      <c r="U87" s="2710"/>
      <c r="V87" s="2710"/>
      <c r="W87" s="2710"/>
      <c r="X87" s="2710"/>
      <c r="Y87" s="2710"/>
      <c r="Z87" s="2710"/>
      <c r="AA87" s="2710"/>
      <c r="AB87" s="2710"/>
      <c r="AC87" s="2710"/>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8"/>
      <c r="O88" s="2738"/>
      <c r="P88" s="2762"/>
      <c r="Q88" s="2724"/>
      <c r="R88" s="2710"/>
      <c r="S88" s="2710"/>
      <c r="T88" s="2710"/>
      <c r="U88" s="2710"/>
      <c r="V88" s="2710"/>
      <c r="W88" s="2710"/>
      <c r="X88" s="2710"/>
      <c r="Y88" s="2710"/>
      <c r="Z88" s="2710"/>
      <c r="AA88" s="2710"/>
      <c r="AB88" s="2710"/>
      <c r="AC88" s="2710"/>
    </row>
    <row r="89" spans="1:29" ht="15.75" thickTop="1">
      <c r="A89" s="473"/>
      <c r="B89" s="477" t="s">
        <v>1905</v>
      </c>
      <c r="C89" s="517" t="s">
        <v>1720</v>
      </c>
      <c r="D89" s="517" t="s">
        <v>1721</v>
      </c>
      <c r="E89" s="517" t="s">
        <v>1722</v>
      </c>
      <c r="F89" s="517" t="s">
        <v>1723</v>
      </c>
      <c r="G89" s="517" t="s">
        <v>1724</v>
      </c>
      <c r="H89" s="478"/>
      <c r="I89" s="478"/>
      <c r="J89" s="478"/>
      <c r="K89" s="479"/>
      <c r="L89" s="480"/>
      <c r="M89" s="481"/>
      <c r="N89" s="2737"/>
      <c r="O89" s="2737"/>
      <c r="P89" s="2762"/>
      <c r="Q89" s="2724"/>
      <c r="R89" s="2710"/>
      <c r="S89" s="2710"/>
      <c r="T89" s="2710"/>
      <c r="U89" s="2710"/>
      <c r="V89" s="2710"/>
      <c r="W89" s="2710"/>
      <c r="X89" s="2710"/>
      <c r="Y89" s="2710"/>
      <c r="Z89" s="2710"/>
      <c r="AA89" s="2710"/>
      <c r="AB89" s="2710"/>
      <c r="AC89" s="2710"/>
    </row>
    <row r="90" spans="1:29" ht="15.75" thickBot="1">
      <c r="A90" s="473"/>
      <c r="B90" s="482"/>
      <c r="C90" s="483">
        <v>100</v>
      </c>
      <c r="D90" s="483">
        <f>C90-$K17</f>
        <v>97</v>
      </c>
      <c r="E90" s="483">
        <f>D90-$K17</f>
        <v>94</v>
      </c>
      <c r="F90" s="483">
        <f>E90-$K17</f>
        <v>91</v>
      </c>
      <c r="G90" s="483">
        <f>F90-$K17</f>
        <v>88</v>
      </c>
      <c r="H90" s="483"/>
      <c r="I90" s="483"/>
      <c r="J90" s="483"/>
      <c r="K90" s="483"/>
      <c r="L90" s="483"/>
      <c r="M90" s="484"/>
      <c r="N90" s="2738"/>
      <c r="O90" s="2738"/>
      <c r="P90" s="2762"/>
      <c r="Q90" s="2724"/>
      <c r="R90" s="2710"/>
      <c r="S90" s="2710"/>
      <c r="T90" s="2710"/>
      <c r="U90" s="2710"/>
      <c r="V90" s="2710"/>
      <c r="W90" s="2710"/>
      <c r="X90" s="2710"/>
      <c r="Y90" s="2710"/>
      <c r="Z90" s="2710"/>
      <c r="AA90" s="2710"/>
      <c r="AB90" s="2710"/>
      <c r="AC90" s="2710"/>
    </row>
    <row r="91" spans="1:29" ht="15.75" thickTop="1">
      <c r="A91" s="473"/>
      <c r="B91" s="477" t="s">
        <v>1820</v>
      </c>
      <c r="C91" s="517" t="s">
        <v>1720</v>
      </c>
      <c r="D91" s="517" t="s">
        <v>1721</v>
      </c>
      <c r="E91" s="517" t="s">
        <v>1722</v>
      </c>
      <c r="F91" s="517" t="s">
        <v>1723</v>
      </c>
      <c r="G91" s="517" t="s">
        <v>1724</v>
      </c>
      <c r="H91" s="478"/>
      <c r="I91" s="478"/>
      <c r="J91" s="478"/>
      <c r="K91" s="479"/>
      <c r="L91" s="480"/>
      <c r="M91" s="481"/>
      <c r="N91" s="2737"/>
      <c r="O91" s="2737"/>
      <c r="P91" s="2762"/>
      <c r="Q91" s="2724"/>
      <c r="R91" s="2710"/>
      <c r="S91" s="2710"/>
      <c r="T91" s="2710"/>
      <c r="U91" s="2710"/>
      <c r="V91" s="2710"/>
      <c r="W91" s="2710"/>
      <c r="X91" s="2710"/>
      <c r="Y91" s="2710"/>
      <c r="Z91" s="2710"/>
      <c r="AA91" s="2710"/>
      <c r="AB91" s="2710"/>
      <c r="AC91" s="2710"/>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8"/>
      <c r="O92" s="2738"/>
      <c r="P92" s="2762"/>
      <c r="Q92" s="2724"/>
      <c r="R92" s="2710"/>
      <c r="S92" s="2710"/>
      <c r="T92" s="2710"/>
      <c r="U92" s="2710"/>
      <c r="V92" s="2710"/>
      <c r="W92" s="2710"/>
      <c r="X92" s="2710"/>
      <c r="Y92" s="2710"/>
      <c r="Z92" s="2710"/>
      <c r="AA92" s="2710"/>
      <c r="AB92" s="2710"/>
      <c r="AC92" s="2710"/>
    </row>
    <row r="93" spans="1:29" ht="15.75" thickTop="1">
      <c r="A93" s="473"/>
      <c r="B93" s="477" t="s">
        <v>1725</v>
      </c>
      <c r="C93" s="517" t="s">
        <v>1720</v>
      </c>
      <c r="D93" s="517" t="s">
        <v>1721</v>
      </c>
      <c r="E93" s="517" t="s">
        <v>1722</v>
      </c>
      <c r="F93" s="517" t="s">
        <v>1723</v>
      </c>
      <c r="G93" s="517" t="s">
        <v>1724</v>
      </c>
      <c r="H93" s="478"/>
      <c r="I93" s="478"/>
      <c r="J93" s="478"/>
      <c r="K93" s="479"/>
      <c r="L93" s="480"/>
      <c r="M93" s="481"/>
      <c r="N93" s="2737"/>
      <c r="O93" s="2737"/>
      <c r="P93" s="2762"/>
      <c r="Q93" s="2724"/>
      <c r="R93" s="2710"/>
      <c r="S93" s="2710"/>
      <c r="T93" s="2710"/>
      <c r="U93" s="2710"/>
      <c r="V93" s="2710"/>
      <c r="W93" s="2710"/>
      <c r="X93" s="2710"/>
      <c r="Y93" s="2710"/>
      <c r="Z93" s="2710"/>
      <c r="AA93" s="2710"/>
      <c r="AB93" s="2710"/>
      <c r="AC93" s="2710"/>
    </row>
    <row r="94" spans="1:29" ht="15.75" thickBot="1">
      <c r="A94" s="473"/>
      <c r="B94" s="482"/>
      <c r="C94" s="483">
        <v>100</v>
      </c>
      <c r="D94" s="483">
        <f>C94-$K21</f>
        <v>97</v>
      </c>
      <c r="E94" s="483">
        <f>D94-$K21</f>
        <v>94</v>
      </c>
      <c r="F94" s="483">
        <f>E94-$K21</f>
        <v>91</v>
      </c>
      <c r="G94" s="483">
        <f>F94-$K21</f>
        <v>88</v>
      </c>
      <c r="H94" s="483"/>
      <c r="I94" s="483"/>
      <c r="J94" s="483"/>
      <c r="K94" s="483"/>
      <c r="L94" s="483"/>
      <c r="M94" s="484"/>
      <c r="N94" s="2738"/>
      <c r="O94" s="2738"/>
      <c r="P94" s="2762"/>
      <c r="Q94" s="2724"/>
      <c r="R94" s="2710"/>
      <c r="S94" s="2710"/>
      <c r="T94" s="2710"/>
      <c r="U94" s="2710"/>
      <c r="V94" s="2710"/>
      <c r="W94" s="2710"/>
      <c r="X94" s="2710"/>
      <c r="Y94" s="2710"/>
      <c r="Z94" s="2710"/>
      <c r="AA94" s="2710"/>
      <c r="AB94" s="2710"/>
      <c r="AC94" s="2710"/>
    </row>
    <row r="95" spans="1:29" s="105" customFormat="1" ht="15.75" thickTop="1">
      <c r="A95" s="518"/>
      <c r="B95" s="477" t="s">
        <v>1906</v>
      </c>
      <c r="C95" s="517" t="s">
        <v>1720</v>
      </c>
      <c r="D95" s="517" t="s">
        <v>1721</v>
      </c>
      <c r="E95" s="517" t="s">
        <v>1722</v>
      </c>
      <c r="F95" s="517" t="s">
        <v>1723</v>
      </c>
      <c r="G95" s="517" t="s">
        <v>1724</v>
      </c>
      <c r="H95" s="517"/>
      <c r="I95" s="517"/>
      <c r="J95" s="517"/>
      <c r="K95" s="517"/>
      <c r="L95" s="636"/>
      <c r="M95" s="560"/>
      <c r="N95" s="2736"/>
      <c r="O95" s="2736"/>
      <c r="P95" s="2762"/>
      <c r="Q95" s="2724"/>
      <c r="R95" s="2647"/>
      <c r="S95" s="2647"/>
      <c r="T95" s="2647"/>
      <c r="U95" s="2647"/>
      <c r="V95" s="2647"/>
      <c r="W95" s="2647"/>
      <c r="X95" s="2647"/>
      <c r="Y95" s="2647"/>
      <c r="Z95" s="2647"/>
      <c r="AA95" s="2647"/>
      <c r="AB95" s="2647"/>
      <c r="AC95" s="2647"/>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8"/>
      <c r="O96" s="2738"/>
      <c r="P96" s="2762"/>
      <c r="Q96" s="2724"/>
      <c r="R96" s="2647"/>
      <c r="S96" s="2647"/>
      <c r="T96" s="2647"/>
      <c r="U96" s="2647"/>
      <c r="V96" s="2647"/>
      <c r="W96" s="2647"/>
      <c r="X96" s="2647"/>
      <c r="Y96" s="2647"/>
      <c r="Z96" s="2647"/>
      <c r="AA96" s="2647"/>
      <c r="AB96" s="2647"/>
      <c r="AC96" s="2647"/>
    </row>
    <row r="97" spans="1:29" s="105" customFormat="1" ht="27.75" thickTop="1">
      <c r="A97" s="518"/>
      <c r="B97" s="477" t="s">
        <v>1907</v>
      </c>
      <c r="C97" s="512" t="s">
        <v>1720</v>
      </c>
      <c r="D97" s="512" t="s">
        <v>1721</v>
      </c>
      <c r="E97" s="512" t="s">
        <v>1722</v>
      </c>
      <c r="F97" s="512" t="s">
        <v>1723</v>
      </c>
      <c r="G97" s="512" t="s">
        <v>1724</v>
      </c>
      <c r="H97" s="517"/>
      <c r="I97" s="517"/>
      <c r="J97" s="517"/>
      <c r="K97" s="517"/>
      <c r="L97" s="517"/>
      <c r="M97" s="560"/>
      <c r="N97" s="2736"/>
      <c r="O97" s="2736"/>
      <c r="P97" s="2762"/>
      <c r="Q97" s="2724"/>
      <c r="R97" s="2647"/>
      <c r="S97" s="2647"/>
      <c r="T97" s="2647"/>
      <c r="U97" s="2647"/>
      <c r="V97" s="2647"/>
      <c r="W97" s="2647"/>
      <c r="X97" s="2647"/>
      <c r="Y97" s="2647"/>
      <c r="Z97" s="2647"/>
      <c r="AA97" s="2647"/>
      <c r="AB97" s="2647"/>
      <c r="AC97" s="2647"/>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8"/>
      <c r="O98" s="2738"/>
      <c r="P98" s="2762"/>
      <c r="Q98" s="2724"/>
      <c r="R98" s="2647"/>
      <c r="S98" s="2647"/>
      <c r="T98" s="2647"/>
      <c r="U98" s="2647"/>
      <c r="V98" s="2647"/>
      <c r="W98" s="2647"/>
      <c r="X98" s="2647"/>
      <c r="Y98" s="2647"/>
      <c r="Z98" s="2647"/>
      <c r="AA98" s="2647"/>
      <c r="AB98" s="2647"/>
      <c r="AC98" s="2647"/>
    </row>
    <row r="99" spans="1:29" s="412" customFormat="1" ht="15.75" thickTop="1">
      <c r="A99" s="492"/>
      <c r="B99" s="477" t="s">
        <v>1777</v>
      </c>
      <c r="C99" s="512" t="s">
        <v>1720</v>
      </c>
      <c r="D99" s="512" t="s">
        <v>1721</v>
      </c>
      <c r="E99" s="512" t="s">
        <v>1722</v>
      </c>
      <c r="F99" s="512" t="s">
        <v>1723</v>
      </c>
      <c r="G99" s="512" t="s">
        <v>1724</v>
      </c>
      <c r="H99" s="539"/>
      <c r="I99" s="539"/>
      <c r="J99" s="539"/>
      <c r="K99" s="539"/>
      <c r="L99" s="540"/>
      <c r="M99" s="541"/>
      <c r="N99" s="2739"/>
      <c r="O99" s="2739"/>
      <c r="P99" s="2763"/>
      <c r="Q99" s="2730"/>
      <c r="R99" s="2731"/>
      <c r="S99" s="2731"/>
      <c r="T99" s="2731"/>
      <c r="U99" s="2731"/>
      <c r="V99" s="2731"/>
      <c r="W99" s="2731"/>
      <c r="X99" s="2731"/>
      <c r="Y99" s="2731"/>
      <c r="Z99" s="2731"/>
      <c r="AA99" s="2731"/>
      <c r="AB99" s="2731"/>
      <c r="AC99" s="2731"/>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9"/>
      <c r="O100" s="2739"/>
      <c r="P100" s="2763"/>
      <c r="Q100" s="2730"/>
      <c r="R100" s="2731"/>
      <c r="S100" s="2731"/>
      <c r="T100" s="2731"/>
      <c r="U100" s="2731"/>
      <c r="V100" s="2731"/>
      <c r="W100" s="2731"/>
      <c r="X100" s="2731"/>
      <c r="Y100" s="2731"/>
      <c r="Z100" s="2731"/>
      <c r="AA100" s="2731"/>
      <c r="AB100" s="2731"/>
      <c r="AC100" s="2731"/>
    </row>
    <row r="101" spans="1:29" s="412" customFormat="1" ht="15.75" thickTop="1">
      <c r="A101" s="492"/>
      <c r="B101" s="485" t="s">
        <v>1778</v>
      </c>
      <c r="C101" s="598" t="s">
        <v>1798</v>
      </c>
      <c r="D101" s="598" t="s">
        <v>1799</v>
      </c>
      <c r="E101" s="598" t="s">
        <v>1800</v>
      </c>
      <c r="F101" s="598" t="s">
        <v>1801</v>
      </c>
      <c r="G101" s="598" t="s">
        <v>1802</v>
      </c>
      <c r="H101" s="539"/>
      <c r="I101" s="539"/>
      <c r="J101" s="539"/>
      <c r="K101" s="539"/>
      <c r="L101" s="539"/>
      <c r="M101" s="1119"/>
      <c r="N101" s="2739"/>
      <c r="O101" s="2739"/>
      <c r="P101" s="2763"/>
      <c r="Q101" s="2730"/>
      <c r="R101" s="2731"/>
      <c r="S101" s="2731"/>
      <c r="T101" s="2731"/>
      <c r="U101" s="2731"/>
      <c r="V101" s="2731"/>
      <c r="W101" s="2731"/>
      <c r="X101" s="2731"/>
      <c r="Y101" s="2731"/>
      <c r="Z101" s="2731"/>
      <c r="AA101" s="2731"/>
      <c r="AB101" s="2731"/>
      <c r="AC101" s="2731"/>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9"/>
      <c r="O102" s="2739"/>
      <c r="P102" s="2763"/>
      <c r="Q102" s="2730"/>
      <c r="R102" s="2731"/>
      <c r="S102" s="2731"/>
      <c r="T102" s="2731"/>
      <c r="U102" s="2731"/>
      <c r="V102" s="2731"/>
      <c r="W102" s="2731"/>
      <c r="X102" s="2731"/>
      <c r="Y102" s="2731"/>
      <c r="Z102" s="2731"/>
      <c r="AA102" s="2731"/>
      <c r="AB102" s="2731"/>
      <c r="AC102" s="2731"/>
    </row>
    <row r="103" spans="1:29" ht="15.75" thickTop="1">
      <c r="A103" s="473"/>
      <c r="B103" s="477" t="str">
        <f>B31</f>
        <v>临街状况</v>
      </c>
      <c r="C103" s="478" t="s">
        <v>1908</v>
      </c>
      <c r="D103" s="478" t="s">
        <v>1909</v>
      </c>
      <c r="E103" s="478" t="s">
        <v>1910</v>
      </c>
      <c r="F103" s="478" t="s">
        <v>1911</v>
      </c>
      <c r="G103" s="478"/>
      <c r="H103" s="478"/>
      <c r="I103" s="478"/>
      <c r="J103" s="478"/>
      <c r="K103" s="479"/>
      <c r="L103" s="480"/>
      <c r="M103" s="481"/>
      <c r="N103" s="2737"/>
      <c r="O103" s="2737"/>
      <c r="P103" s="2762"/>
      <c r="Q103" s="2724"/>
      <c r="R103" s="2710"/>
      <c r="S103" s="2710"/>
      <c r="T103" s="2710"/>
      <c r="U103" s="2710"/>
      <c r="V103" s="2710"/>
      <c r="W103" s="2710"/>
      <c r="X103" s="2710"/>
      <c r="Y103" s="2710"/>
      <c r="Z103" s="2710"/>
      <c r="AA103" s="2710"/>
      <c r="AB103" s="2710"/>
      <c r="AC103" s="2710"/>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8"/>
      <c r="O104" s="2738"/>
      <c r="P104" s="2762"/>
      <c r="Q104" s="2724"/>
      <c r="R104" s="2710"/>
      <c r="S104" s="2710"/>
      <c r="T104" s="2710"/>
      <c r="U104" s="2710"/>
      <c r="V104" s="2710"/>
      <c r="W104" s="2710"/>
      <c r="X104" s="2710"/>
      <c r="Y104" s="2710"/>
      <c r="Z104" s="2710"/>
      <c r="AA104" s="2710"/>
      <c r="AB104" s="2710"/>
      <c r="AC104" s="2710"/>
    </row>
    <row r="105" spans="1:29" ht="27.75" thickTop="1">
      <c r="A105" s="473"/>
      <c r="B105" s="477" t="s">
        <v>1814</v>
      </c>
      <c r="C105" s="3505" t="s">
        <v>3798</v>
      </c>
      <c r="D105" s="3505" t="s">
        <v>3799</v>
      </c>
      <c r="E105" s="3505" t="s">
        <v>3800</v>
      </c>
      <c r="F105" s="3505" t="s">
        <v>3801</v>
      </c>
      <c r="G105" s="3505" t="s">
        <v>3802</v>
      </c>
      <c r="H105" s="522"/>
      <c r="I105" s="522"/>
      <c r="J105" s="522"/>
      <c r="K105" s="523"/>
      <c r="L105" s="524"/>
      <c r="M105" s="525"/>
      <c r="N105" s="2737"/>
      <c r="O105" s="2737"/>
      <c r="P105" s="2762"/>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4">C106-$K32</f>
        <v>99</v>
      </c>
      <c r="E106" s="483">
        <f t="shared" si="24"/>
        <v>98</v>
      </c>
      <c r="F106" s="483">
        <f t="shared" si="24"/>
        <v>97</v>
      </c>
      <c r="G106" s="483">
        <f t="shared" si="24"/>
        <v>96</v>
      </c>
      <c r="H106" s="483">
        <f t="shared" si="24"/>
        <v>95</v>
      </c>
      <c r="I106" s="483">
        <f t="shared" si="24"/>
        <v>94</v>
      </c>
      <c r="J106" s="483">
        <f t="shared" si="24"/>
        <v>93</v>
      </c>
      <c r="K106" s="483">
        <f t="shared" si="24"/>
        <v>92</v>
      </c>
      <c r="L106" s="483">
        <f t="shared" si="24"/>
        <v>91</v>
      </c>
      <c r="M106" s="483">
        <f t="shared" si="24"/>
        <v>90</v>
      </c>
      <c r="N106" s="2738"/>
      <c r="O106" s="2738"/>
      <c r="P106" s="2762"/>
      <c r="Q106" s="2724"/>
      <c r="R106" s="2710"/>
      <c r="S106" s="2710"/>
      <c r="T106" s="2710"/>
      <c r="U106" s="2710"/>
      <c r="V106" s="2710"/>
      <c r="W106" s="2710"/>
      <c r="X106" s="2710"/>
      <c r="Y106" s="2710"/>
      <c r="Z106" s="2710"/>
      <c r="AA106" s="2710"/>
      <c r="AB106" s="2710"/>
      <c r="AC106" s="2710"/>
    </row>
    <row r="107" spans="1:29" ht="15.75" thickTop="1">
      <c r="A107" s="473"/>
      <c r="B107" s="477" t="s">
        <v>1872</v>
      </c>
      <c r="C107" s="522"/>
      <c r="D107" s="522"/>
      <c r="E107" s="522"/>
      <c r="F107" s="522"/>
      <c r="G107" s="522"/>
      <c r="H107" s="522"/>
      <c r="I107" s="522"/>
      <c r="J107" s="522"/>
      <c r="K107" s="523"/>
      <c r="L107" s="524"/>
      <c r="M107" s="525"/>
      <c r="N107" s="2737"/>
      <c r="O107" s="2737"/>
      <c r="P107" s="2762"/>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8"/>
      <c r="O108" s="2738"/>
      <c r="P108" s="2762"/>
      <c r="Q108" s="2724"/>
      <c r="R108" s="2710"/>
      <c r="S108" s="2710"/>
      <c r="T108" s="2710"/>
      <c r="U108" s="2710"/>
      <c r="V108" s="2710"/>
      <c r="W108" s="2710"/>
      <c r="X108" s="2710"/>
      <c r="Y108" s="2710"/>
      <c r="Z108" s="2710"/>
      <c r="AA108" s="2710"/>
      <c r="AB108" s="2710"/>
      <c r="AC108" s="2710"/>
    </row>
    <row r="109" spans="1:29" ht="15.75" thickTop="1">
      <c r="A109" s="473"/>
      <c r="B109" s="485">
        <f>B35</f>
        <v>111</v>
      </c>
      <c r="C109" s="493"/>
      <c r="D109" s="493"/>
      <c r="E109" s="493"/>
      <c r="F109" s="493"/>
      <c r="G109" s="526"/>
      <c r="H109" s="526"/>
      <c r="I109" s="526"/>
      <c r="J109" s="526"/>
      <c r="K109" s="527"/>
      <c r="L109" s="528"/>
      <c r="M109" s="529"/>
      <c r="N109" s="2737"/>
      <c r="O109" s="2737"/>
      <c r="P109" s="2762"/>
      <c r="Q109" s="2724"/>
      <c r="R109" s="2710"/>
      <c r="S109" s="2710"/>
      <c r="T109" s="2710"/>
      <c r="U109" s="2710"/>
      <c r="V109" s="2710"/>
      <c r="W109" s="2710"/>
      <c r="X109" s="2710"/>
      <c r="Y109" s="2710"/>
      <c r="Z109" s="2710"/>
      <c r="AA109" s="2710"/>
      <c r="AB109" s="2710"/>
      <c r="AC109" s="2710"/>
    </row>
    <row r="110" spans="1:29" ht="15.75" thickBot="1">
      <c r="A110" s="473"/>
      <c r="B110" s="508"/>
      <c r="C110" s="499"/>
      <c r="D110" s="499"/>
      <c r="E110" s="499"/>
      <c r="F110" s="499"/>
      <c r="G110" s="530"/>
      <c r="H110" s="530"/>
      <c r="I110" s="530"/>
      <c r="J110" s="530"/>
      <c r="K110" s="530"/>
      <c r="L110" s="530"/>
      <c r="M110" s="531"/>
      <c r="N110" s="2738"/>
      <c r="O110" s="2738"/>
      <c r="P110" s="2762"/>
      <c r="Q110" s="2724"/>
      <c r="R110" s="2710"/>
      <c r="S110" s="2710"/>
      <c r="T110" s="2710"/>
      <c r="U110" s="2710"/>
      <c r="V110" s="2710"/>
      <c r="W110" s="2710"/>
      <c r="X110" s="2710"/>
      <c r="Y110" s="2710"/>
      <c r="Z110" s="2710"/>
      <c r="AA110" s="2710"/>
      <c r="AB110" s="2710"/>
      <c r="AC110" s="2710"/>
    </row>
    <row r="111" spans="1:29" ht="15" thickTop="1">
      <c r="A111" s="613"/>
      <c r="B111" s="477">
        <f>B36</f>
        <v>111</v>
      </c>
      <c r="C111" s="462"/>
      <c r="D111" s="462"/>
      <c r="E111" s="462"/>
      <c r="F111" s="462"/>
      <c r="G111" s="522"/>
      <c r="H111" s="522"/>
      <c r="I111" s="522"/>
      <c r="J111" s="522"/>
      <c r="K111" s="523"/>
      <c r="L111" s="524"/>
      <c r="M111" s="525"/>
      <c r="N111" s="2737"/>
      <c r="O111" s="2737"/>
      <c r="P111" s="2762"/>
      <c r="Q111" s="2724"/>
      <c r="R111" s="2710"/>
      <c r="S111" s="2710"/>
      <c r="T111" s="2710"/>
      <c r="U111" s="2710"/>
      <c r="V111" s="2710"/>
      <c r="W111" s="2710"/>
      <c r="X111" s="2710"/>
      <c r="Y111" s="2710"/>
      <c r="Z111" s="2710"/>
      <c r="AA111" s="2710"/>
      <c r="AB111" s="2710"/>
      <c r="AC111" s="2710"/>
    </row>
    <row r="112" spans="1:29" ht="15.75" thickBot="1">
      <c r="A112" s="473"/>
      <c r="B112" s="482"/>
      <c r="C112" s="509"/>
      <c r="D112" s="509"/>
      <c r="E112" s="509"/>
      <c r="F112" s="509"/>
      <c r="G112" s="475"/>
      <c r="H112" s="475"/>
      <c r="I112" s="475"/>
      <c r="J112" s="475"/>
      <c r="K112" s="475"/>
      <c r="L112" s="475"/>
      <c r="M112" s="476"/>
      <c r="N112" s="2738"/>
      <c r="O112" s="2738"/>
      <c r="P112" s="2762"/>
      <c r="Q112" s="2724"/>
      <c r="R112" s="2710"/>
      <c r="S112" s="2710"/>
      <c r="T112" s="2710"/>
      <c r="U112" s="2710"/>
      <c r="V112" s="2710"/>
      <c r="W112" s="2710"/>
      <c r="X112" s="2710"/>
      <c r="Y112" s="2710"/>
      <c r="Z112" s="2710"/>
      <c r="AA112" s="2710"/>
      <c r="AB112" s="2710"/>
      <c r="AC112" s="2710"/>
    </row>
    <row r="113" spans="1:29" s="412" customFormat="1" ht="15" thickTop="1">
      <c r="A113" s="532"/>
      <c r="B113" s="533">
        <f>B37</f>
        <v>111</v>
      </c>
      <c r="C113" s="534"/>
      <c r="D113" s="534"/>
      <c r="E113" s="534"/>
      <c r="F113" s="534"/>
      <c r="G113" s="534"/>
      <c r="H113" s="534"/>
      <c r="I113" s="534"/>
      <c r="J113" s="535"/>
      <c r="K113" s="535"/>
      <c r="L113" s="536"/>
      <c r="M113" s="537"/>
      <c r="N113" s="2739"/>
      <c r="O113" s="2739"/>
      <c r="P113" s="2763"/>
      <c r="Q113" s="2730"/>
      <c r="R113" s="2731"/>
      <c r="S113" s="2731"/>
      <c r="T113" s="2731"/>
      <c r="U113" s="2731"/>
      <c r="V113" s="2731"/>
      <c r="W113" s="2731"/>
      <c r="X113" s="2731"/>
      <c r="Y113" s="2731"/>
      <c r="Z113" s="2731"/>
      <c r="AA113" s="2731"/>
      <c r="AB113" s="2731"/>
      <c r="AC113" s="2731"/>
    </row>
    <row r="114" spans="1:29" s="412" customFormat="1" ht="15.75" thickBot="1">
      <c r="A114" s="492"/>
      <c r="B114" s="485"/>
      <c r="C114" s="451"/>
      <c r="D114" s="615"/>
      <c r="E114" s="615"/>
      <c r="F114" s="615"/>
      <c r="G114" s="615"/>
      <c r="H114" s="615"/>
      <c r="I114" s="615"/>
      <c r="J114" s="615"/>
      <c r="K114" s="615"/>
      <c r="L114" s="615"/>
      <c r="M114" s="637"/>
      <c r="N114" s="2738"/>
      <c r="O114" s="2738"/>
      <c r="P114" s="2763"/>
      <c r="Q114" s="2730"/>
      <c r="R114" s="2731"/>
      <c r="S114" s="2731"/>
      <c r="T114" s="2731"/>
      <c r="U114" s="2731"/>
      <c r="V114" s="2731"/>
      <c r="W114" s="2731"/>
      <c r="X114" s="2731"/>
      <c r="Y114" s="2731"/>
      <c r="Z114" s="2731"/>
      <c r="AA114" s="2731"/>
      <c r="AB114" s="2731"/>
      <c r="AC114" s="2731"/>
    </row>
    <row r="115" spans="1:29" ht="28.5">
      <c r="A115" s="466" t="s">
        <v>1693</v>
      </c>
      <c r="B115" s="467" t="s">
        <v>1912</v>
      </c>
      <c r="C115" s="468" t="str">
        <f>C116&amp;"(含)"&amp;"-"&amp;D116</f>
        <v>0(含)-50000</v>
      </c>
      <c r="D115" s="468" t="str">
        <f t="shared" ref="D115:M115" si="26">D116&amp;"(含)"&amp;"-"&amp;E116</f>
        <v>50000(含)-100000</v>
      </c>
      <c r="E115" s="468" t="str">
        <f t="shared" si="26"/>
        <v>100000(含)-150000</v>
      </c>
      <c r="F115" s="468" t="str">
        <f t="shared" si="26"/>
        <v>150000(含)-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7"/>
      <c r="O115" s="2737"/>
      <c r="P115" s="2762"/>
      <c r="Q115" s="2724"/>
      <c r="R115" s="2710"/>
      <c r="S115" s="2710"/>
      <c r="T115" s="2710"/>
      <c r="U115" s="2710"/>
      <c r="V115" s="2710"/>
      <c r="W115" s="2710"/>
      <c r="X115" s="2710"/>
      <c r="Y115" s="2710"/>
      <c r="Z115" s="2710"/>
      <c r="AA115" s="2710"/>
      <c r="AB115" s="2710"/>
      <c r="AC115" s="2710"/>
    </row>
    <row r="116" spans="1:29" ht="15">
      <c r="A116" s="473"/>
      <c r="B116" s="485"/>
      <c r="C116" s="3506">
        <v>0</v>
      </c>
      <c r="D116" s="3506">
        <v>50000</v>
      </c>
      <c r="E116" s="3506">
        <v>100000</v>
      </c>
      <c r="F116" s="3506">
        <v>150000</v>
      </c>
      <c r="G116" s="3506"/>
      <c r="H116" s="534"/>
      <c r="I116" s="534"/>
      <c r="J116" s="535"/>
      <c r="K116" s="535"/>
      <c r="L116" s="536"/>
      <c r="M116" s="537"/>
      <c r="N116" s="2737"/>
      <c r="O116" s="2737"/>
      <c r="P116" s="2762"/>
      <c r="Q116" s="2724"/>
      <c r="R116" s="2710"/>
      <c r="S116" s="2710"/>
      <c r="T116" s="2710"/>
      <c r="U116" s="2710"/>
      <c r="V116" s="2710"/>
      <c r="W116" s="2710"/>
      <c r="X116" s="2710"/>
      <c r="Y116" s="2710"/>
      <c r="Z116" s="2710"/>
      <c r="AA116" s="2710"/>
      <c r="AB116" s="2710"/>
      <c r="AC116" s="2710"/>
    </row>
    <row r="117" spans="1:29" ht="15.75" thickBot="1">
      <c r="A117" s="473"/>
      <c r="B117" s="482"/>
      <c r="C117" s="3507">
        <v>100</v>
      </c>
      <c r="D117" s="3508">
        <f>C117+1</f>
        <v>101</v>
      </c>
      <c r="E117" s="3508">
        <f t="shared" ref="E117:F117" si="27">D117+1</f>
        <v>102</v>
      </c>
      <c r="F117" s="3508">
        <f t="shared" si="27"/>
        <v>103</v>
      </c>
      <c r="G117" s="3508"/>
      <c r="H117" s="530"/>
      <c r="I117" s="530"/>
      <c r="J117" s="530"/>
      <c r="K117" s="530"/>
      <c r="L117" s="530"/>
      <c r="M117" s="531"/>
      <c r="N117" s="2738"/>
      <c r="O117" s="2738"/>
      <c r="P117" s="2762"/>
      <c r="Q117" s="2724"/>
      <c r="R117" s="2710"/>
      <c r="S117" s="2710"/>
      <c r="T117" s="2710"/>
      <c r="U117" s="2710"/>
      <c r="V117" s="2710"/>
      <c r="W117" s="2710"/>
      <c r="X117" s="2710"/>
      <c r="Y117" s="2710"/>
      <c r="Z117" s="2710"/>
      <c r="AA117" s="2710"/>
      <c r="AB117" s="2710"/>
      <c r="AC117" s="2710"/>
    </row>
    <row r="118" spans="1:29" ht="43.5" thickTop="1">
      <c r="A118" s="538"/>
      <c r="B118" s="477" t="s">
        <v>1913</v>
      </c>
      <c r="C118" s="3509" t="s">
        <v>3803</v>
      </c>
      <c r="D118" s="3509" t="s">
        <v>3804</v>
      </c>
      <c r="E118" s="3509" t="s">
        <v>3805</v>
      </c>
      <c r="F118" s="3509" t="s">
        <v>3806</v>
      </c>
      <c r="G118" s="3509" t="s">
        <v>3807</v>
      </c>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row>
    <row r="119" spans="1:29" ht="15.75" thickBot="1">
      <c r="A119" s="473"/>
      <c r="B119" s="482"/>
      <c r="C119" s="483">
        <v>100</v>
      </c>
      <c r="D119" s="483">
        <f t="shared" ref="D119:M119" si="28">C119-$K39</f>
        <v>98</v>
      </c>
      <c r="E119" s="483">
        <f t="shared" si="28"/>
        <v>96</v>
      </c>
      <c r="F119" s="483">
        <f t="shared" si="28"/>
        <v>94</v>
      </c>
      <c r="G119" s="483">
        <f t="shared" si="28"/>
        <v>92</v>
      </c>
      <c r="H119" s="483">
        <f t="shared" si="28"/>
        <v>90</v>
      </c>
      <c r="I119" s="483">
        <f t="shared" si="28"/>
        <v>88</v>
      </c>
      <c r="J119" s="483">
        <f t="shared" si="28"/>
        <v>86</v>
      </c>
      <c r="K119" s="483">
        <f t="shared" si="28"/>
        <v>84</v>
      </c>
      <c r="L119" s="483">
        <f t="shared" si="28"/>
        <v>82</v>
      </c>
      <c r="M119" s="484">
        <f t="shared" si="28"/>
        <v>80</v>
      </c>
      <c r="N119" s="2738"/>
      <c r="O119" s="2738"/>
      <c r="P119" s="2762"/>
      <c r="Q119" s="2724"/>
      <c r="R119" s="2710"/>
      <c r="S119" s="2710"/>
      <c r="T119" s="2710"/>
      <c r="U119" s="2710"/>
      <c r="V119" s="2710"/>
      <c r="W119" s="2710"/>
      <c r="X119" s="2710"/>
      <c r="Y119" s="2710"/>
      <c r="Z119" s="2710"/>
      <c r="AA119" s="2710"/>
      <c r="AB119" s="2710"/>
      <c r="AC119" s="2710"/>
    </row>
    <row r="120" spans="1:29" ht="72" thickTop="1">
      <c r="A120" s="538"/>
      <c r="B120" s="477" t="s">
        <v>1914</v>
      </c>
      <c r="C120" s="3510" t="s">
        <v>3808</v>
      </c>
      <c r="D120" s="3510" t="s">
        <v>3809</v>
      </c>
      <c r="E120" s="3510" t="s">
        <v>3810</v>
      </c>
      <c r="F120" s="3509" t="s">
        <v>3811</v>
      </c>
      <c r="G120" s="3509" t="s">
        <v>3812</v>
      </c>
      <c r="H120" s="522"/>
      <c r="I120" s="522"/>
      <c r="J120" s="522"/>
      <c r="K120" s="523"/>
      <c r="L120" s="524"/>
      <c r="M120" s="525"/>
      <c r="N120" s="2737"/>
      <c r="O120" s="2737"/>
      <c r="P120" s="2762"/>
      <c r="Q120" s="2724"/>
      <c r="R120" s="2710"/>
      <c r="S120" s="2710"/>
      <c r="T120" s="2710"/>
      <c r="U120" s="2710"/>
      <c r="V120" s="2710"/>
      <c r="W120" s="2710"/>
      <c r="X120" s="2710"/>
      <c r="Y120" s="2710"/>
      <c r="Z120" s="2710"/>
      <c r="AA120" s="2710"/>
      <c r="AB120" s="2710"/>
      <c r="AC120" s="2710"/>
    </row>
    <row r="121" spans="1:29" ht="15.75" thickBot="1">
      <c r="A121" s="473"/>
      <c r="B121" s="482"/>
      <c r="C121" s="483">
        <v>100</v>
      </c>
      <c r="D121" s="483">
        <f t="shared" ref="D121:M121" si="29">C121-$K40</f>
        <v>98</v>
      </c>
      <c r="E121" s="483">
        <f t="shared" si="29"/>
        <v>96</v>
      </c>
      <c r="F121" s="483">
        <f t="shared" si="29"/>
        <v>94</v>
      </c>
      <c r="G121" s="483">
        <f t="shared" si="29"/>
        <v>92</v>
      </c>
      <c r="H121" s="483">
        <f t="shared" si="29"/>
        <v>90</v>
      </c>
      <c r="I121" s="483">
        <f t="shared" si="29"/>
        <v>88</v>
      </c>
      <c r="J121" s="483">
        <f t="shared" si="29"/>
        <v>86</v>
      </c>
      <c r="K121" s="483">
        <f t="shared" si="29"/>
        <v>84</v>
      </c>
      <c r="L121" s="483">
        <f t="shared" si="29"/>
        <v>82</v>
      </c>
      <c r="M121" s="484">
        <f t="shared" si="29"/>
        <v>80</v>
      </c>
      <c r="N121" s="2738"/>
      <c r="O121" s="2738"/>
      <c r="P121" s="2762"/>
      <c r="Q121" s="2724"/>
      <c r="R121" s="2710"/>
      <c r="S121" s="2710"/>
      <c r="T121" s="2710"/>
      <c r="U121" s="2710"/>
      <c r="V121" s="2710"/>
      <c r="W121" s="2710"/>
      <c r="X121" s="2710"/>
      <c r="Y121" s="2710"/>
      <c r="Z121" s="2710"/>
      <c r="AA121" s="2710"/>
      <c r="AB121" s="2710"/>
      <c r="AC121" s="2710"/>
    </row>
    <row r="122" spans="1:29" s="412" customFormat="1" ht="15" thickTop="1">
      <c r="A122" s="532"/>
      <c r="B122" s="477" t="s">
        <v>1915</v>
      </c>
      <c r="C122" s="3510" t="s">
        <v>3464</v>
      </c>
      <c r="D122" s="3510" t="s">
        <v>3469</v>
      </c>
      <c r="E122" s="3510" t="s">
        <v>3813</v>
      </c>
      <c r="F122" s="3510" t="s">
        <v>3814</v>
      </c>
      <c r="G122" s="3510" t="s">
        <v>3815</v>
      </c>
      <c r="H122" s="522"/>
      <c r="I122" s="522"/>
      <c r="J122" s="522"/>
      <c r="K122" s="523"/>
      <c r="L122" s="524"/>
      <c r="M122" s="525"/>
      <c r="N122" s="2739"/>
      <c r="O122" s="2739"/>
      <c r="P122" s="2763"/>
      <c r="Q122" s="2730"/>
      <c r="R122" s="2731"/>
      <c r="S122" s="2731"/>
      <c r="T122" s="2731"/>
      <c r="U122" s="2731"/>
      <c r="V122" s="2731"/>
      <c r="W122" s="2731"/>
      <c r="X122" s="2731"/>
      <c r="Y122" s="2731"/>
      <c r="Z122" s="2731"/>
      <c r="AA122" s="2731"/>
      <c r="AB122" s="2731"/>
      <c r="AC122" s="2731"/>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38"/>
      <c r="B124" s="477" t="s">
        <v>1916</v>
      </c>
      <c r="C124" s="3510" t="s">
        <v>3816</v>
      </c>
      <c r="D124" s="3510" t="s">
        <v>3389</v>
      </c>
      <c r="E124" s="3509" t="s">
        <v>3390</v>
      </c>
      <c r="F124" s="3509" t="s">
        <v>3391</v>
      </c>
      <c r="G124" s="3509" t="s">
        <v>3817</v>
      </c>
      <c r="H124" s="522"/>
      <c r="I124" s="522"/>
      <c r="J124" s="522"/>
      <c r="K124" s="523"/>
      <c r="L124" s="524"/>
      <c r="M124" s="525"/>
      <c r="N124" s="2737"/>
      <c r="O124" s="2737"/>
      <c r="P124" s="2762"/>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8"/>
      <c r="O125" s="2738"/>
      <c r="P125" s="2762"/>
      <c r="Q125" s="2724"/>
      <c r="R125" s="2710"/>
      <c r="S125" s="2710"/>
      <c r="T125" s="2710"/>
      <c r="U125" s="2710"/>
      <c r="V125" s="2710"/>
      <c r="W125" s="2710"/>
      <c r="X125" s="2710"/>
      <c r="Y125" s="2710"/>
      <c r="Z125" s="2710"/>
      <c r="AA125" s="2710"/>
      <c r="AB125" s="2710"/>
      <c r="AC125" s="2710"/>
    </row>
    <row r="126" spans="1:29" ht="15" thickTop="1">
      <c r="A126" s="538"/>
      <c r="B126" s="477">
        <f>B43</f>
        <v>111</v>
      </c>
      <c r="C126" s="493"/>
      <c r="D126" s="493"/>
      <c r="E126" s="493"/>
      <c r="F126" s="493"/>
      <c r="G126" s="493"/>
      <c r="H126" s="522"/>
      <c r="I126" s="522"/>
      <c r="J126" s="522"/>
      <c r="K126" s="523"/>
      <c r="L126" s="524"/>
      <c r="M126" s="525"/>
      <c r="N126" s="2737"/>
      <c r="O126" s="2737"/>
      <c r="P126" s="2762"/>
      <c r="Q126" s="2724"/>
      <c r="R126" s="2710"/>
      <c r="S126" s="2710"/>
      <c r="T126" s="2710"/>
      <c r="U126" s="2710"/>
      <c r="V126" s="2710"/>
      <c r="W126" s="2710"/>
      <c r="X126" s="2710"/>
      <c r="Y126" s="2710"/>
      <c r="Z126" s="2710"/>
      <c r="AA126" s="2710"/>
      <c r="AB126" s="2710"/>
      <c r="AC126" s="2710"/>
    </row>
    <row r="127" spans="1:29" ht="15.75" thickBot="1">
      <c r="A127" s="473"/>
      <c r="B127" s="482"/>
      <c r="C127" s="499"/>
      <c r="D127" s="499"/>
      <c r="E127" s="499"/>
      <c r="F127" s="499"/>
      <c r="G127" s="475"/>
      <c r="H127" s="475"/>
      <c r="I127" s="475"/>
      <c r="J127" s="475"/>
      <c r="K127" s="475"/>
      <c r="L127" s="475"/>
      <c r="M127" s="476"/>
      <c r="N127" s="2738"/>
      <c r="O127" s="2738"/>
      <c r="P127" s="2762"/>
      <c r="Q127" s="2724"/>
      <c r="R127" s="2710"/>
      <c r="S127" s="2710"/>
      <c r="T127" s="2710"/>
      <c r="U127" s="2710"/>
      <c r="V127" s="2710"/>
      <c r="W127" s="2710"/>
      <c r="X127" s="2710"/>
      <c r="Y127" s="2710"/>
      <c r="Z127" s="2710"/>
      <c r="AA127" s="2710"/>
      <c r="AB127" s="2710"/>
      <c r="AC127" s="2710"/>
    </row>
    <row r="128" spans="1:29" ht="15" thickTop="1">
      <c r="A128" s="538"/>
      <c r="B128" s="477">
        <f>B44</f>
        <v>111</v>
      </c>
      <c r="C128" s="462"/>
      <c r="D128" s="462"/>
      <c r="E128" s="462"/>
      <c r="F128" s="462"/>
      <c r="G128" s="522"/>
      <c r="H128" s="522"/>
      <c r="I128" s="522"/>
      <c r="J128" s="522"/>
      <c r="K128" s="523"/>
      <c r="L128" s="524"/>
      <c r="M128" s="525"/>
      <c r="N128" s="2737"/>
      <c r="O128" s="2737"/>
      <c r="P128" s="2762"/>
      <c r="Q128" s="2724"/>
      <c r="R128" s="2710"/>
      <c r="S128" s="2710"/>
      <c r="T128" s="2710"/>
      <c r="U128" s="2710"/>
      <c r="V128" s="2710"/>
      <c r="W128" s="2710"/>
      <c r="X128" s="2710"/>
      <c r="Y128" s="2710"/>
      <c r="Z128" s="2710"/>
      <c r="AA128" s="2710"/>
      <c r="AB128" s="2710"/>
      <c r="AC128" s="2710"/>
    </row>
    <row r="129" spans="1:29" ht="15.75" thickBot="1">
      <c r="A129" s="473"/>
      <c r="B129" s="482"/>
      <c r="C129" s="509"/>
      <c r="D129" s="509"/>
      <c r="E129" s="509"/>
      <c r="F129" s="509"/>
      <c r="G129" s="475"/>
      <c r="H129" s="475"/>
      <c r="I129" s="475"/>
      <c r="J129" s="475"/>
      <c r="K129" s="475"/>
      <c r="L129" s="475"/>
      <c r="M129" s="476"/>
      <c r="N129" s="2738"/>
      <c r="O129" s="2738"/>
      <c r="P129" s="2762"/>
      <c r="Q129" s="2724"/>
      <c r="R129" s="2710"/>
      <c r="S129" s="2710"/>
      <c r="T129" s="2710"/>
      <c r="U129" s="2710"/>
      <c r="V129" s="2710"/>
      <c r="W129" s="2710"/>
      <c r="X129" s="2710"/>
      <c r="Y129" s="2710"/>
      <c r="Z129" s="2710"/>
      <c r="AA129" s="2710"/>
      <c r="AB129" s="2710"/>
      <c r="AC129" s="2710"/>
    </row>
    <row r="130" spans="1:29" s="412" customFormat="1" ht="15" thickTop="1">
      <c r="A130" s="532"/>
      <c r="B130" s="477">
        <f>B45</f>
        <v>111</v>
      </c>
      <c r="C130" s="462"/>
      <c r="D130" s="462"/>
      <c r="E130" s="462"/>
      <c r="F130" s="462"/>
      <c r="G130" s="494"/>
      <c r="H130" s="494"/>
      <c r="I130" s="494"/>
      <c r="J130" s="494"/>
      <c r="K130" s="494"/>
      <c r="L130" s="495"/>
      <c r="M130" s="496"/>
      <c r="N130" s="2739"/>
      <c r="O130" s="2739"/>
      <c r="P130" s="2763"/>
      <c r="Q130" s="2730"/>
      <c r="R130" s="2731"/>
      <c r="S130" s="2731"/>
      <c r="T130" s="2731"/>
      <c r="U130" s="2731"/>
      <c r="V130" s="2731"/>
      <c r="W130" s="2731"/>
      <c r="X130" s="2731"/>
      <c r="Y130" s="2731"/>
      <c r="Z130" s="2731"/>
      <c r="AA130" s="2731"/>
      <c r="AB130" s="2731"/>
      <c r="AC130" s="2731"/>
    </row>
    <row r="131" spans="1:29" s="412" customFormat="1" ht="15.75" thickBot="1">
      <c r="A131" s="507"/>
      <c r="B131" s="638"/>
      <c r="C131" s="509"/>
      <c r="D131" s="509"/>
      <c r="E131" s="509"/>
      <c r="F131" s="509"/>
      <c r="G131" s="530"/>
      <c r="H131" s="530"/>
      <c r="I131" s="530"/>
      <c r="J131" s="530"/>
      <c r="K131" s="530"/>
      <c r="L131" s="530"/>
      <c r="M131" s="531"/>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198">
        <f>基准地价修正!G23</f>
        <v>45373</v>
      </c>
      <c r="B1" s="3187" t="s">
        <v>3367</v>
      </c>
      <c r="C1" s="3188"/>
      <c r="D1" s="3188"/>
      <c r="E1" s="3188"/>
      <c r="F1" s="3188"/>
      <c r="G1" s="3188"/>
      <c r="H1" s="3188"/>
      <c r="I1" s="3188"/>
      <c r="J1" s="3142"/>
      <c r="K1" s="3188" t="s">
        <v>454</v>
      </c>
      <c r="L1" s="3188"/>
      <c r="M1" s="3188"/>
      <c r="N1" s="3188"/>
      <c r="O1" s="3188"/>
      <c r="P1" s="3188"/>
      <c r="Q1" s="3142"/>
      <c r="R1" s="3826" t="s">
        <v>456</v>
      </c>
      <c r="S1" s="3827"/>
      <c r="T1" s="3827"/>
      <c r="U1" s="3827"/>
      <c r="V1" s="3827"/>
      <c r="W1" s="3827"/>
      <c r="X1" s="3142"/>
      <c r="Y1" s="3826" t="s">
        <v>457</v>
      </c>
      <c r="Z1" s="3827"/>
      <c r="AA1" s="3827"/>
      <c r="AB1" s="3827"/>
      <c r="AC1" s="3827"/>
      <c r="AD1" s="3827"/>
    </row>
    <row r="2" spans="1:30" s="3120" customFormat="1" ht="14.25" thickBot="1">
      <c r="B2" s="3121"/>
      <c r="C2" s="3122"/>
      <c r="D2" s="3123" t="s">
        <v>2805</v>
      </c>
      <c r="E2" s="3124" t="s">
        <v>2806</v>
      </c>
      <c r="F2" s="3124" t="s">
        <v>2807</v>
      </c>
      <c r="G2" s="3124" t="s">
        <v>2808</v>
      </c>
      <c r="H2" s="3124" t="s">
        <v>2809</v>
      </c>
      <c r="I2" s="3124" t="s">
        <v>2626</v>
      </c>
      <c r="J2" s="3125"/>
      <c r="K2" s="3123" t="s">
        <v>2805</v>
      </c>
      <c r="L2" s="3124" t="s">
        <v>2806</v>
      </c>
      <c r="M2" s="3124" t="s">
        <v>2807</v>
      </c>
      <c r="N2" s="3124" t="s">
        <v>2808</v>
      </c>
      <c r="O2" s="3124" t="s">
        <v>2810</v>
      </c>
      <c r="P2" s="3124" t="s">
        <v>2626</v>
      </c>
      <c r="Q2" s="3125"/>
      <c r="R2" s="3123" t="s">
        <v>2805</v>
      </c>
      <c r="S2" s="3124" t="s">
        <v>2806</v>
      </c>
      <c r="T2" s="3124" t="s">
        <v>2807</v>
      </c>
      <c r="U2" s="3124" t="s">
        <v>2811</v>
      </c>
      <c r="V2" s="3124" t="s">
        <v>2812</v>
      </c>
      <c r="W2" s="3124" t="s">
        <v>2626</v>
      </c>
      <c r="X2" s="3125"/>
      <c r="Y2" s="3123" t="s">
        <v>2805</v>
      </c>
      <c r="Z2" s="3124" t="s">
        <v>2806</v>
      </c>
      <c r="AA2" s="3124" t="s">
        <v>2807</v>
      </c>
      <c r="AB2" s="3124" t="s">
        <v>2813</v>
      </c>
      <c r="AC2" s="3124" t="s">
        <v>2812</v>
      </c>
      <c r="AD2" s="3124" t="s">
        <v>2626</v>
      </c>
    </row>
    <row r="3" spans="1:30" s="3138" customFormat="1" ht="12.75">
      <c r="A3" s="3126" t="s">
        <v>2814</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192" t="s">
        <v>3371</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192" t="s">
        <v>3372</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192" t="s">
        <v>3373</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3365</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3366</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3364</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3363</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3359</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3350</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2815</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2816</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2817</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2818</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2819</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3361</v>
      </c>
    </row>
    <row r="21" spans="1:30" s="2986" customFormat="1">
      <c r="I21" s="3185" t="s">
        <v>2820</v>
      </c>
    </row>
    <row r="22" spans="1:30" s="2986" customFormat="1"/>
    <row r="23" spans="1:30" s="3186" customFormat="1" ht="12.75">
      <c r="B23" s="3187" t="s">
        <v>3368</v>
      </c>
      <c r="C23" s="3188"/>
      <c r="D23" s="3188"/>
      <c r="E23" s="3188"/>
      <c r="F23" s="3188"/>
      <c r="G23" s="3188"/>
      <c r="H23" s="3188"/>
      <c r="I23" s="3188"/>
      <c r="J23" s="3142"/>
      <c r="K23" s="3188" t="s">
        <v>2821</v>
      </c>
      <c r="L23" s="3188"/>
      <c r="M23" s="3188"/>
      <c r="N23" s="3188"/>
      <c r="O23" s="3188"/>
      <c r="P23" s="3188"/>
      <c r="Q23" s="3142"/>
      <c r="R23" s="3826" t="s">
        <v>2822</v>
      </c>
      <c r="S23" s="3827"/>
      <c r="T23" s="3827"/>
      <c r="U23" s="3827"/>
      <c r="V23" s="3827"/>
      <c r="W23" s="3827"/>
      <c r="X23" s="3142"/>
      <c r="Y23" s="3826" t="s">
        <v>2823</v>
      </c>
      <c r="Z23" s="3827"/>
      <c r="AA23" s="3827"/>
      <c r="AB23" s="3827"/>
      <c r="AC23" s="3827"/>
      <c r="AD23" s="3827"/>
    </row>
    <row r="24" spans="1:30" s="3120" customFormat="1" ht="14.25" thickBot="1">
      <c r="B24" s="3121"/>
      <c r="C24" s="3122"/>
      <c r="D24" s="3123" t="s">
        <v>2824</v>
      </c>
      <c r="E24" s="3124" t="s">
        <v>2825</v>
      </c>
      <c r="F24" s="3124" t="s">
        <v>2826</v>
      </c>
      <c r="G24" s="3124" t="s">
        <v>2827</v>
      </c>
      <c r="H24" s="3124"/>
      <c r="I24" s="3124" t="s">
        <v>2828</v>
      </c>
      <c r="J24" s="3125"/>
      <c r="K24" s="3123" t="s">
        <v>2824</v>
      </c>
      <c r="L24" s="3124" t="s">
        <v>2825</v>
      </c>
      <c r="M24" s="3124" t="s">
        <v>2826</v>
      </c>
      <c r="N24" s="3124" t="s">
        <v>2827</v>
      </c>
      <c r="O24" s="3124"/>
      <c r="P24" s="3124" t="s">
        <v>2828</v>
      </c>
      <c r="Q24" s="3125"/>
      <c r="R24" s="3123" t="s">
        <v>2824</v>
      </c>
      <c r="S24" s="3124" t="s">
        <v>2825</v>
      </c>
      <c r="T24" s="3124" t="s">
        <v>2826</v>
      </c>
      <c r="U24" s="3124" t="s">
        <v>2827</v>
      </c>
      <c r="V24" s="3124"/>
      <c r="W24" s="3124" t="s">
        <v>2828</v>
      </c>
      <c r="X24" s="3125"/>
      <c r="Y24" s="3123" t="s">
        <v>2824</v>
      </c>
      <c r="Z24" s="3124" t="s">
        <v>2825</v>
      </c>
      <c r="AA24" s="3124" t="s">
        <v>2826</v>
      </c>
      <c r="AB24" s="3124" t="s">
        <v>2827</v>
      </c>
      <c r="AC24" s="3124"/>
      <c r="AD24" s="3124" t="s">
        <v>2828</v>
      </c>
    </row>
    <row r="25" spans="1:30" s="3138" customFormat="1" ht="12.75">
      <c r="A25" s="3126" t="s">
        <v>2829</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192" t="s">
        <v>3371</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192" t="s">
        <v>3372</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192" t="s">
        <v>3373</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3369</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3370</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3364</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3363</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3360</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3350</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2830</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2831</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2832</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2833</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2819</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3362</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O50" sqref="O50"/>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1460</v>
      </c>
      <c r="B1" s="1457" t="s">
        <v>3422</v>
      </c>
      <c r="C1" s="188"/>
      <c r="D1" s="188"/>
      <c r="E1" s="188"/>
      <c r="F1" s="188"/>
      <c r="G1" s="1113">
        <f>MATCH(B1,'数据-取费表'!A6:A16,0)+5</f>
        <v>6</v>
      </c>
    </row>
    <row r="2" spans="1:9" s="190" customFormat="1" ht="18" customHeight="1">
      <c r="A2" s="191" t="s">
        <v>1461</v>
      </c>
      <c r="B2" s="192">
        <f ca="1">IF(D2="——",C52,C52-E2)</f>
        <v>279101</v>
      </c>
      <c r="C2" s="189" t="s">
        <v>1462</v>
      </c>
      <c r="D2" s="1840" t="s">
        <v>43</v>
      </c>
      <c r="E2" s="1156" t="e">
        <f ca="1">SUMIF(INDIRECT("'"&amp;G2&amp;"'"&amp;"!A:A"),"承租人权益价值",INDIRECT("'"&amp;G2&amp;"'"&amp;"!c:c"))</f>
        <v>#REF!</v>
      </c>
      <c r="F2" s="1841" t="s">
        <v>1462</v>
      </c>
      <c r="G2" s="1842"/>
    </row>
    <row r="3" spans="1:9" s="190" customFormat="1" ht="18" customHeight="1" thickBot="1">
      <c r="A3" s="193" t="s">
        <v>1463</v>
      </c>
      <c r="B3" s="194">
        <f ca="1">ROUND(B2*10000/(IF(B1="",'数据-汇总表'!E3,INDIRECT("'数据-取费表'!k"&amp;$G$1))),0)</f>
        <v>28389</v>
      </c>
      <c r="C3" s="189" t="s">
        <v>1464</v>
      </c>
      <c r="D3" s="189"/>
      <c r="E3" s="189"/>
      <c r="F3" s="189"/>
      <c r="G3" s="189"/>
    </row>
    <row r="4" spans="1:9" s="198" customFormat="1" ht="15.75">
      <c r="A4" s="195" t="s">
        <v>1465</v>
      </c>
      <c r="B4" s="196"/>
      <c r="C4" s="196"/>
      <c r="D4" s="196"/>
      <c r="E4" s="196"/>
      <c r="F4" s="196"/>
      <c r="G4" s="197"/>
    </row>
    <row r="5" spans="1:9" s="204" customFormat="1" ht="13.5" customHeight="1">
      <c r="A5" s="245" t="s">
        <v>1466</v>
      </c>
      <c r="B5" s="200" t="s">
        <v>1467</v>
      </c>
      <c r="C5" s="201">
        <f ca="1">C6+C7+C8</f>
        <v>123239</v>
      </c>
      <c r="D5" s="201" t="s">
        <v>1468</v>
      </c>
      <c r="E5" s="202" t="s">
        <v>1469</v>
      </c>
      <c r="F5" s="202" t="s">
        <v>1470</v>
      </c>
      <c r="G5" s="203"/>
    </row>
    <row r="6" spans="1:9" s="204" customFormat="1" ht="13.5" customHeight="1">
      <c r="A6" s="765" t="s">
        <v>1471</v>
      </c>
      <c r="B6" s="205" t="s">
        <v>1472</v>
      </c>
      <c r="C6" s="206">
        <f>基准地价修正!B2</f>
        <v>117684</v>
      </c>
      <c r="D6" s="207"/>
      <c r="E6" s="208"/>
      <c r="F6" s="208"/>
      <c r="G6" s="209"/>
    </row>
    <row r="7" spans="1:9" s="204" customFormat="1" ht="13.5" customHeight="1">
      <c r="A7" s="765" t="s">
        <v>1473</v>
      </c>
      <c r="B7" s="205" t="s">
        <v>1474</v>
      </c>
      <c r="C7" s="210">
        <f>ROUND(C6*F7,0)</f>
        <v>3589</v>
      </c>
      <c r="D7" s="210"/>
      <c r="E7" s="208"/>
      <c r="F7" s="211">
        <f>IF(项目基本情况!B8="出让",0,'数据-取费表'!B48+'数据-取费表'!B49)</f>
        <v>3.0499999999999999E-2</v>
      </c>
      <c r="G7" s="209"/>
    </row>
    <row r="8" spans="1:9" s="213" customFormat="1">
      <c r="A8" s="765" t="s">
        <v>1475</v>
      </c>
      <c r="B8" s="205" t="s">
        <v>1476</v>
      </c>
      <c r="C8" s="210">
        <f ca="1">IF(G8="已包含在土地购买价格中","0",IF(B1="",'数据-取费表'!B29,IF(G9="全部缴纳",C9+C10,H9)))</f>
        <v>1966</v>
      </c>
      <c r="D8" s="212"/>
      <c r="E8" s="210"/>
      <c r="F8" s="211"/>
      <c r="G8" s="1843" t="s">
        <v>3398</v>
      </c>
    </row>
    <row r="9" spans="1:9" s="204" customFormat="1" ht="13.5" customHeight="1">
      <c r="A9" s="766" t="s">
        <v>355</v>
      </c>
      <c r="B9" s="214" t="s">
        <v>1477</v>
      </c>
      <c r="C9" s="215">
        <f ca="1">ROUND(D9*E9/10000,0)</f>
        <v>0</v>
      </c>
      <c r="D9" s="832">
        <f ca="1">IF(B1="",'数据-汇总表'!E5,IF(INDIRECT("'数据-取费表'!c"&amp;$G$1)="住宅",INDIRECT("'数据-取费表'!k"&amp;$G$1),0))</f>
        <v>0</v>
      </c>
      <c r="E9" s="215">
        <f>'数据-取费表'!B27</f>
        <v>160</v>
      </c>
      <c r="F9" s="211"/>
      <c r="G9" s="1844" t="s">
        <v>3399</v>
      </c>
      <c r="H9" s="1124"/>
      <c r="I9" s="1845" t="s">
        <v>1478</v>
      </c>
    </row>
    <row r="10" spans="1:9" s="204" customFormat="1" ht="13.5" customHeight="1">
      <c r="A10" s="766" t="s">
        <v>356</v>
      </c>
      <c r="B10" s="214" t="s">
        <v>1479</v>
      </c>
      <c r="C10" s="215">
        <f ca="1">ROUND(D10*E10/10000,0)</f>
        <v>1966</v>
      </c>
      <c r="D10" s="832">
        <f ca="1">IF(B1="",'数据-汇总表'!E6,IF(INDIRECT("'数据-取费表'!c"&amp;$G$1)="住宅",INDIRECT("'数据-取费表'!s"&amp;$G$1),INDIRECT("'数据-取费表'!k"&amp;$G$1)+INDIRECT("'数据-取费表'!s"&amp;$G$1)))</f>
        <v>98312.17</v>
      </c>
      <c r="E10" s="215">
        <f>'数据-取费表'!B28</f>
        <v>200</v>
      </c>
      <c r="F10" s="211"/>
      <c r="G10" s="216"/>
    </row>
    <row r="11" spans="1:9" s="204" customFormat="1" ht="13.5" hidden="1" customHeight="1">
      <c r="A11" s="217" t="s">
        <v>4</v>
      </c>
      <c r="B11" s="205" t="s">
        <v>1480</v>
      </c>
      <c r="C11" s="201"/>
      <c r="D11" s="834"/>
      <c r="E11" s="208"/>
      <c r="F11" s="208"/>
      <c r="G11" s="209"/>
    </row>
    <row r="12" spans="1:9" s="204" customFormat="1" ht="13.5" hidden="1" customHeight="1">
      <c r="A12" s="217" t="s">
        <v>5</v>
      </c>
      <c r="B12" s="205" t="s">
        <v>1481</v>
      </c>
      <c r="C12" s="201">
        <v>0</v>
      </c>
      <c r="D12" s="834"/>
      <c r="E12" s="218"/>
      <c r="F12" s="211">
        <v>3.0499999999999999E-2</v>
      </c>
      <c r="G12" s="209"/>
    </row>
    <row r="13" spans="1:9" s="204" customFormat="1" ht="13.5" hidden="1" customHeight="1">
      <c r="A13" s="217" t="s">
        <v>6</v>
      </c>
      <c r="B13" s="205" t="s">
        <v>1482</v>
      </c>
      <c r="C13" s="201"/>
      <c r="D13" s="834"/>
      <c r="E13" s="208"/>
      <c r="F13" s="208"/>
      <c r="G13" s="209"/>
    </row>
    <row r="14" spans="1:9" s="204" customFormat="1" ht="13.5" hidden="1" customHeight="1">
      <c r="A14" s="217" t="s">
        <v>7</v>
      </c>
      <c r="B14" s="205" t="s">
        <v>1483</v>
      </c>
      <c r="C14" s="201"/>
      <c r="D14" s="834"/>
      <c r="E14" s="208"/>
      <c r="F14" s="208"/>
      <c r="G14" s="209" t="s">
        <v>1484</v>
      </c>
    </row>
    <row r="15" spans="1:9" s="204" customFormat="1" ht="13.5" hidden="1" customHeight="1">
      <c r="A15" s="217" t="s">
        <v>8</v>
      </c>
      <c r="B15" s="205" t="s">
        <v>1485</v>
      </c>
      <c r="C15" s="210"/>
      <c r="D15" s="834"/>
      <c r="E15" s="208"/>
      <c r="F15" s="208"/>
      <c r="G15" s="209" t="s">
        <v>1486</v>
      </c>
    </row>
    <row r="16" spans="1:9" s="204" customFormat="1" ht="13.5" hidden="1" customHeight="1">
      <c r="A16" s="217" t="s">
        <v>9</v>
      </c>
      <c r="B16" s="205" t="s">
        <v>1483</v>
      </c>
      <c r="C16" s="210"/>
      <c r="D16" s="834"/>
      <c r="E16" s="208"/>
      <c r="F16" s="208"/>
      <c r="G16" s="209"/>
    </row>
    <row r="17" spans="1:7" s="204" customFormat="1" ht="13.5" hidden="1" customHeight="1">
      <c r="A17" s="217" t="s">
        <v>10</v>
      </c>
      <c r="B17" s="205" t="s">
        <v>1487</v>
      </c>
      <c r="C17" s="219"/>
      <c r="D17" s="835"/>
      <c r="E17" s="219"/>
      <c r="F17" s="219"/>
      <c r="G17" s="209" t="s">
        <v>1486</v>
      </c>
    </row>
    <row r="18" spans="1:7" s="204" customFormat="1" ht="13.5" hidden="1" customHeight="1">
      <c r="A18" s="217" t="s">
        <v>11</v>
      </c>
      <c r="B18" s="205" t="s">
        <v>1488</v>
      </c>
      <c r="C18" s="210">
        <v>0</v>
      </c>
      <c r="D18" s="834"/>
      <c r="E18" s="208"/>
      <c r="F18" s="211">
        <v>3.0499999999999999E-2</v>
      </c>
      <c r="G18" s="209" t="s">
        <v>1489</v>
      </c>
    </row>
    <row r="19" spans="1:7" s="213" customFormat="1" ht="13.5" customHeight="1">
      <c r="A19" s="245" t="s">
        <v>1490</v>
      </c>
      <c r="B19" s="200" t="s">
        <v>1491</v>
      </c>
      <c r="C19" s="201" t="str">
        <f>IF(G19="已包含在土地取得成本中","0",ROUND(D19*E19/10000,0))</f>
        <v>0</v>
      </c>
      <c r="D19" s="836">
        <f ca="1">D9+D10</f>
        <v>98312.17</v>
      </c>
      <c r="E19" s="201">
        <f>'数据-取费表'!B31</f>
        <v>200</v>
      </c>
      <c r="F19" s="221"/>
      <c r="G19" s="1843" t="s">
        <v>3400</v>
      </c>
    </row>
    <row r="20" spans="1:7" s="204" customFormat="1" ht="13.5" customHeight="1">
      <c r="A20" s="245" t="s">
        <v>1492</v>
      </c>
      <c r="B20" s="200" t="s">
        <v>1493</v>
      </c>
      <c r="C20" s="222">
        <f ca="1">ROUND((C5+C19)*F20,0)</f>
        <v>2465</v>
      </c>
      <c r="D20" s="222"/>
      <c r="E20" s="222"/>
      <c r="F20" s="223">
        <f>'数据-取费表'!B37</f>
        <v>0.02</v>
      </c>
      <c r="G20" s="224" t="s">
        <v>1494</v>
      </c>
    </row>
    <row r="21" spans="1:7" s="204" customFormat="1" ht="13.5" customHeight="1">
      <c r="A21" s="245" t="s">
        <v>1495</v>
      </c>
      <c r="B21" s="200" t="s">
        <v>1496</v>
      </c>
      <c r="C21" s="225">
        <f>F21</f>
        <v>0.02</v>
      </c>
      <c r="D21" s="226" t="s">
        <v>1497</v>
      </c>
      <c r="E21" s="222"/>
      <c r="F21" s="223">
        <f>'数据-取费表'!B38</f>
        <v>0.02</v>
      </c>
      <c r="G21" s="224" t="s">
        <v>1498</v>
      </c>
    </row>
    <row r="22" spans="1:7" s="204" customFormat="1" ht="13.5" customHeight="1">
      <c r="A22" s="245" t="s">
        <v>1499</v>
      </c>
      <c r="B22" s="200" t="s">
        <v>1500</v>
      </c>
      <c r="C22" s="1091">
        <f ca="1">ROUND(SUM(C23:C25),0)</f>
        <v>13329</v>
      </c>
      <c r="D22" s="225">
        <f ca="1">C26</f>
        <v>1E-3</v>
      </c>
      <c r="E22" s="226" t="s">
        <v>1497</v>
      </c>
      <c r="F22" s="227">
        <f ca="1">'数据-取费表'!B40</f>
        <v>3.4500000000000003E-2</v>
      </c>
      <c r="G22" s="224" t="str">
        <f>IF('数据-取费表'!B22&lt;=1,"单利计息","复利计息")</f>
        <v>复利计息</v>
      </c>
    </row>
    <row r="23" spans="1:7" s="204" customFormat="1" ht="13.5" customHeight="1">
      <c r="A23" s="767" t="s">
        <v>1501</v>
      </c>
      <c r="B23" s="205" t="s">
        <v>1502</v>
      </c>
      <c r="C23" s="1092">
        <f ca="1">ROUND(IF('数据-取费表'!B22&lt;=1,C5*F22*'数据-取费表'!B23,C5*(POWER((1+F22),'数据-取费表'!B23)-1)),0)</f>
        <v>13200</v>
      </c>
      <c r="D23" s="228"/>
      <c r="E23" s="228"/>
      <c r="F23" s="229"/>
      <c r="G23" s="230" t="s">
        <v>1503</v>
      </c>
    </row>
    <row r="24" spans="1:7" s="204" customFormat="1" ht="13.5" customHeight="1">
      <c r="A24" s="767" t="s">
        <v>1504</v>
      </c>
      <c r="B24" s="205" t="s">
        <v>1505</v>
      </c>
      <c r="C24" s="1092">
        <f ca="1">ROUND(IF('数据-取费表'!B22&lt;=1,C19*F22*('数据-取费表'!B19/2+'数据-取费表'!B21),C19*(POWER((1+F22),('数据-取费表'!B19/2+'数据-取费表'!B21))-1)),0)</f>
        <v>0</v>
      </c>
      <c r="D24" s="228"/>
      <c r="E24" s="228"/>
      <c r="F24" s="229"/>
      <c r="G24" s="230" t="s">
        <v>1506</v>
      </c>
    </row>
    <row r="25" spans="1:7" s="204" customFormat="1" ht="24">
      <c r="A25" s="767" t="s">
        <v>1507</v>
      </c>
      <c r="B25" s="205" t="s">
        <v>1508</v>
      </c>
      <c r="C25" s="1092">
        <f ca="1">ROUND(IF('数据-取费表'!B22&lt;=1,C20*F22*'数据-取费表'!B23/2,C20*(POWER((1+F22),'数据-取费表'!B23/2)-1)),0)</f>
        <v>129</v>
      </c>
      <c r="D25" s="228"/>
      <c r="E25" s="231"/>
      <c r="F25" s="229"/>
      <c r="G25" s="232" t="s">
        <v>1509</v>
      </c>
    </row>
    <row r="26" spans="1:7" s="204" customFormat="1">
      <c r="A26" s="767" t="s">
        <v>350</v>
      </c>
      <c r="B26" s="205" t="s">
        <v>1510</v>
      </c>
      <c r="C26" s="228">
        <f ca="1">ROUND(IF('数据-取费表'!B22&lt;=1,F21*F22*'数据-取费表'!B23/2,F21*(POWER((1+F22),'数据-取费表'!B23/2)-1)),4)</f>
        <v>1E-3</v>
      </c>
      <c r="D26" s="228"/>
      <c r="E26" s="231"/>
      <c r="F26" s="229"/>
      <c r="G26" s="233"/>
    </row>
    <row r="27" spans="1:7" s="204" customFormat="1" ht="24.75">
      <c r="A27" s="245" t="s">
        <v>1511</v>
      </c>
      <c r="B27" s="234" t="s">
        <v>1512</v>
      </c>
      <c r="C27" s="235">
        <f ca="1">C28</f>
        <v>25141</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ROUND((C5+C19+C20)*F27*'数据-取费表'!B21/'数据-取费表'!B20,0)</f>
        <v>25141</v>
      </c>
      <c r="D28" s="225"/>
      <c r="E28" s="226"/>
      <c r="F28" s="236"/>
      <c r="G28" s="237"/>
    </row>
    <row r="29" spans="1:7" s="204" customFormat="1" ht="13.5" customHeight="1">
      <c r="A29" s="767" t="s">
        <v>347</v>
      </c>
      <c r="B29" s="238" t="s">
        <v>1516</v>
      </c>
      <c r="C29" s="228">
        <f ca="1">ROUND(C21*F27*'数据-取费表'!B21/'数据-取费表'!B20,4)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178121</v>
      </c>
      <c r="D31" s="220"/>
      <c r="E31" s="201"/>
      <c r="F31" s="240"/>
      <c r="G31" s="224" t="s">
        <v>1521</v>
      </c>
    </row>
    <row r="32" spans="1:7" s="198" customFormat="1" ht="15.75">
      <c r="A32" s="242" t="s">
        <v>1522</v>
      </c>
      <c r="B32" s="243"/>
      <c r="C32" s="243"/>
      <c r="D32" s="243"/>
      <c r="E32" s="243"/>
      <c r="F32" s="243"/>
      <c r="G32" s="244"/>
    </row>
    <row r="33" spans="1:7" s="204" customFormat="1" ht="13.5" customHeight="1">
      <c r="A33" s="245" t="s">
        <v>337</v>
      </c>
      <c r="B33" s="200" t="s">
        <v>1523</v>
      </c>
      <c r="C33" s="246">
        <f ca="1">SUM(C34:C38)</f>
        <v>85729</v>
      </c>
      <c r="D33" s="222"/>
      <c r="E33" s="202"/>
      <c r="F33" s="231"/>
      <c r="G33" s="224"/>
    </row>
    <row r="34" spans="1:7" s="248" customFormat="1" ht="13.5" customHeight="1">
      <c r="A34" s="767" t="s">
        <v>346</v>
      </c>
      <c r="B34" s="205" t="s">
        <v>1524</v>
      </c>
      <c r="C34" s="210">
        <f ca="1">IF(B1="",IF(F34=100%,'数据-取费表'!M16,'数据-取费表'!O16),IF(F34=100%,INDIRECT("'数据-取费表'!m"&amp;$G$1)+INDIRECT("'数据-取费表'!t"&amp;$G$1),INDIRECT("'数据-取费表'!o"&amp;$G$1)+INDIRECT("'数据-取费表'!aq"&amp;$G$1)))</f>
        <v>78650</v>
      </c>
      <c r="D34" s="207"/>
      <c r="E34" s="210"/>
      <c r="F34" s="247">
        <f ca="1">IF('数据-取费表'!B24=0,1,IF(B1="",'数据-取费表'!N16,INDIRECT("'数据-取费表'!n"&amp;$G$1)))</f>
        <v>1</v>
      </c>
      <c r="G34" s="209" t="s">
        <v>1525</v>
      </c>
    </row>
    <row r="35" spans="1:7" ht="13.5" customHeight="1">
      <c r="A35" s="767" t="s">
        <v>351</v>
      </c>
      <c r="B35" s="205" t="s">
        <v>1526</v>
      </c>
      <c r="C35" s="210">
        <f ca="1">ROUND(C34*F35,0)</f>
        <v>3933</v>
      </c>
      <c r="D35" s="210"/>
      <c r="E35" s="210"/>
      <c r="F35" s="249">
        <f>'数据-取费表'!B33</f>
        <v>0.05</v>
      </c>
      <c r="G35" s="209" t="s">
        <v>1527</v>
      </c>
    </row>
    <row r="36" spans="1:7" ht="24">
      <c r="A36" s="767" t="s">
        <v>352</v>
      </c>
      <c r="B36" s="205" t="s">
        <v>1528</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1529</v>
      </c>
    </row>
    <row r="37" spans="1:7" s="248" customFormat="1" ht="13.5" customHeight="1">
      <c r="A37" s="767" t="s">
        <v>353</v>
      </c>
      <c r="B37" s="205" t="s">
        <v>1530</v>
      </c>
      <c r="C37" s="239">
        <f ca="1">ROUND(E37*D37*F34/10000,0)</f>
        <v>1966</v>
      </c>
      <c r="D37" s="207">
        <f ca="1">D19</f>
        <v>98312.17</v>
      </c>
      <c r="E37" s="239">
        <f>'数据-取费表'!B35</f>
        <v>200</v>
      </c>
      <c r="F37" s="249"/>
      <c r="G37" s="251" t="s">
        <v>1531</v>
      </c>
    </row>
    <row r="38" spans="1:7" ht="13.5" customHeight="1">
      <c r="A38" s="767" t="s">
        <v>354</v>
      </c>
      <c r="B38" s="205" t="s">
        <v>1532</v>
      </c>
      <c r="C38" s="210">
        <f ca="1">ROUND(C34*F38,0)</f>
        <v>1180</v>
      </c>
      <c r="D38" s="210"/>
      <c r="E38" s="210"/>
      <c r="F38" s="249">
        <f>'数据-取费表'!B36</f>
        <v>1.4999999999999999E-2</v>
      </c>
      <c r="G38" s="209" t="s">
        <v>1527</v>
      </c>
    </row>
    <row r="39" spans="1:7" s="204" customFormat="1" ht="13.5" customHeight="1">
      <c r="A39" s="245" t="s">
        <v>1533</v>
      </c>
      <c r="B39" s="200" t="s">
        <v>1534</v>
      </c>
      <c r="C39" s="222">
        <f ca="1">ROUND(C33*F20,0)</f>
        <v>1715</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4565</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ROUND(IF('数据-取费表'!B22&lt;=1,C33*F22*'数据-取费表'!B21/2,C33*(POWER((1+F22),'数据-取费表'!B21/2)-1)),0)</f>
        <v>4475</v>
      </c>
      <c r="D42" s="228"/>
      <c r="E42" s="228"/>
      <c r="F42" s="229"/>
      <c r="G42" s="3747" t="s">
        <v>1543</v>
      </c>
    </row>
    <row r="43" spans="1:7" ht="13.5" customHeight="1">
      <c r="A43" s="767" t="s">
        <v>347</v>
      </c>
      <c r="B43" s="205" t="s">
        <v>1544</v>
      </c>
      <c r="C43" s="228">
        <f ca="1">ROUND(IF('数据-取费表'!B22&lt;=1,C39*F22*'数据-取费表'!B21/2,C39*(POWER((1+F22),'数据-取费表'!B21/2)-1)),0)</f>
        <v>90</v>
      </c>
      <c r="D43" s="228"/>
      <c r="E43" s="228"/>
      <c r="F43" s="229"/>
      <c r="G43" s="3748"/>
    </row>
    <row r="44" spans="1:7" ht="13.5" customHeight="1">
      <c r="A44" s="767" t="s">
        <v>348</v>
      </c>
      <c r="B44" s="205" t="s">
        <v>1545</v>
      </c>
      <c r="C44" s="228">
        <f ca="1">ROUND(IF('数据-取费表'!B22&lt;=1,C40*F22*'数据-取费表'!B21/2,C40*(POWER((1+F22),'数据-取费表'!B21/2)-1)),4)</f>
        <v>1E-3</v>
      </c>
      <c r="D44" s="228"/>
      <c r="E44" s="228"/>
      <c r="F44" s="229"/>
      <c r="G44" s="3749"/>
    </row>
    <row r="45" spans="1:7" s="204" customFormat="1" ht="13.5" customHeight="1">
      <c r="A45" s="245" t="s">
        <v>1546</v>
      </c>
      <c r="B45" s="234" t="s">
        <v>1512</v>
      </c>
      <c r="C45" s="235">
        <f ca="1">C46</f>
        <v>17489</v>
      </c>
      <c r="D45" s="225">
        <f ca="1">C47</f>
        <v>4.0000000000000001E-3</v>
      </c>
      <c r="E45" s="226" t="s">
        <v>1538</v>
      </c>
      <c r="F45" s="236">
        <f ca="1">F27</f>
        <v>0.2</v>
      </c>
      <c r="G45" s="237" t="s">
        <v>1547</v>
      </c>
    </row>
    <row r="46" spans="1:7" s="204" customFormat="1" ht="13.5" customHeight="1">
      <c r="A46" s="767" t="s">
        <v>346</v>
      </c>
      <c r="B46" s="238" t="s">
        <v>1548</v>
      </c>
      <c r="C46" s="239">
        <f ca="1">ROUND((C33+C39)*F27,0)</f>
        <v>17489</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1314">
        <f>ROUND(F30/(1+'数据-取费表'!C42),4)</f>
        <v>5.33E-2</v>
      </c>
      <c r="D48" s="226" t="s">
        <v>1538</v>
      </c>
      <c r="E48" s="222"/>
      <c r="F48" s="227">
        <f>F30</f>
        <v>5.6000000000000001E-2</v>
      </c>
      <c r="G48" s="224" t="s">
        <v>1551</v>
      </c>
    </row>
    <row r="49" spans="1:7" ht="16.5" customHeight="1">
      <c r="A49" s="245" t="s">
        <v>1517</v>
      </c>
      <c r="B49" s="200" t="s">
        <v>1552</v>
      </c>
      <c r="C49" s="222">
        <f ca="1">ROUND((C33+C39+C41+C45)/(1-C40-D41-D45-C48),0)</f>
        <v>118800</v>
      </c>
      <c r="D49" s="222"/>
      <c r="E49" s="222"/>
      <c r="F49" s="254"/>
      <c r="G49" s="224" t="s">
        <v>1553</v>
      </c>
    </row>
    <row r="50" spans="1:7" s="248" customFormat="1" ht="24">
      <c r="A50" s="245" t="s">
        <v>1554</v>
      </c>
      <c r="B50" s="200" t="s">
        <v>1555</v>
      </c>
      <c r="C50" s="222"/>
      <c r="D50" s="222"/>
      <c r="E50" s="222"/>
      <c r="F50" s="254">
        <f>IF('数据-取费表'!B24=0,'数据-取费表'!N16,1)</f>
        <v>0.85</v>
      </c>
      <c r="G50" s="237" t="s">
        <v>1556</v>
      </c>
    </row>
    <row r="51" spans="1:7" ht="16.5" customHeight="1">
      <c r="A51" s="245" t="s">
        <v>1557</v>
      </c>
      <c r="B51" s="200" t="s">
        <v>1558</v>
      </c>
      <c r="C51" s="222">
        <f ca="1">ROUND(C49*F50,0)</f>
        <v>100980</v>
      </c>
      <c r="D51" s="222"/>
      <c r="E51" s="222"/>
      <c r="F51" s="254"/>
      <c r="G51" s="224" t="s">
        <v>1559</v>
      </c>
    </row>
    <row r="52" spans="1:7" s="198" customFormat="1" ht="16.5" thickBot="1">
      <c r="A52" s="255" t="s">
        <v>1560</v>
      </c>
      <c r="B52" s="256"/>
      <c r="C52" s="257">
        <f ca="1">C31+C51</f>
        <v>279101</v>
      </c>
      <c r="D52" s="256"/>
      <c r="E52" s="256"/>
      <c r="F52" s="256"/>
      <c r="G52" s="258"/>
    </row>
    <row r="55" spans="1:7" ht="15">
      <c r="B55" s="260" t="s">
        <v>1561</v>
      </c>
      <c r="C55" s="261"/>
    </row>
    <row r="56" spans="1:7">
      <c r="B56" s="263" t="s">
        <v>802</v>
      </c>
      <c r="C56" s="265">
        <f ca="1">1-C57</f>
        <v>0.63800000000000001</v>
      </c>
    </row>
    <row r="57" spans="1:7">
      <c r="B57" s="263" t="s">
        <v>803</v>
      </c>
      <c r="C57" s="264">
        <f ca="1">ROUND(C51/C52,3)</f>
        <v>0.36199999999999999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40" customWidth="1"/>
    <col min="2" max="2" width="22.5" style="2131" customWidth="1"/>
    <col min="3" max="3" width="12" style="1985"/>
    <col min="4" max="4" width="14.875" style="1985" customWidth="1"/>
    <col min="5" max="5" width="14.625" style="1985" customWidth="1"/>
    <col min="6" max="8" width="12" style="1985"/>
    <col min="9" max="9" width="12.25" style="1985" bestFit="1" customWidth="1"/>
    <col min="10" max="10" width="12" style="1985"/>
    <col min="11" max="11" width="8.125" style="2036" customWidth="1"/>
    <col min="12" max="12" width="19.5" style="1985" customWidth="1"/>
    <col min="13" max="13" width="8.5" style="1985" customWidth="1"/>
    <col min="14" max="14" width="9.75" style="1985" customWidth="1"/>
    <col min="15" max="25" width="12" style="1985"/>
    <col min="26" max="26" width="9.375" style="2040" customWidth="1"/>
    <col min="27" max="32" width="9.375" style="1108" customWidth="1"/>
    <col min="33" max="36" width="9.375" style="2040" customWidth="1"/>
    <col min="37" max="38" width="9.375" style="1985" customWidth="1"/>
    <col min="39" max="16384" width="12" style="1985"/>
  </cols>
  <sheetData>
    <row r="1" spans="1:36" ht="28.5">
      <c r="A1" s="186" t="s">
        <v>1925</v>
      </c>
      <c r="B1" s="187"/>
      <c r="C1" s="191" t="s">
        <v>1926</v>
      </c>
      <c r="D1" s="332">
        <f>SUM(D33:D34,D37:D42)</f>
        <v>98312.17</v>
      </c>
      <c r="E1" s="1982"/>
      <c r="F1" s="1982"/>
      <c r="G1" s="1982"/>
      <c r="H1" s="1982"/>
      <c r="I1" s="1982"/>
      <c r="J1" s="1982"/>
      <c r="K1" s="1106"/>
      <c r="L1" s="1983" t="s">
        <v>1927</v>
      </c>
      <c r="M1" s="850">
        <f>SUMPRODUCT((区片价!B5:B9=I2)*(区片价!C3:G3=E2)*(区片价!C5:G9))</f>
        <v>0</v>
      </c>
      <c r="N1" s="853">
        <f>SUMPRODUCT((因素修正幅度!B5:B9=I2)*(因素修正幅度!C3:G3=E2)*(因素修正幅度!C5:G9))</f>
        <v>0</v>
      </c>
      <c r="O1" s="1984"/>
      <c r="P1" s="1984"/>
      <c r="Q1" s="1106"/>
      <c r="R1" s="1199" t="s">
        <v>1928</v>
      </c>
      <c r="S1" s="1199" t="s">
        <v>1929</v>
      </c>
      <c r="T1" s="1199" t="s">
        <v>1930</v>
      </c>
      <c r="U1" s="1199" t="s">
        <v>1931</v>
      </c>
      <c r="V1" s="1199" t="s">
        <v>1932</v>
      </c>
      <c r="W1" s="1203"/>
      <c r="X1" s="1203"/>
      <c r="Y1" s="1203"/>
      <c r="Z1" s="1203"/>
      <c r="AA1" s="1203"/>
      <c r="AB1" s="1203"/>
      <c r="AC1" s="1204"/>
      <c r="AD1" s="1205"/>
      <c r="AE1" s="1205"/>
      <c r="AF1" s="1205"/>
      <c r="AG1" s="1205"/>
      <c r="AH1" s="1205"/>
      <c r="AI1" s="1205"/>
      <c r="AJ1" s="1206"/>
    </row>
    <row r="2" spans="1:36" ht="15.75">
      <c r="A2" s="191" t="s">
        <v>1933</v>
      </c>
      <c r="B2" s="194">
        <f>C30</f>
        <v>117684</v>
      </c>
      <c r="C2" s="1986" t="s">
        <v>1934</v>
      </c>
      <c r="D2" s="1987" t="s">
        <v>1935</v>
      </c>
      <c r="E2" s="3399" t="s">
        <v>673</v>
      </c>
      <c r="F2" s="1987" t="s">
        <v>1936</v>
      </c>
      <c r="G2" s="1988" t="str">
        <f>IF(E2="商业",项目基本情况!B37,IF(E2="办公",项目基本情况!C37,IF(E2="住宅",项目基本情况!D37,IF(E2="工业",项目基本情况!E37,项目基本情况!F37))))</f>
        <v>四级</v>
      </c>
      <c r="H2" s="1987" t="s">
        <v>1937</v>
      </c>
      <c r="I2" s="1988" t="str">
        <f>IF(E2="商业",项目基本情况!B38,IF(E2="办公",项目基本情况!C38,IF(E2="住宅",项目基本情况!D38,IF(E2="工业",项目基本情况!E38,项目基本情况!F38))))</f>
        <v>Ⅳ-05</v>
      </c>
      <c r="J2" s="1989"/>
      <c r="K2" s="1106"/>
      <c r="L2" s="1990" t="s">
        <v>1938</v>
      </c>
      <c r="M2" s="851">
        <f>SUMPRODUCT((区片价!B10:B29=I2)*(区片价!C3:G3=E2)*(区片价!C10:G29))</f>
        <v>0</v>
      </c>
      <c r="N2" s="853">
        <f>SUMPRODUCT((因素修正幅度!B10:B29=I2)*(因素修正幅度!C3:G3=E2)*(因素修正幅度!C10:G29))</f>
        <v>0</v>
      </c>
      <c r="O2" s="1106"/>
      <c r="P2" s="1106"/>
      <c r="Q2" s="1106"/>
      <c r="R2" s="1199">
        <v>1</v>
      </c>
      <c r="S2" s="3338">
        <f>ROUND(SUMPRODUCT((B106:B110=R2)*(C105:N105=G2)*(C106:N110)),4)</f>
        <v>1.5019</v>
      </c>
      <c r="T2" s="3338">
        <f t="shared" ref="T2:T16" si="0">ROUND($C$5*$C$22*$C$23*$C$24*S2*$C$28,0)</f>
        <v>22786</v>
      </c>
      <c r="U2" s="1200"/>
      <c r="V2" s="3338">
        <f>ROUND(T2*U2/10000,0)</f>
        <v>0</v>
      </c>
      <c r="W2" s="1203"/>
      <c r="X2" s="1203"/>
      <c r="Y2" s="1203"/>
      <c r="Z2" s="1203"/>
      <c r="AA2" s="1203"/>
      <c r="AB2" s="1203"/>
      <c r="AC2" s="1204"/>
      <c r="AD2" s="1205"/>
      <c r="AE2" s="1205"/>
      <c r="AF2" s="1205"/>
      <c r="AG2" s="1205"/>
      <c r="AH2" s="1205"/>
      <c r="AI2" s="1205"/>
      <c r="AJ2" s="1206"/>
    </row>
    <row r="3" spans="1:36" ht="15.75">
      <c r="A3" s="193" t="s">
        <v>1939</v>
      </c>
      <c r="B3" s="194">
        <f>ROUND(B2*10000/D1,0)</f>
        <v>11970</v>
      </c>
      <c r="C3" s="1986" t="s">
        <v>1940</v>
      </c>
      <c r="D3" s="1987" t="s">
        <v>1941</v>
      </c>
      <c r="E3" s="3397" t="s">
        <v>2434</v>
      </c>
      <c r="F3" s="1991" t="s">
        <v>3402</v>
      </c>
      <c r="G3" s="739">
        <f>IF(F3="宗地容积率",'数据-汇总表'!I4,IF(F3="估价对象容积率",'数据-汇总表'!I6,'数据-汇总表'!I7))</f>
        <v>1.99</v>
      </c>
      <c r="H3" s="160" t="s">
        <v>1942</v>
      </c>
      <c r="I3" s="762"/>
      <c r="J3" s="1989" t="s">
        <v>1943</v>
      </c>
      <c r="K3" s="1106"/>
      <c r="L3" s="1990" t="s">
        <v>1944</v>
      </c>
      <c r="M3" s="851">
        <f>SUMPRODUCT((区片价!B30:B54=I2)*(区片价!C3:G3=E2)*(区片价!C30:G54))</f>
        <v>0</v>
      </c>
      <c r="N3" s="853">
        <f>SUMPRODUCT((因素修正幅度!B30:B54=I2)*(因素修正幅度!C3:G3=E2)*(因素修正幅度!C30:G54))</f>
        <v>0</v>
      </c>
      <c r="O3" s="1106"/>
      <c r="P3" s="1106"/>
      <c r="Q3" s="1106"/>
      <c r="R3" s="1199">
        <v>2</v>
      </c>
      <c r="S3" s="3338">
        <f>ROUND(SUMPRODUCT((B106:B110=R3)*(C105:N105=G2)*(C106:N110)),4)</f>
        <v>1.1838</v>
      </c>
      <c r="T3" s="3338">
        <f t="shared" si="0"/>
        <v>17960</v>
      </c>
      <c r="U3" s="1200"/>
      <c r="V3" s="3338">
        <f t="shared" ref="V3:V16" si="1">ROUND(T3*U3/10000,0)</f>
        <v>0</v>
      </c>
      <c r="W3" s="1203"/>
      <c r="X3" s="1203"/>
      <c r="Y3" s="1203"/>
      <c r="Z3" s="1203"/>
      <c r="AA3" s="1203"/>
      <c r="AB3" s="1203"/>
      <c r="AC3" s="1204"/>
      <c r="AD3" s="1205"/>
      <c r="AE3" s="1205"/>
      <c r="AF3" s="1205"/>
      <c r="AG3" s="1205"/>
      <c r="AH3" s="1205"/>
      <c r="AI3" s="1205"/>
      <c r="AJ3" s="1206"/>
    </row>
    <row r="4" spans="1:36" ht="15.75">
      <c r="A4" s="3835"/>
      <c r="B4" s="3836"/>
      <c r="C4" s="3836"/>
      <c r="D4" s="3837"/>
      <c r="E4" s="3837"/>
      <c r="F4" s="3837"/>
      <c r="G4" s="3837"/>
      <c r="H4" s="3837"/>
      <c r="I4" s="3837"/>
      <c r="J4" s="3838"/>
      <c r="K4" s="1106"/>
      <c r="L4" s="1990" t="s">
        <v>1945</v>
      </c>
      <c r="M4" s="851">
        <f>SUMPRODUCT((区片价!B55:B86=I2)*(区片价!C3:G3=E2)*(区片价!C55:G86))</f>
        <v>21000</v>
      </c>
      <c r="N4" s="853">
        <f>SUMPRODUCT((因素修正幅度!B55:B86=I2)*(因素修正幅度!C3:G3=E2)*(因素修正幅度!C55:G86))</f>
        <v>9.5000000000000001E-2</v>
      </c>
      <c r="O4" s="1106"/>
      <c r="P4" s="1106"/>
      <c r="Q4" s="1106"/>
      <c r="R4" s="1199">
        <v>3</v>
      </c>
      <c r="S4" s="3338">
        <f>ROUND(SUMPRODUCT((B106:B110=R4)*(C105:N105=G2)*(C106:N110)),4)</f>
        <v>1.0004999999999999</v>
      </c>
      <c r="T4" s="3338">
        <f t="shared" si="0"/>
        <v>15179</v>
      </c>
      <c r="U4" s="1200"/>
      <c r="V4" s="3338">
        <f t="shared" si="1"/>
        <v>0</v>
      </c>
      <c r="W4" s="1203"/>
      <c r="X4" s="1203"/>
      <c r="Y4" s="1203"/>
      <c r="Z4" s="1203"/>
      <c r="AA4" s="1203"/>
      <c r="AB4" s="1203"/>
      <c r="AC4" s="1204"/>
      <c r="AD4" s="1205"/>
      <c r="AE4" s="1205"/>
      <c r="AF4" s="1205"/>
      <c r="AG4" s="1205"/>
      <c r="AH4" s="1205"/>
      <c r="AI4" s="1205"/>
      <c r="AJ4" s="1206"/>
    </row>
    <row r="5" spans="1:36" s="2001" customFormat="1" ht="15.75" thickBot="1">
      <c r="A5" s="1992" t="s">
        <v>362</v>
      </c>
      <c r="B5" s="1993" t="s">
        <v>1946</v>
      </c>
      <c r="C5" s="740">
        <f>ROUND(IF(E2="商业",C6*C7*C17+C20,(IF(E2="住宅",C6*C13*C17+C20,IF(E2="办公",C6*C12*C17+C20,C6+C20)))),0)</f>
        <v>20980</v>
      </c>
      <c r="D5" s="1326">
        <f>ROUND(C6*C17+C20,0)</f>
        <v>20980</v>
      </c>
      <c r="E5" s="1326"/>
      <c r="F5" s="1994"/>
      <c r="G5" s="1995"/>
      <c r="H5" s="1995"/>
      <c r="I5" s="1995"/>
      <c r="J5" s="1996"/>
      <c r="K5" s="1997"/>
      <c r="L5" s="1990" t="s">
        <v>1947</v>
      </c>
      <c r="M5" s="851">
        <f>SUMPRODUCT((区片价!B87:B126=I2)*(区片价!C3:G3=E2)*(区片价!C87:G126))</f>
        <v>0</v>
      </c>
      <c r="N5" s="853">
        <f>SUMPRODUCT((因素修正幅度!B87:B126=I2)*(因素修正幅度!C3:G3=E2)*(因素修正幅度!C87:G126))</f>
        <v>0</v>
      </c>
      <c r="O5" s="1106"/>
      <c r="P5" s="1106"/>
      <c r="Q5" s="1106"/>
      <c r="R5" s="1199">
        <v>4</v>
      </c>
      <c r="S5" s="3338">
        <f>ROUND(SUMPRODUCT((B106:B110=R5)*(C105:N105=G2)*(C106:N110)),4)</f>
        <v>0.88239999999999996</v>
      </c>
      <c r="T5" s="3338">
        <f t="shared" si="0"/>
        <v>13387</v>
      </c>
      <c r="U5" s="1200"/>
      <c r="V5" s="3338">
        <f t="shared" si="1"/>
        <v>0</v>
      </c>
      <c r="W5" s="1203"/>
      <c r="X5" s="1203"/>
      <c r="Y5" s="1203"/>
      <c r="Z5" s="1203"/>
      <c r="AA5" s="1203"/>
      <c r="AB5" s="1203"/>
      <c r="AC5" s="1998"/>
      <c r="AD5" s="1999"/>
      <c r="AE5" s="1999"/>
      <c r="AF5" s="1999"/>
      <c r="AG5" s="1999"/>
      <c r="AH5" s="1999"/>
      <c r="AI5" s="1999"/>
      <c r="AJ5" s="2000"/>
    </row>
    <row r="6" spans="1:36" ht="15.75" thickBot="1">
      <c r="A6" s="2002" t="s">
        <v>1948</v>
      </c>
      <c r="B6" s="2003" t="s">
        <v>1949</v>
      </c>
      <c r="C6" s="741">
        <f>SUMIF(L1:L12,G2,M1:M12)</f>
        <v>21000</v>
      </c>
      <c r="D6" s="2004"/>
      <c r="E6" s="2005"/>
      <c r="F6" s="2005"/>
      <c r="G6" s="2006"/>
      <c r="H6" s="2006"/>
      <c r="I6" s="2006"/>
      <c r="J6" s="2007"/>
      <c r="K6" s="1371"/>
      <c r="L6" s="1990" t="s">
        <v>1950</v>
      </c>
      <c r="M6" s="851">
        <f>SUMPRODUCT((区片价!B127:B189=I2)*(区片价!C3:G3=E2)*(区片价!C127:G189))</f>
        <v>0</v>
      </c>
      <c r="N6" s="853">
        <f>SUMPRODUCT((因素修正幅度!B127:B189=I2)*(因素修正幅度!C3:G3=E2)*(因素修正幅度!C127:G189))</f>
        <v>0</v>
      </c>
      <c r="O6" s="1106"/>
      <c r="P6" s="1106"/>
      <c r="Q6" s="1106"/>
      <c r="R6" s="1199">
        <v>5</v>
      </c>
      <c r="S6" s="3338">
        <f>ROUND(SUMPRODUCT((B106:B110=R6)*(C105:N105=G2)*(C106:N110)),4)</f>
        <v>0.84799999999999998</v>
      </c>
      <c r="T6" s="3338">
        <f t="shared" si="0"/>
        <v>12865</v>
      </c>
      <c r="U6" s="1200"/>
      <c r="V6" s="3338">
        <f t="shared" si="1"/>
        <v>0</v>
      </c>
      <c r="W6" s="1203"/>
      <c r="X6" s="1203"/>
      <c r="Y6" s="1203"/>
      <c r="Z6" s="1203"/>
      <c r="AA6" s="1203"/>
      <c r="AB6" s="1203"/>
      <c r="AC6" s="1998"/>
      <c r="AD6" s="1999"/>
      <c r="AE6" s="1999"/>
      <c r="AF6" s="1999"/>
      <c r="AG6" s="1999"/>
      <c r="AH6" s="1999"/>
      <c r="AI6" s="1999"/>
      <c r="AJ6" s="2000"/>
    </row>
    <row r="7" spans="1:36" ht="24.75" thickBot="1">
      <c r="A7" s="3281" t="s">
        <v>3232</v>
      </c>
      <c r="B7" s="2008" t="s">
        <v>1951</v>
      </c>
      <c r="C7" s="742">
        <f>IF(C8="不临65条商业街",1,ROUND(1+(1.6*E8+1.2*E9+0.8*E10+0.4*E11)*C9,4))</f>
        <v>1</v>
      </c>
      <c r="D7" s="2009" t="s">
        <v>1952</v>
      </c>
      <c r="E7" s="763"/>
      <c r="F7" s="2010"/>
      <c r="G7" s="2011"/>
      <c r="H7" s="2011"/>
      <c r="I7" s="2011"/>
      <c r="J7" s="2012"/>
      <c r="K7" s="1371"/>
      <c r="L7" s="1990" t="s">
        <v>1953</v>
      </c>
      <c r="M7" s="851">
        <f>SUMPRODUCT((区片价!B190:B233=I2)*(区片价!C3:G3=E2)*(区片价!C190:G233))</f>
        <v>0</v>
      </c>
      <c r="N7" s="853">
        <f>SUMPRODUCT((因素修正幅度!B190:B233=I2)*(因素修正幅度!C3:G3=E2)*(因素修正幅度!C190:G233))</f>
        <v>0</v>
      </c>
      <c r="O7" s="1106"/>
      <c r="P7" s="1106"/>
      <c r="Q7" s="1106"/>
      <c r="R7" s="1199">
        <v>6</v>
      </c>
      <c r="S7" s="3396"/>
      <c r="T7" s="3338">
        <f t="shared" si="0"/>
        <v>0</v>
      </c>
      <c r="U7" s="1200"/>
      <c r="V7" s="3338">
        <f t="shared" si="1"/>
        <v>0</v>
      </c>
      <c r="W7" s="1345" t="s">
        <v>1954</v>
      </c>
      <c r="X7" s="1201" t="str">
        <f>G2</f>
        <v>四级</v>
      </c>
      <c r="Y7" s="1201" t="s">
        <v>1955</v>
      </c>
      <c r="Z7" s="1202">
        <f>G3</f>
        <v>1.99</v>
      </c>
      <c r="AA7" s="1203"/>
      <c r="AB7" s="1203"/>
      <c r="AC7" s="1204"/>
      <c r="AD7" s="1205"/>
      <c r="AE7" s="1205"/>
      <c r="AF7" s="1205"/>
      <c r="AG7" s="1205"/>
      <c r="AH7" s="1205"/>
      <c r="AI7" s="1205"/>
      <c r="AJ7" s="1206"/>
    </row>
    <row r="8" spans="1:36" ht="25.5">
      <c r="A8" s="3276"/>
      <c r="B8" s="160" t="s">
        <v>1956</v>
      </c>
      <c r="C8" s="2013" t="s">
        <v>3388</v>
      </c>
      <c r="D8" s="743" t="s">
        <v>112</v>
      </c>
      <c r="E8" s="744" t="e">
        <f>ROUND(C11/E7,4)</f>
        <v>#DIV/0!</v>
      </c>
      <c r="F8" s="2014" t="s">
        <v>1957</v>
      </c>
      <c r="G8" s="2015"/>
      <c r="H8" s="2015"/>
      <c r="I8" s="2015"/>
      <c r="J8" s="2016"/>
      <c r="K8" s="1106"/>
      <c r="L8" s="1990" t="s">
        <v>1958</v>
      </c>
      <c r="M8" s="851">
        <f>SUMPRODUCT((区片价!B234:B276=I2)*(区片价!C3:G3=E2)*(区片价!C234:G276))</f>
        <v>0</v>
      </c>
      <c r="N8" s="853">
        <f>SUMPRODUCT((因素修正幅度!B234:B276=I2)*(因素修正幅度!C3:G3=E2)*(因素修正幅度!C234:G276))</f>
        <v>0</v>
      </c>
      <c r="O8" s="1106"/>
      <c r="P8" s="1106"/>
      <c r="Q8" s="1106"/>
      <c r="R8" s="1199">
        <v>7</v>
      </c>
      <c r="S8" s="1200"/>
      <c r="T8" s="3338">
        <f t="shared" si="0"/>
        <v>0</v>
      </c>
      <c r="U8" s="1200"/>
      <c r="V8" s="3338">
        <f t="shared" si="1"/>
        <v>0</v>
      </c>
      <c r="W8" s="3832" t="s">
        <v>1959</v>
      </c>
      <c r="X8" s="3833"/>
      <c r="Y8" s="1207" t="s">
        <v>1960</v>
      </c>
      <c r="Z8" s="1207" t="s">
        <v>1961</v>
      </c>
      <c r="AA8" s="1207" t="s">
        <v>1962</v>
      </c>
      <c r="AB8" s="1207" t="s">
        <v>1963</v>
      </c>
      <c r="AC8" s="1207" t="s">
        <v>1964</v>
      </c>
      <c r="AD8" s="1207" t="s">
        <v>1965</v>
      </c>
      <c r="AE8" s="1207" t="s">
        <v>1966</v>
      </c>
      <c r="AF8" s="1207" t="s">
        <v>1967</v>
      </c>
      <c r="AG8" s="1207" t="s">
        <v>1968</v>
      </c>
      <c r="AH8" s="1207" t="s">
        <v>1969</v>
      </c>
      <c r="AI8" s="1207" t="s">
        <v>1970</v>
      </c>
      <c r="AJ8" s="1207" t="s">
        <v>1971</v>
      </c>
    </row>
    <row r="9" spans="1:36" ht="15">
      <c r="A9" s="3276"/>
      <c r="B9" s="160" t="s">
        <v>1972</v>
      </c>
      <c r="C9" s="745">
        <f>SUMIF(修正!C71:C138,C8,修正!E71:E138)</f>
        <v>0</v>
      </c>
      <c r="D9" s="161" t="s">
        <v>113</v>
      </c>
      <c r="E9" s="161" t="e">
        <f>ROUND(C11/E7,4)</f>
        <v>#DIV/0!</v>
      </c>
      <c r="F9" s="2014" t="s">
        <v>1973</v>
      </c>
      <c r="G9" s="2015"/>
      <c r="H9" s="2015"/>
      <c r="I9" s="2015"/>
      <c r="J9" s="2016"/>
      <c r="K9" s="1106"/>
      <c r="L9" s="1990" t="s">
        <v>1974</v>
      </c>
      <c r="M9" s="851">
        <f>SUMPRODUCT((区片价!B277:B326=I2)*(区片价!C3:G3=E2)*(区片价!C277:G326))</f>
        <v>0</v>
      </c>
      <c r="N9" s="853">
        <f>SUMPRODUCT((因素修正幅度!B277:B326=I2)*(因素修正幅度!C3:G3=E2)*(因素修正幅度!C277:G326))</f>
        <v>0</v>
      </c>
      <c r="O9" s="1106"/>
      <c r="P9" s="1106"/>
      <c r="Q9" s="1106"/>
      <c r="R9" s="1199">
        <v>8</v>
      </c>
      <c r="S9" s="1200"/>
      <c r="T9" s="3338">
        <f t="shared" si="0"/>
        <v>0</v>
      </c>
      <c r="U9" s="1200"/>
      <c r="V9" s="3338">
        <f t="shared" si="1"/>
        <v>0</v>
      </c>
      <c r="W9" s="3834"/>
      <c r="X9" s="3339" t="s">
        <v>3263</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60" t="s">
        <v>1975</v>
      </c>
      <c r="C10" s="161">
        <f>SUMIF(修正!C71:C138,C8,修正!F71:F138)</f>
        <v>0</v>
      </c>
      <c r="D10" s="161" t="s">
        <v>114</v>
      </c>
      <c r="E10" s="161" t="e">
        <f>ROUND(C11/E7,4)</f>
        <v>#DIV/0!</v>
      </c>
      <c r="F10" s="2014" t="s">
        <v>1976</v>
      </c>
      <c r="G10" s="2015"/>
      <c r="H10" s="2015"/>
      <c r="I10" s="2015"/>
      <c r="J10" s="2016"/>
      <c r="K10" s="1106"/>
      <c r="L10" s="1990" t="s">
        <v>1977</v>
      </c>
      <c r="M10" s="851">
        <f>SUMPRODUCT((区片价!B327:B357=I2)*(区片价!C3:G3=E2)*(区片价!C327:G357))</f>
        <v>0</v>
      </c>
      <c r="N10" s="853">
        <f>SUMPRODUCT((因素修正幅度!B327:B357=I2)*(因素修正幅度!C3:G3=E2)*(因素修正幅度!C327:G357))</f>
        <v>0</v>
      </c>
      <c r="O10" s="1106"/>
      <c r="P10" s="1106"/>
      <c r="Q10" s="1106"/>
      <c r="R10" s="1199">
        <v>9</v>
      </c>
      <c r="S10" s="1200"/>
      <c r="T10" s="3338">
        <f t="shared" si="0"/>
        <v>0</v>
      </c>
      <c r="U10" s="1200"/>
      <c r="V10" s="3338">
        <f t="shared" si="1"/>
        <v>0</v>
      </c>
      <c r="W10" s="3834"/>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17" t="s">
        <v>1978</v>
      </c>
      <c r="C11" s="746">
        <f>C10/4</f>
        <v>0</v>
      </c>
      <c r="D11" s="746" t="s">
        <v>115</v>
      </c>
      <c r="E11" s="746" t="e">
        <f>ROUND(C11/E7,4)</f>
        <v>#DIV/0!</v>
      </c>
      <c r="F11" s="2018" t="s">
        <v>1979</v>
      </c>
      <c r="G11" s="2019"/>
      <c r="H11" s="2019"/>
      <c r="I11" s="2019"/>
      <c r="J11" s="2020"/>
      <c r="K11" s="1106"/>
      <c r="L11" s="1990" t="s">
        <v>1980</v>
      </c>
      <c r="M11" s="851">
        <f>SUMPRODUCT((区片价!B358:B377=I2)*(区片价!C3:G3=E2)*(区片价!C358:G377))</f>
        <v>0</v>
      </c>
      <c r="N11" s="853">
        <f>SUMPRODUCT((因素修正幅度!B358:B377=I2)*(因素修正幅度!C3:G3=E2)*(因素修正幅度!C358:G377))</f>
        <v>0</v>
      </c>
      <c r="O11" s="1106"/>
      <c r="P11" s="1106"/>
      <c r="Q11" s="1106"/>
      <c r="R11" s="1199">
        <v>10</v>
      </c>
      <c r="S11" s="1200"/>
      <c r="T11" s="3338">
        <f t="shared" si="0"/>
        <v>0</v>
      </c>
      <c r="U11" s="1200"/>
      <c r="V11" s="3338">
        <f t="shared" si="1"/>
        <v>0</v>
      </c>
      <c r="W11" s="1203"/>
      <c r="X11" s="1203"/>
      <c r="Y11" s="1203"/>
      <c r="Z11" s="1203"/>
      <c r="AA11" s="1203"/>
      <c r="AB11" s="1203"/>
      <c r="AC11" s="1204"/>
      <c r="AD11" s="2773"/>
      <c r="AE11" s="2773"/>
      <c r="AF11" s="2773"/>
      <c r="AG11" s="2773"/>
      <c r="AH11" s="2773"/>
      <c r="AI11" s="2773"/>
      <c r="AJ11" s="2774"/>
    </row>
    <row r="12" spans="1:36" ht="25.5" thickBot="1">
      <c r="A12" s="3281" t="s">
        <v>3233</v>
      </c>
      <c r="B12" s="3282" t="s">
        <v>3234</v>
      </c>
      <c r="C12" s="3283"/>
      <c r="D12" s="3284" t="s">
        <v>3235</v>
      </c>
      <c r="E12" s="3285" t="s">
        <v>3236</v>
      </c>
      <c r="F12" s="3286"/>
      <c r="G12" s="3287"/>
      <c r="H12" s="3287"/>
      <c r="I12" s="3287"/>
      <c r="J12" s="3288"/>
      <c r="K12" s="1106"/>
      <c r="L12" s="2026" t="s">
        <v>1983</v>
      </c>
      <c r="M12" s="852">
        <f>SUMPRODUCT((区片价!B378:B384=I2)*(区片价!C3:G3=E2)*(区片价!C378:G384))</f>
        <v>0</v>
      </c>
      <c r="N12" s="853">
        <f>SUMPRODUCT((因素修正幅度!B378:B384=I2)*(因素修正幅度!C3:G3=E2)*(因素修正幅度!C378:G384))</f>
        <v>0</v>
      </c>
      <c r="O12" s="1106"/>
      <c r="P12" s="1106"/>
      <c r="Q12" s="1106"/>
      <c r="R12" s="1199">
        <v>11</v>
      </c>
      <c r="S12" s="1200"/>
      <c r="T12" s="3338">
        <f t="shared" si="0"/>
        <v>0</v>
      </c>
      <c r="U12" s="1200"/>
      <c r="V12" s="3338">
        <f t="shared" si="1"/>
        <v>0</v>
      </c>
      <c r="W12" s="1203"/>
      <c r="X12" s="1203"/>
      <c r="Y12" s="1203"/>
      <c r="Z12" s="1203"/>
      <c r="AA12" s="1203"/>
      <c r="AB12" s="1203"/>
      <c r="AC12" s="1204"/>
      <c r="AD12" s="2773"/>
      <c r="AE12" s="2773"/>
      <c r="AF12" s="2773"/>
      <c r="AG12" s="2773"/>
      <c r="AH12" s="2773"/>
      <c r="AI12" s="2773"/>
      <c r="AJ12" s="2774"/>
    </row>
    <row r="13" spans="1:36" ht="15.75" thickBot="1">
      <c r="A13" s="3281" t="s">
        <v>3237</v>
      </c>
      <c r="B13" s="2021" t="s">
        <v>1981</v>
      </c>
      <c r="C13" s="742">
        <f>ROUND(C16*D16*E16*F16*G16*H16*I16*J16,4)</f>
        <v>0</v>
      </c>
      <c r="D13" s="2022" t="s">
        <v>1982</v>
      </c>
      <c r="E13" s="2023"/>
      <c r="F13" s="2023"/>
      <c r="G13" s="2024"/>
      <c r="H13" s="2024"/>
      <c r="I13" s="2024"/>
      <c r="J13" s="2025"/>
      <c r="K13" s="1106"/>
      <c r="L13" s="3277"/>
      <c r="M13" s="3278"/>
      <c r="N13" s="3279"/>
      <c r="O13" s="1106"/>
      <c r="P13" s="1106"/>
      <c r="Q13" s="1106"/>
      <c r="R13" s="1199">
        <v>12</v>
      </c>
      <c r="S13" s="1200"/>
      <c r="T13" s="3338">
        <f t="shared" si="0"/>
        <v>0</v>
      </c>
      <c r="U13" s="1200"/>
      <c r="V13" s="3338">
        <f t="shared" si="1"/>
        <v>0</v>
      </c>
      <c r="W13" s="1203"/>
      <c r="X13" s="1203"/>
      <c r="Y13" s="1203"/>
      <c r="Z13" s="1203"/>
      <c r="AA13" s="1203"/>
      <c r="AB13" s="1203"/>
      <c r="AC13" s="1204"/>
      <c r="AD13" s="2773"/>
      <c r="AE13" s="2773"/>
      <c r="AF13" s="2773"/>
      <c r="AG13" s="2773"/>
      <c r="AH13" s="2773"/>
      <c r="AI13" s="2773"/>
      <c r="AJ13" s="2774"/>
    </row>
    <row r="14" spans="1:36" ht="15">
      <c r="A14" s="3275"/>
      <c r="B14" s="2027" t="s">
        <v>1984</v>
      </c>
      <c r="C14" s="2028" t="s">
        <v>1985</v>
      </c>
      <c r="D14" s="1337" t="s">
        <v>1986</v>
      </c>
      <c r="E14" s="27" t="s">
        <v>1987</v>
      </c>
      <c r="F14" s="3289" t="s">
        <v>3238</v>
      </c>
      <c r="G14" s="3289" t="s">
        <v>3238</v>
      </c>
      <c r="H14" s="3289" t="s">
        <v>3238</v>
      </c>
      <c r="I14" s="3289" t="s">
        <v>3238</v>
      </c>
      <c r="J14" s="3289" t="s">
        <v>3238</v>
      </c>
      <c r="K14" s="1106"/>
      <c r="L14" s="1106"/>
      <c r="M14" s="1106"/>
      <c r="N14" s="1106"/>
      <c r="O14" s="1106"/>
      <c r="P14" s="1106"/>
      <c r="Q14" s="1106"/>
      <c r="R14" s="1199">
        <v>13</v>
      </c>
      <c r="S14" s="1200"/>
      <c r="T14" s="3338">
        <f t="shared" si="0"/>
        <v>0</v>
      </c>
      <c r="U14" s="1200"/>
      <c r="V14" s="3338">
        <f t="shared" si="1"/>
        <v>0</v>
      </c>
      <c r="W14" s="1203"/>
      <c r="X14" s="1203"/>
      <c r="Y14" s="1203"/>
      <c r="Z14" s="1203"/>
      <c r="AA14" s="1203"/>
      <c r="AB14" s="1203"/>
      <c r="AC14" s="1204"/>
      <c r="AD14" s="2773"/>
      <c r="AE14" s="2773"/>
      <c r="AF14" s="2773"/>
      <c r="AG14" s="2773"/>
      <c r="AH14" s="2773"/>
      <c r="AI14" s="2773"/>
      <c r="AJ14" s="2774"/>
    </row>
    <row r="15" spans="1:36" ht="15">
      <c r="A15" s="3275"/>
      <c r="B15" s="2029"/>
      <c r="C15" s="2030"/>
      <c r="D15" s="2031"/>
      <c r="E15" s="2032"/>
      <c r="F15" s="3290" t="s">
        <v>3239</v>
      </c>
      <c r="G15" s="3291"/>
      <c r="H15" s="3292"/>
      <c r="I15" s="3293"/>
      <c r="J15" s="3294"/>
      <c r="K15" s="1106"/>
      <c r="L15" s="1106"/>
      <c r="M15" s="1106"/>
      <c r="N15" s="1106"/>
      <c r="O15" s="1106"/>
      <c r="P15" s="1106"/>
      <c r="Q15" s="1106"/>
      <c r="R15" s="1199">
        <v>14</v>
      </c>
      <c r="S15" s="1200"/>
      <c r="T15" s="3338">
        <f t="shared" si="0"/>
        <v>0</v>
      </c>
      <c r="U15" s="1200"/>
      <c r="V15" s="3338">
        <f t="shared" si="1"/>
        <v>0</v>
      </c>
      <c r="W15" s="1203"/>
      <c r="X15" s="1203"/>
      <c r="Y15" s="1203"/>
      <c r="Z15" s="1203"/>
      <c r="AA15" s="1203"/>
      <c r="AB15" s="1203"/>
      <c r="AC15" s="1204"/>
      <c r="AD15" s="2773"/>
      <c r="AE15" s="2773"/>
      <c r="AF15" s="2773"/>
      <c r="AG15" s="2773"/>
      <c r="AH15" s="2773"/>
      <c r="AI15" s="2773"/>
      <c r="AJ15" s="2774"/>
    </row>
    <row r="16" spans="1:36" ht="15.75" thickBot="1">
      <c r="A16" s="3275"/>
      <c r="B16" s="3297" t="s">
        <v>1988</v>
      </c>
      <c r="C16" s="3295"/>
      <c r="D16" s="3295"/>
      <c r="E16" s="3295"/>
      <c r="F16" s="3295">
        <v>1</v>
      </c>
      <c r="G16" s="3295">
        <v>1</v>
      </c>
      <c r="H16" s="3295">
        <v>1</v>
      </c>
      <c r="I16" s="3295">
        <v>1</v>
      </c>
      <c r="J16" s="3296">
        <v>1</v>
      </c>
      <c r="K16" s="1106"/>
      <c r="L16" s="1984"/>
      <c r="M16" s="1984"/>
      <c r="N16" s="1984"/>
      <c r="O16" s="1984"/>
      <c r="P16" s="1984"/>
      <c r="Q16" s="1106"/>
      <c r="R16" s="1199">
        <v>15</v>
      </c>
      <c r="S16" s="1200"/>
      <c r="T16" s="3338">
        <f t="shared" si="0"/>
        <v>0</v>
      </c>
      <c r="U16" s="1200"/>
      <c r="V16" s="3338">
        <f t="shared" si="1"/>
        <v>0</v>
      </c>
      <c r="W16" s="1203"/>
      <c r="X16" s="1203"/>
      <c r="Y16" s="1203"/>
      <c r="Z16" s="1203"/>
      <c r="AA16" s="1203"/>
      <c r="AB16" s="1203"/>
      <c r="AC16" s="1204"/>
      <c r="AD16" s="2773"/>
      <c r="AE16" s="2773"/>
      <c r="AF16" s="2773"/>
      <c r="AG16" s="2773"/>
      <c r="AH16" s="2773"/>
      <c r="AI16" s="2773"/>
      <c r="AJ16" s="2774"/>
    </row>
    <row r="17" spans="1:37">
      <c r="A17" s="3307" t="s">
        <v>3240</v>
      </c>
      <c r="B17" s="3298" t="s">
        <v>3241</v>
      </c>
      <c r="C17" s="3308">
        <f>ROUND(IF(OR(E2="工业",E2="公共服务"),1,IF(AND(E18=0,E19=0),1,IF(AND(E18=J24,E19=G19),0.8,IF(E19=0,1+E17*(-0.2),1+E17*G17*(-0.2))))),4)</f>
        <v>1</v>
      </c>
      <c r="D17" s="3299" t="s">
        <v>3242</v>
      </c>
      <c r="E17" s="3308">
        <f>ROUND(G18/I18,2)</f>
        <v>0</v>
      </c>
      <c r="F17" s="3299" t="s">
        <v>3245</v>
      </c>
      <c r="G17" s="3308" t="e">
        <f>ROUND(E19/G19,2)</f>
        <v>#DIV/0!</v>
      </c>
      <c r="H17" s="3308"/>
      <c r="I17" s="3308"/>
      <c r="J17" s="3309"/>
      <c r="K17" s="1106"/>
      <c r="L17" s="1984"/>
      <c r="M17" s="1984"/>
      <c r="N17" s="1984"/>
      <c r="O17" s="1984"/>
      <c r="P17" s="1984"/>
      <c r="Q17" s="1106"/>
      <c r="R17" s="1106"/>
      <c r="S17" s="1106"/>
      <c r="T17" s="1106"/>
      <c r="U17" s="1106"/>
      <c r="V17" s="1106"/>
      <c r="W17" s="1106"/>
      <c r="X17" s="1106"/>
      <c r="Y17" s="1106"/>
      <c r="Z17" s="1107"/>
      <c r="AA17" s="1107"/>
      <c r="AB17" s="1107"/>
      <c r="AC17" s="1107"/>
      <c r="AD17" s="1107"/>
      <c r="AE17" s="1106"/>
      <c r="AF17" s="1106"/>
      <c r="AG17" s="1984"/>
      <c r="AH17" s="1984"/>
      <c r="AI17" s="1984"/>
      <c r="AJ17" s="1984"/>
    </row>
    <row r="18" spans="1:37" s="2001" customFormat="1" ht="14.25">
      <c r="A18" s="3310"/>
      <c r="B18" s="2987"/>
      <c r="C18" s="3305"/>
      <c r="D18" s="3300" t="s">
        <v>3243</v>
      </c>
      <c r="E18" s="3306"/>
      <c r="F18" s="3301" t="s">
        <v>3246</v>
      </c>
      <c r="G18" s="3305">
        <f>ROUND(1-(1/(POWER(1+G24,E18))),4)</f>
        <v>0</v>
      </c>
      <c r="H18" s="3301" t="s">
        <v>3248</v>
      </c>
      <c r="I18" s="3305">
        <f>ROUND(1-(1/(POWER(1+G24,J24))),4)</f>
        <v>0.88249999999999995</v>
      </c>
      <c r="J18" s="3311"/>
      <c r="K18" s="1106"/>
      <c r="L18" s="1984"/>
      <c r="M18" s="1984"/>
      <c r="N18" s="1984"/>
      <c r="O18" s="1984"/>
      <c r="P18" s="1984"/>
      <c r="Q18" s="1106"/>
      <c r="R18" s="1111"/>
      <c r="S18" s="1111"/>
      <c r="T18" s="1107"/>
      <c r="U18" s="1107"/>
      <c r="V18" s="1107"/>
      <c r="W18" s="1106"/>
      <c r="X18" s="1106"/>
      <c r="Y18" s="1106"/>
      <c r="Z18" s="1112"/>
      <c r="AA18" s="1112"/>
      <c r="AB18" s="1112"/>
      <c r="AC18" s="1112"/>
      <c r="AD18" s="1112"/>
      <c r="AE18" s="1107"/>
      <c r="AF18" s="1107"/>
      <c r="AG18" s="2128"/>
      <c r="AH18" s="2128"/>
      <c r="AI18" s="2128"/>
      <c r="AJ18" s="2772"/>
    </row>
    <row r="19" spans="1:37" s="2001" customFormat="1" ht="15" thickBot="1">
      <c r="A19" s="3312"/>
      <c r="B19" s="3313"/>
      <c r="C19" s="3314"/>
      <c r="D19" s="3314" t="s">
        <v>3244</v>
      </c>
      <c r="E19" s="3315"/>
      <c r="F19" s="3316" t="s">
        <v>3247</v>
      </c>
      <c r="G19" s="3315"/>
      <c r="H19" s="3314"/>
      <c r="I19" s="3314"/>
      <c r="J19" s="3317"/>
      <c r="K19" s="1106"/>
      <c r="L19" s="1984"/>
      <c r="M19" s="1984"/>
      <c r="N19" s="1984"/>
      <c r="O19" s="1984"/>
      <c r="P19" s="1984"/>
      <c r="Q19" s="1111"/>
      <c r="R19" s="1111"/>
      <c r="S19" s="1111"/>
      <c r="T19" s="1107"/>
      <c r="U19" s="1107"/>
      <c r="V19" s="1107"/>
      <c r="W19" s="1106"/>
      <c r="X19" s="1106"/>
      <c r="Y19" s="1106"/>
      <c r="Z19" s="1112"/>
      <c r="AA19" s="1112"/>
      <c r="AB19" s="1112"/>
      <c r="AC19" s="1112"/>
      <c r="AD19" s="1112"/>
      <c r="AE19" s="1112"/>
      <c r="AF19" s="1111"/>
      <c r="AG19" s="2775"/>
      <c r="AH19" s="2128"/>
      <c r="AI19" s="2776"/>
      <c r="AJ19" s="2776"/>
      <c r="AK19" s="2044"/>
    </row>
    <row r="20" spans="1:37" s="2001" customFormat="1" ht="14.25">
      <c r="A20" s="3839" t="s">
        <v>3249</v>
      </c>
      <c r="B20" s="157" t="s">
        <v>1993</v>
      </c>
      <c r="C20" s="3302">
        <f>ROUND(IF(F21="与级别开发程度一致",0,(G21-E21)/C21),0)</f>
        <v>-20</v>
      </c>
      <c r="D20" s="3318" t="s">
        <v>1997</v>
      </c>
      <c r="E20" s="3319"/>
      <c r="F20" s="3845" t="s">
        <v>1994</v>
      </c>
      <c r="G20" s="3846"/>
      <c r="H20" s="3303" t="s">
        <v>3377</v>
      </c>
      <c r="I20" s="3303" t="s">
        <v>3378</v>
      </c>
      <c r="J20" s="3304" t="s">
        <v>3379</v>
      </c>
      <c r="K20" s="2034" t="s">
        <v>3380</v>
      </c>
      <c r="L20" s="2034" t="s">
        <v>3381</v>
      </c>
      <c r="M20" s="2034" t="s">
        <v>3401</v>
      </c>
      <c r="N20" s="2034" t="s">
        <v>3824</v>
      </c>
      <c r="O20" s="2035"/>
      <c r="P20" s="1984"/>
      <c r="Q20" s="1111"/>
      <c r="R20" s="1111"/>
      <c r="S20" s="1111"/>
      <c r="T20" s="1107"/>
      <c r="U20" s="1107"/>
      <c r="V20" s="1107"/>
      <c r="W20" s="1106"/>
      <c r="X20" s="1106"/>
      <c r="Y20" s="1106"/>
      <c r="Z20" s="1112"/>
      <c r="AA20" s="1112"/>
      <c r="AB20" s="1112"/>
      <c r="AC20" s="1112"/>
      <c r="AD20" s="1112"/>
      <c r="AE20" s="1112"/>
      <c r="AF20" s="1112"/>
      <c r="AG20" s="2772"/>
      <c r="AH20" s="2772"/>
      <c r="AI20" s="2772"/>
      <c r="AJ20" s="2772"/>
    </row>
    <row r="21" spans="1:37" s="2001" customFormat="1" ht="26.25" thickBot="1">
      <c r="A21" s="3840"/>
      <c r="B21" s="2151" t="s">
        <v>1996</v>
      </c>
      <c r="C21" s="2152">
        <f>IF(E3="M4科研用地",SUMPRODUCT((修正!A2:A7=E3)*(修正!B1:M1=G2)*(修正!B2:M7)),SUMPRODUCT((修正!A2:A7=E2)*(修正!B1:M1=G2)*(修正!B2:M7)))</f>
        <v>2.5</v>
      </c>
      <c r="D21" s="177" t="str">
        <f>IF(OR(G2="八级",G2="九级",G2="十级",G2="十一级",G2="十二级"),"五通一平","七通一平")</f>
        <v>七通一平</v>
      </c>
      <c r="E21" s="2142">
        <f>SUMPRODUCT((修正!B1:M1=G2)*(修正!B17:M17))</f>
        <v>315</v>
      </c>
      <c r="F21" s="2143" t="s">
        <v>3404</v>
      </c>
      <c r="G21" s="2144">
        <f>SUM(H21:O21)</f>
        <v>265</v>
      </c>
      <c r="H21" s="2152">
        <f>SUMPRODUCT((七通一平=H20)*(修正!B1:M1=G2)*(修正!B8:M16))</f>
        <v>70</v>
      </c>
      <c r="I21" s="2152">
        <f>SUMPRODUCT((七通一平=I20)*(修正!B1:M1=G2)*(修正!B8:M16))</f>
        <v>60</v>
      </c>
      <c r="J21" s="2153">
        <f>SUMPRODUCT((七通一平=J20)*(修正!B1:M1=G2)*(修正!B8:M16))</f>
        <v>15</v>
      </c>
      <c r="K21" s="2152">
        <f>SUMPRODUCT((七通一平=K20)*(修正!B1:M1=G2)*(修正!B8:M16))</f>
        <v>25</v>
      </c>
      <c r="L21" s="2152">
        <f>SUMPRODUCT((七通一平=L20)*(修正!B1:M1=G2)*(修正!B8:M16))</f>
        <v>40</v>
      </c>
      <c r="M21" s="2152">
        <f>SUMPRODUCT((七通一平=M20)*(修正!B1:M1=G2)*(修正!B8:M16))</f>
        <v>15</v>
      </c>
      <c r="N21" s="2152">
        <f>SUMPRODUCT((七通一平=N20)*(修正!B1:M1=G2)*(修正!B8:M16))</f>
        <v>40</v>
      </c>
      <c r="O21" s="2154">
        <f>SUMPRODUCT((七通一平=O20)*(修正!B1:M1=G2)*(修正!B8:M16))</f>
        <v>0</v>
      </c>
      <c r="P21" s="1984"/>
      <c r="Q21" s="2772"/>
      <c r="R21" s="1111"/>
      <c r="S21" s="1111"/>
      <c r="T21" s="1107"/>
      <c r="U21" s="1107"/>
      <c r="V21" s="1107"/>
      <c r="W21" s="1106"/>
      <c r="X21" s="1106"/>
      <c r="Y21" s="1106"/>
      <c r="Z21" s="1112"/>
      <c r="AA21" s="1112"/>
      <c r="AB21" s="1112"/>
      <c r="AC21" s="1112"/>
      <c r="AD21" s="1112"/>
      <c r="AE21" s="1112"/>
      <c r="AF21" s="1112"/>
      <c r="AG21" s="2772"/>
      <c r="AH21" s="2772"/>
      <c r="AI21" s="2772"/>
      <c r="AJ21" s="2772"/>
    </row>
    <row r="22" spans="1:37" s="2001" customFormat="1" ht="15.75" thickBot="1">
      <c r="A22" s="2145" t="s">
        <v>363</v>
      </c>
      <c r="B22" s="2146" t="s">
        <v>1999</v>
      </c>
      <c r="C22" s="2147">
        <f>SUMIF(修正!C20:C51,E3,修正!E20:E51)</f>
        <v>1</v>
      </c>
      <c r="D22" s="2148"/>
      <c r="E22" s="2149"/>
      <c r="F22" s="2149"/>
      <c r="G22" s="2149"/>
      <c r="H22" s="2149"/>
      <c r="I22" s="2149"/>
      <c r="J22" s="2150"/>
      <c r="K22" s="1112"/>
      <c r="L22" s="2772"/>
      <c r="M22" s="2772"/>
      <c r="N22" s="2772"/>
      <c r="O22" s="1110"/>
      <c r="P22" s="1110"/>
      <c r="Q22" s="2772"/>
      <c r="R22" s="1111"/>
      <c r="S22" s="1111"/>
      <c r="T22" s="1107"/>
      <c r="U22" s="1107"/>
      <c r="V22" s="1107"/>
      <c r="W22" s="1106"/>
      <c r="X22" s="1106"/>
      <c r="Y22" s="1106"/>
      <c r="Z22" s="1112"/>
      <c r="AA22" s="1112"/>
      <c r="AB22" s="1112"/>
      <c r="AC22" s="1112"/>
      <c r="AD22" s="1112"/>
      <c r="AE22" s="1112"/>
      <c r="AF22" s="1112"/>
      <c r="AG22" s="2772"/>
      <c r="AH22" s="2772"/>
      <c r="AI22" s="2772"/>
      <c r="AJ22" s="2772"/>
    </row>
    <row r="23" spans="1:37" ht="26.25" thickBot="1">
      <c r="A23" s="2037" t="s">
        <v>364</v>
      </c>
      <c r="B23" s="2038" t="s">
        <v>2000</v>
      </c>
      <c r="C23" s="7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1" t="s">
        <v>2001</v>
      </c>
      <c r="E23" s="748">
        <v>44197</v>
      </c>
      <c r="F23" s="2041" t="s">
        <v>2002</v>
      </c>
      <c r="G23" s="749">
        <f>'数据-取费表'!B2</f>
        <v>45373</v>
      </c>
      <c r="H23" s="3320" t="s">
        <v>3251</v>
      </c>
      <c r="I23" s="3321" t="str">
        <f>IF(H23="季度增幅（自定义）",SUMIF(N25:N28,E2,O25:O28),"")</f>
        <v/>
      </c>
      <c r="J23" s="3423" t="s">
        <v>3250</v>
      </c>
      <c r="K23" s="1112"/>
      <c r="L23" s="2042" t="s">
        <v>2003</v>
      </c>
      <c r="M23" s="1315">
        <f>ROUND(SUMIF(地价!B2:G2,E2,地价!B16:G16),0)</f>
        <v>350</v>
      </c>
      <c r="N23" s="2043" t="s">
        <v>2004</v>
      </c>
      <c r="O23" s="750">
        <f>ROUNDDOWN(DATEDIF(E23,G23,"M")/3,0)</f>
        <v>12</v>
      </c>
      <c r="P23" s="1109"/>
      <c r="Q23" s="2772"/>
      <c r="R23" s="1111"/>
      <c r="S23" s="1111"/>
      <c r="T23" s="1107"/>
      <c r="U23" s="1107"/>
      <c r="V23" s="1107"/>
      <c r="W23" s="1106"/>
      <c r="X23" s="1106"/>
      <c r="Y23" s="1106"/>
      <c r="Z23" s="1112"/>
      <c r="AA23" s="1112"/>
      <c r="AB23" s="1112"/>
      <c r="AC23" s="1112"/>
      <c r="AD23" s="1112"/>
      <c r="AE23" s="1107"/>
      <c r="AF23" s="1107"/>
      <c r="AG23" s="2128"/>
      <c r="AH23" s="2128"/>
      <c r="AI23" s="2128"/>
      <c r="AJ23" s="2128"/>
      <c r="AK23" s="2040"/>
    </row>
    <row r="24" spans="1:37" s="2001" customFormat="1" ht="24.75" thickBot="1">
      <c r="A24" s="2045" t="s">
        <v>365</v>
      </c>
      <c r="B24" s="2046" t="s">
        <v>2005</v>
      </c>
      <c r="C24" s="751">
        <f>ROUND(POWER(1+G24,J24-I24)*(POWER(1+G24,I24)-1)/(POWER(1+G24,J24)-1),4)</f>
        <v>0.69220000000000004</v>
      </c>
      <c r="D24" s="2047" t="s">
        <v>2006</v>
      </c>
      <c r="E24" s="1322">
        <f>存贷款利率!E24/100</f>
        <v>4.3499999999999997E-2</v>
      </c>
      <c r="F24" s="2047" t="s">
        <v>1998</v>
      </c>
      <c r="G24" s="755">
        <f>SUMIF(M30:Q30,E2,M33:Q33)</f>
        <v>5.5E-2</v>
      </c>
      <c r="H24" s="2047" t="s">
        <v>2007</v>
      </c>
      <c r="I24" s="756">
        <f>SUMIF('数据-取费表'!C6:C15,E2,'数据-取费表'!F6:F15)/COUNTIF('数据-取费表'!C6:C15,E2)</f>
        <v>17.63</v>
      </c>
      <c r="J24" s="757">
        <f>IF(E2="住宅",70,IF(E2="商业",40,50))</f>
        <v>40</v>
      </c>
      <c r="K24" s="1112"/>
      <c r="L24" s="2048" t="s">
        <v>2008</v>
      </c>
      <c r="M24" s="1316">
        <f>ROUND(SUMPRODUCT((地价!A4:A16=YEAR(G23)&amp;"-"&amp;ROUNDUP(MONTH(G23)/3,0))*(地价!B2:G2=E2)*(地价!B4:G16)),0)</f>
        <v>0</v>
      </c>
      <c r="N24" s="2049" t="s">
        <v>2009</v>
      </c>
      <c r="O24" s="2050" t="s">
        <v>2010</v>
      </c>
      <c r="P24" s="2051" t="s">
        <v>2011</v>
      </c>
      <c r="Q24" s="1984"/>
      <c r="R24" s="1111"/>
      <c r="S24" s="1111"/>
      <c r="T24" s="1107"/>
      <c r="U24" s="1107"/>
      <c r="V24" s="1107"/>
      <c r="W24" s="1106"/>
      <c r="X24" s="1106"/>
      <c r="Y24" s="1106"/>
      <c r="Z24" s="1112"/>
      <c r="AA24" s="1112"/>
      <c r="AB24" s="1112"/>
      <c r="AC24" s="1112"/>
      <c r="AD24" s="1112"/>
      <c r="AE24" s="1112"/>
      <c r="AF24" s="1112"/>
      <c r="AG24" s="2772"/>
      <c r="AH24" s="2772"/>
      <c r="AI24" s="2772"/>
      <c r="AJ24" s="2772"/>
    </row>
    <row r="25" spans="1:37" ht="15">
      <c r="A25" s="2052" t="s">
        <v>366</v>
      </c>
      <c r="B25" s="2053" t="s">
        <v>3330</v>
      </c>
      <c r="C25" s="758">
        <f>IF(B25="容积率修正",IF(G3&lt;10,D26,J26),C27)</f>
        <v>1.0438000000000001</v>
      </c>
      <c r="D25" s="2054"/>
      <c r="E25" s="2054"/>
      <c r="F25" s="2054"/>
      <c r="G25" s="2054"/>
      <c r="H25" s="2054"/>
      <c r="I25" s="2054"/>
      <c r="J25" s="2055"/>
      <c r="K25" s="1112"/>
      <c r="L25" s="2772"/>
      <c r="M25" s="2772"/>
      <c r="N25" s="2056" t="s">
        <v>2012</v>
      </c>
      <c r="O25" s="1160"/>
      <c r="P25" s="1161">
        <f>SUMPRODUCT((地价!A3:A40=YEAR(G23)&amp;"-"&amp;ROUNDUP(MONTH(G23)/3,0))*(地价!AD2:AH2=N25)*(地价!AD3:AH40))</f>
        <v>0</v>
      </c>
      <c r="Q25" s="2772"/>
      <c r="R25" s="1111"/>
      <c r="S25" s="1111"/>
      <c r="T25" s="1107"/>
      <c r="U25" s="1107"/>
      <c r="V25" s="1107"/>
      <c r="W25" s="1106"/>
      <c r="X25" s="1106"/>
      <c r="Y25" s="1106"/>
      <c r="Z25" s="1112"/>
      <c r="AA25" s="1112"/>
      <c r="AB25" s="1112"/>
      <c r="AC25" s="1112"/>
      <c r="AD25" s="1112"/>
      <c r="AE25" s="1107"/>
      <c r="AF25" s="1107"/>
      <c r="AG25" s="2128"/>
      <c r="AH25" s="2128"/>
      <c r="AI25" s="2128"/>
      <c r="AJ25" s="2128"/>
    </row>
    <row r="26" spans="1:37" ht="14.25">
      <c r="A26" s="1942" t="s">
        <v>2013</v>
      </c>
      <c r="B26" s="2057" t="s">
        <v>2014</v>
      </c>
      <c r="C26" s="3322" t="s">
        <v>3252</v>
      </c>
      <c r="D26" s="1339">
        <f>IF(E26=G26,F26,IF(G3&lt;10,ROUND(F26+(H26-F26)*(G3-E26)/(G26-E26),4),"——"))</f>
        <v>1.0438000000000001</v>
      </c>
      <c r="E26" s="739">
        <f>ROUNDDOWN(G3,1)</f>
        <v>1.9</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39">
        <f>ROUNDUP(G3,1)</f>
        <v>2</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22" t="s">
        <v>3253</v>
      </c>
      <c r="J26" s="759" t="str">
        <f>IF(G3&gt;=10,D115,"——")</f>
        <v>——</v>
      </c>
      <c r="K26" s="1112"/>
      <c r="L26" s="2772"/>
      <c r="M26" s="2772"/>
      <c r="N26" s="2056" t="s">
        <v>2015</v>
      </c>
      <c r="O26" s="1160"/>
      <c r="P26" s="1161">
        <f>SUMPRODUCT((地价!A3:A40=YEAR(G23)&amp;"-"&amp;ROUNDUP(MONTH(G23)/3,0))*(地价!AD2:AH2=N26)*(地价!AD3:AH40))</f>
        <v>0</v>
      </c>
      <c r="Q26" s="1984"/>
      <c r="R26" s="1111"/>
      <c r="S26" s="1111"/>
      <c r="T26" s="1107"/>
      <c r="U26" s="1107"/>
      <c r="V26" s="1107"/>
      <c r="W26" s="1106"/>
      <c r="X26" s="1106"/>
      <c r="Y26" s="1106"/>
      <c r="Z26" s="1112"/>
      <c r="AA26" s="1112"/>
      <c r="AB26" s="1112"/>
      <c r="AC26" s="1112"/>
      <c r="AD26" s="1112"/>
      <c r="AE26" s="1107"/>
      <c r="AF26" s="1107"/>
      <c r="AG26" s="2128"/>
      <c r="AH26" s="2128"/>
      <c r="AI26" s="2128"/>
      <c r="AJ26" s="2128"/>
    </row>
    <row r="27" spans="1:37" ht="15.75" thickBot="1">
      <c r="A27" s="1942" t="s">
        <v>2016</v>
      </c>
      <c r="B27" s="2058" t="s">
        <v>2017</v>
      </c>
      <c r="C27" s="828">
        <f>ROUND(IF(I3&lt;6,SUMPRODUCT((B106:B110=I3)*(C105:N105=G2)*(C106:N110)),SUMIF(C105:N105,G2,C112:N112)),4)</f>
        <v>0</v>
      </c>
      <c r="D27" s="2033"/>
      <c r="E27" s="2033"/>
      <c r="F27" s="2059"/>
      <c r="G27" s="2060"/>
      <c r="H27" s="2061"/>
      <c r="I27" s="2062"/>
      <c r="J27" s="2063"/>
      <c r="K27" s="1106"/>
      <c r="L27" s="1984"/>
      <c r="M27" s="1984"/>
      <c r="N27" s="2056" t="s">
        <v>2018</v>
      </c>
      <c r="O27" s="1160"/>
      <c r="P27" s="1161">
        <f>SUMPRODUCT((地价!A3:A40=YEAR(G23)&amp;"-"&amp;ROUNDUP(MONTH(G23)/3,0))*(地价!AD2:AH2=N27)*(地价!AD3:AH40))</f>
        <v>0</v>
      </c>
      <c r="Q27" s="1984"/>
      <c r="R27" s="1111"/>
      <c r="S27" s="1111"/>
      <c r="T27" s="1107"/>
      <c r="U27" s="1107"/>
      <c r="V27" s="1107"/>
      <c r="W27" s="1106"/>
      <c r="X27" s="1106"/>
      <c r="Y27" s="1106"/>
      <c r="Z27" s="1112"/>
      <c r="AA27" s="1112"/>
      <c r="AB27" s="1112"/>
      <c r="AC27" s="1112"/>
      <c r="AD27" s="1112"/>
      <c r="AE27" s="1107"/>
      <c r="AF27" s="1107"/>
      <c r="AG27" s="2128"/>
      <c r="AH27" s="2128"/>
      <c r="AI27" s="2128"/>
      <c r="AJ27" s="2128"/>
    </row>
    <row r="28" spans="1:37" ht="15.75" thickBot="1">
      <c r="A28" s="2045" t="s">
        <v>367</v>
      </c>
      <c r="B28" s="2038" t="s">
        <v>2019</v>
      </c>
      <c r="C28" s="747">
        <f>SUMIF(A47:A101,E2,B47:B101)</f>
        <v>1</v>
      </c>
      <c r="D28" s="2039"/>
      <c r="E28" s="2064"/>
      <c r="F28" s="2064"/>
      <c r="G28" s="2064"/>
      <c r="H28" s="2064"/>
      <c r="I28" s="2064"/>
      <c r="J28" s="2065"/>
      <c r="K28" s="1112"/>
      <c r="L28" s="2772"/>
      <c r="M28" s="2772"/>
      <c r="N28" s="2066" t="s">
        <v>2020</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8"/>
      <c r="AH28" s="2128"/>
      <c r="AI28" s="2128"/>
      <c r="AJ28" s="2128"/>
    </row>
    <row r="29" spans="1:37" ht="15.75" thickBot="1">
      <c r="A29" s="2045" t="s">
        <v>368</v>
      </c>
      <c r="B29" s="2067" t="s">
        <v>2021</v>
      </c>
      <c r="C29" s="752"/>
      <c r="D29" s="2011"/>
      <c r="E29" s="2011"/>
      <c r="F29" s="2068"/>
      <c r="G29" s="2011"/>
      <c r="H29" s="2011"/>
      <c r="I29" s="2011"/>
      <c r="J29" s="2012"/>
      <c r="K29" s="1106"/>
      <c r="L29" s="1984"/>
      <c r="M29" s="1984"/>
      <c r="N29" s="2769" t="s">
        <v>2022</v>
      </c>
      <c r="O29" s="2770"/>
      <c r="P29" s="2771">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4"/>
      <c r="AH29" s="1984"/>
      <c r="AI29" s="1984"/>
      <c r="AJ29" s="1984"/>
    </row>
    <row r="30" spans="1:37" ht="15">
      <c r="A30" s="2069"/>
      <c r="B30" s="2057" t="s">
        <v>2023</v>
      </c>
      <c r="C30" s="2308">
        <f>IF(B25="容积率修正",E33+SUM(E37:E42),SUM(V2:V16)+SUM(E37:E42))</f>
        <v>117684</v>
      </c>
      <c r="D30" s="2070"/>
      <c r="E30" s="2033"/>
      <c r="F30" s="2071"/>
      <c r="G30" s="2033"/>
      <c r="H30" s="2033"/>
      <c r="I30" s="2033"/>
      <c r="J30" s="2072"/>
      <c r="K30" s="1106"/>
      <c r="L30" s="3328" t="s">
        <v>1935</v>
      </c>
      <c r="M30" s="3329" t="s">
        <v>1989</v>
      </c>
      <c r="N30" s="3329" t="s">
        <v>1990</v>
      </c>
      <c r="O30" s="3329" t="s">
        <v>1991</v>
      </c>
      <c r="P30" s="3329" t="s">
        <v>1992</v>
      </c>
      <c r="Q30" s="3332" t="s">
        <v>3257</v>
      </c>
      <c r="R30" s="1111"/>
      <c r="S30" s="1111"/>
      <c r="T30" s="1107"/>
      <c r="U30" s="1107"/>
      <c r="V30" s="1107"/>
      <c r="W30" s="1106"/>
      <c r="X30" s="1106"/>
      <c r="Y30" s="1106"/>
      <c r="Z30" s="1112"/>
      <c r="AA30" s="1112"/>
      <c r="AB30" s="1112"/>
      <c r="AC30" s="1112"/>
      <c r="AD30" s="1112"/>
      <c r="AE30" s="1106"/>
      <c r="AF30" s="1106"/>
      <c r="AG30" s="1984"/>
      <c r="AH30" s="1984"/>
      <c r="AI30" s="1984"/>
      <c r="AJ30" s="1984"/>
    </row>
    <row r="31" spans="1:37" ht="15.75" thickBot="1">
      <c r="A31" s="2069"/>
      <c r="B31" s="2073" t="s">
        <v>2024</v>
      </c>
      <c r="C31" s="753">
        <f>E34+SUM(I37:I42)</f>
        <v>7201</v>
      </c>
      <c r="D31" s="2074"/>
      <c r="E31" s="2075"/>
      <c r="F31" s="2076"/>
      <c r="G31" s="2075"/>
      <c r="H31" s="2075"/>
      <c r="I31" s="2075"/>
      <c r="J31" s="2077"/>
      <c r="K31" s="1106"/>
      <c r="L31" s="3330" t="s">
        <v>1995</v>
      </c>
      <c r="M31" s="1987">
        <v>0.25</v>
      </c>
      <c r="N31" s="1987">
        <v>0.2</v>
      </c>
      <c r="O31" s="1987">
        <v>0.15</v>
      </c>
      <c r="P31" s="1987">
        <v>0.1</v>
      </c>
      <c r="Q31" s="3325">
        <v>0.15</v>
      </c>
      <c r="R31" s="1111"/>
      <c r="S31" s="1111"/>
      <c r="T31" s="1107"/>
      <c r="U31" s="1107"/>
      <c r="V31" s="1107"/>
      <c r="W31" s="1106"/>
      <c r="X31" s="1106"/>
      <c r="Y31" s="1106"/>
      <c r="Z31" s="1112"/>
      <c r="AA31" s="1112"/>
      <c r="AB31" s="1112"/>
      <c r="AC31" s="1112"/>
      <c r="AD31" s="1112"/>
      <c r="AE31" s="1106"/>
      <c r="AF31" s="1106"/>
      <c r="AG31" s="1984"/>
      <c r="AH31" s="1984"/>
      <c r="AI31" s="1984"/>
      <c r="AJ31" s="1984"/>
    </row>
    <row r="32" spans="1:37" ht="15.75" thickBot="1">
      <c r="A32" s="2078"/>
      <c r="B32" s="2079" t="s">
        <v>2025</v>
      </c>
      <c r="C32" s="2080" t="s">
        <v>2026</v>
      </c>
      <c r="D32" s="2080" t="s">
        <v>2027</v>
      </c>
      <c r="E32" s="2081" t="s">
        <v>2028</v>
      </c>
      <c r="F32" s="2082"/>
      <c r="G32" s="2024"/>
      <c r="H32" s="2024"/>
      <c r="I32" s="2024"/>
      <c r="J32" s="2025"/>
      <c r="K32" s="1106"/>
      <c r="L32" s="3331" t="s">
        <v>1998</v>
      </c>
      <c r="M32" s="2557">
        <f>ROUND($E$24*(1+M31),3)</f>
        <v>5.3999999999999999E-2</v>
      </c>
      <c r="N32" s="2557">
        <f>ROUND($E$24*(1+N31),3)</f>
        <v>5.1999999999999998E-2</v>
      </c>
      <c r="O32" s="2557">
        <f>ROUND($E$24*(1+O31),3)</f>
        <v>0.05</v>
      </c>
      <c r="P32" s="2557">
        <f>ROUND($E$24*(1+P31),3)</f>
        <v>4.8000000000000001E-2</v>
      </c>
      <c r="Q32" s="3333">
        <f>ROUND($E$24*(1+Q31),3)</f>
        <v>0.05</v>
      </c>
      <c r="R32" s="1111"/>
      <c r="S32" s="1111"/>
      <c r="T32" s="1107"/>
      <c r="U32" s="1107"/>
      <c r="V32" s="1107"/>
      <c r="W32" s="1106"/>
      <c r="X32" s="1106"/>
      <c r="Y32" s="1106"/>
      <c r="Z32" s="1112"/>
      <c r="AA32" s="1112"/>
      <c r="AB32" s="1112"/>
      <c r="AC32" s="1112"/>
      <c r="AD32" s="1112"/>
      <c r="AE32" s="1106"/>
      <c r="AF32" s="1106"/>
      <c r="AG32" s="1984"/>
      <c r="AH32" s="1984"/>
      <c r="AI32" s="1984"/>
      <c r="AJ32" s="1984"/>
    </row>
    <row r="33" spans="1:37" ht="14.25">
      <c r="A33" s="2083"/>
      <c r="B33" s="2084" t="s">
        <v>2029</v>
      </c>
      <c r="C33" s="165">
        <f>ROUND(C5*C22*C23*C24*C25*C28,0)</f>
        <v>15836</v>
      </c>
      <c r="D33" s="2085">
        <f>'数据-基础表'!I13</f>
        <v>56128.46</v>
      </c>
      <c r="E33" s="760">
        <f>ROUND(C33*D33/10000,0)</f>
        <v>88885</v>
      </c>
      <c r="F33" s="3323" t="s">
        <v>3255</v>
      </c>
      <c r="G33" s="2086"/>
      <c r="H33" s="2086"/>
      <c r="I33" s="2086"/>
      <c r="J33" s="2087"/>
      <c r="K33" s="1106"/>
      <c r="L33" s="3326" t="s">
        <v>3258</v>
      </c>
      <c r="M33" s="3327">
        <v>5.5E-2</v>
      </c>
      <c r="N33" s="3327">
        <v>5.5E-2</v>
      </c>
      <c r="O33" s="3327">
        <v>0.05</v>
      </c>
      <c r="P33" s="3327">
        <v>0.05</v>
      </c>
      <c r="Q33" s="3327">
        <v>0.05</v>
      </c>
      <c r="R33" s="1111"/>
      <c r="S33" s="1111"/>
      <c r="T33" s="1107"/>
      <c r="U33" s="1107"/>
      <c r="V33" s="1107"/>
      <c r="W33" s="1106"/>
      <c r="X33" s="1106"/>
      <c r="Y33" s="1106"/>
      <c r="Z33" s="1112"/>
      <c r="AA33" s="1112"/>
      <c r="AB33" s="1112"/>
      <c r="AC33" s="1112"/>
      <c r="AD33" s="1112"/>
      <c r="AE33" s="1107"/>
      <c r="AF33" s="1107"/>
      <c r="AG33" s="2128"/>
      <c r="AH33" s="2128"/>
      <c r="AI33" s="2128"/>
      <c r="AJ33" s="2128"/>
    </row>
    <row r="34" spans="1:37" ht="25.5" thickBot="1">
      <c r="A34" s="2088"/>
      <c r="B34" s="2089" t="s">
        <v>2030</v>
      </c>
      <c r="C34" s="177">
        <f>ROUND(IF(E2="工业",C33*M42,IF(B25="楼层修正",SUM(V2:V16)*M41*10000/D34,C33*M41)),0)</f>
        <v>3959</v>
      </c>
      <c r="D34" s="2090"/>
      <c r="E34" s="760">
        <f>ROUND(IF(B25="楼层修正",SUM(V2:V16)*M40,C34*D34/10000),0)</f>
        <v>0</v>
      </c>
      <c r="F34" s="2091" t="s">
        <v>2031</v>
      </c>
      <c r="G34" s="2092"/>
      <c r="H34" s="2092"/>
      <c r="I34" s="2092"/>
      <c r="J34" s="2093"/>
      <c r="K34" s="1106"/>
      <c r="L34" s="3326" t="s">
        <v>3259</v>
      </c>
      <c r="M34" s="3327">
        <v>6.5000000000000002E-2</v>
      </c>
      <c r="N34" s="3327">
        <v>6.5000000000000002E-2</v>
      </c>
      <c r="O34" s="3327">
        <v>0.06</v>
      </c>
      <c r="P34" s="3327">
        <v>0.06</v>
      </c>
      <c r="Q34" s="3327">
        <v>0.06</v>
      </c>
      <c r="R34" s="1111"/>
      <c r="S34" s="1111"/>
      <c r="T34" s="1107"/>
      <c r="U34" s="1107"/>
      <c r="V34" s="1107"/>
      <c r="W34" s="1106"/>
      <c r="X34" s="1106"/>
      <c r="Y34" s="1106"/>
      <c r="Z34" s="1112"/>
      <c r="AA34" s="1112"/>
      <c r="AB34" s="1112"/>
      <c r="AC34" s="1112"/>
      <c r="AD34" s="1112"/>
      <c r="AE34" s="1107"/>
      <c r="AF34" s="1107"/>
      <c r="AG34" s="2128"/>
      <c r="AH34" s="2128"/>
      <c r="AI34" s="2128"/>
      <c r="AJ34" s="2128"/>
    </row>
    <row r="35" spans="1:37">
      <c r="A35" s="2094"/>
      <c r="B35" s="2095" t="s">
        <v>2032</v>
      </c>
      <c r="C35" s="3324" t="s">
        <v>3256</v>
      </c>
      <c r="D35" s="2024"/>
      <c r="E35" s="2096"/>
      <c r="F35" s="2096"/>
      <c r="G35" s="2022" t="s">
        <v>2033</v>
      </c>
      <c r="H35" s="2024"/>
      <c r="I35" s="2097"/>
      <c r="J35" s="2025"/>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8"/>
      <c r="AH35" s="2128"/>
      <c r="AI35" s="2128"/>
      <c r="AJ35" s="2128"/>
    </row>
    <row r="36" spans="1:37" ht="24.75" thickBot="1">
      <c r="A36" s="2083"/>
      <c r="B36" s="2098"/>
      <c r="C36" s="440" t="s">
        <v>2026</v>
      </c>
      <c r="D36" s="437" t="s">
        <v>2027</v>
      </c>
      <c r="E36" s="437" t="s">
        <v>2028</v>
      </c>
      <c r="F36" s="332" t="s">
        <v>2034</v>
      </c>
      <c r="G36" s="2099" t="s">
        <v>2026</v>
      </c>
      <c r="H36" s="2099" t="s">
        <v>2027</v>
      </c>
      <c r="I36" s="2099" t="s">
        <v>2028</v>
      </c>
      <c r="J36" s="233"/>
      <c r="K36" s="3334" t="s">
        <v>3260</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06"/>
      <c r="S36" s="1106"/>
      <c r="T36" s="1106"/>
      <c r="U36" s="1106"/>
      <c r="V36" s="1106"/>
      <c r="W36" s="1106"/>
      <c r="X36" s="1106"/>
      <c r="Y36" s="1106"/>
      <c r="Z36" s="1107"/>
      <c r="AA36" s="1107"/>
      <c r="AB36" s="1107"/>
      <c r="AC36" s="1107"/>
      <c r="AD36" s="1107"/>
      <c r="AE36" s="1107"/>
      <c r="AF36" s="1107"/>
      <c r="AG36" s="2128"/>
      <c r="AH36" s="2128"/>
      <c r="AI36" s="2128"/>
      <c r="AJ36" s="2128"/>
    </row>
    <row r="37" spans="1:37" ht="24.75" thickBot="1">
      <c r="A37" s="3843"/>
      <c r="B37" s="2100" t="s">
        <v>2035</v>
      </c>
      <c r="C37" s="165">
        <f>ROUND(D5*C22*C23*C24*C28*F37,0)</f>
        <v>9103</v>
      </c>
      <c r="D37" s="2085">
        <f>'数据-汇总表'!G19/2</f>
        <v>21091.855</v>
      </c>
      <c r="E37" s="161">
        <f>ROUND(C37*D37/10000,0)</f>
        <v>19200</v>
      </c>
      <c r="F37" s="161">
        <f>SUMIF(修正!A57:A68,G2,修正!B57:B68)</f>
        <v>0.6</v>
      </c>
      <c r="G37" s="161">
        <f>ROUND(IF(E2="工业",C37*$M$42,C37*$M$41),0)</f>
        <v>2276</v>
      </c>
      <c r="H37" s="161">
        <f>D37</f>
        <v>21091.855</v>
      </c>
      <c r="I37" s="161">
        <f>ROUND(G37*H37/10000,0)</f>
        <v>4801</v>
      </c>
      <c r="J37" s="2989"/>
      <c r="K37" s="3336" t="s">
        <v>3261</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06"/>
      <c r="S37" s="1106"/>
      <c r="T37" s="1106"/>
      <c r="U37" s="1106"/>
      <c r="V37" s="1106"/>
      <c r="W37" s="1106"/>
      <c r="X37" s="1106"/>
      <c r="Y37" s="1106"/>
      <c r="Z37" s="1107"/>
      <c r="AA37" s="1107"/>
      <c r="AB37" s="1107"/>
      <c r="AC37" s="1107"/>
      <c r="AD37" s="1107"/>
      <c r="AE37" s="1107"/>
      <c r="AF37" s="1107"/>
      <c r="AG37" s="2128"/>
      <c r="AH37" s="2128"/>
      <c r="AI37" s="2128"/>
      <c r="AJ37" s="2128"/>
    </row>
    <row r="38" spans="1:37">
      <c r="A38" s="3844"/>
      <c r="B38" s="2028" t="s">
        <v>2036</v>
      </c>
      <c r="C38" s="165">
        <f>ROUND(D5*C22*C23*C24*C28*F38,0)</f>
        <v>4551</v>
      </c>
      <c r="D38" s="2085">
        <f>D37</f>
        <v>21091.855</v>
      </c>
      <c r="E38" s="161">
        <f t="shared" ref="E38:E42" si="4">ROUND(C38*D38/10000,0)</f>
        <v>9599</v>
      </c>
      <c r="F38" s="161">
        <f>SUMIF(修正!A57:A68,G2,修正!C57:C68)</f>
        <v>0.3</v>
      </c>
      <c r="G38" s="161">
        <f>ROUND(IF(E2="工业",C38*$M$42,C38*$M$41),0)</f>
        <v>1138</v>
      </c>
      <c r="H38" s="161">
        <f t="shared" ref="H38:H42" si="5">D38</f>
        <v>21091.855</v>
      </c>
      <c r="I38" s="161">
        <f t="shared" ref="I38:I42" si="6">ROUND(G38*H38/10000,0)</f>
        <v>2400</v>
      </c>
      <c r="J38" s="2988"/>
      <c r="K38" s="3334">
        <v>5.0000000000000001E-3</v>
      </c>
      <c r="L38" s="3334"/>
      <c r="M38" s="3334"/>
      <c r="N38" s="3334"/>
      <c r="O38" s="3334"/>
      <c r="P38" s="3334"/>
      <c r="Q38" s="3334"/>
      <c r="R38" s="1106"/>
      <c r="S38" s="1106"/>
      <c r="T38" s="1106"/>
      <c r="U38" s="1106"/>
      <c r="V38" s="1106"/>
      <c r="W38" s="1106"/>
      <c r="X38" s="1106"/>
      <c r="Y38" s="1106"/>
      <c r="Z38" s="1107"/>
      <c r="AA38" s="1107"/>
      <c r="AB38" s="1107"/>
      <c r="AC38" s="1107"/>
      <c r="AD38" s="1107"/>
    </row>
    <row r="39" spans="1:37" ht="13.5" thickBot="1">
      <c r="A39" s="3844"/>
      <c r="B39" s="2028" t="s">
        <v>3254</v>
      </c>
      <c r="C39" s="165">
        <f>ROUND(D5*C22*C23*C24*C28*F39,0)</f>
        <v>3793</v>
      </c>
      <c r="D39" s="2085"/>
      <c r="E39" s="161">
        <f t="shared" si="4"/>
        <v>0</v>
      </c>
      <c r="F39" s="161">
        <f>SUMIF(修正!A57:A68,G2,修正!D57:D68)</f>
        <v>0.25</v>
      </c>
      <c r="G39" s="161">
        <f>ROUND(IF(E2="工业",C39*$M$42,C39*$M$41),0)</f>
        <v>948</v>
      </c>
      <c r="H39" s="161">
        <f t="shared" si="5"/>
        <v>0</v>
      </c>
      <c r="I39" s="161">
        <f t="shared" si="6"/>
        <v>0</v>
      </c>
      <c r="J39" s="2988"/>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2"/>
      <c r="B40" s="2028" t="s">
        <v>2037</v>
      </c>
      <c r="C40" s="161">
        <f>ROUND(D5*C22*C23*C24*C28*F40,0)</f>
        <v>3793</v>
      </c>
      <c r="D40" s="2085"/>
      <c r="E40" s="161">
        <f t="shared" si="4"/>
        <v>0</v>
      </c>
      <c r="F40" s="165">
        <f>SUMIF(修正!A57:A68,G2,修正!E57:E68)</f>
        <v>0.25</v>
      </c>
      <c r="G40" s="161">
        <f>ROUND(IF(E2="工业",C40*$M$42,C40*$M$41),0)</f>
        <v>948</v>
      </c>
      <c r="H40" s="161">
        <f t="shared" si="5"/>
        <v>0</v>
      </c>
      <c r="I40" s="161">
        <f t="shared" si="6"/>
        <v>0</v>
      </c>
      <c r="J40" s="2101"/>
      <c r="L40" s="2103" t="s">
        <v>2038</v>
      </c>
      <c r="M40" s="2104"/>
      <c r="Z40" s="1107"/>
      <c r="AA40" s="1107"/>
      <c r="AB40" s="1107"/>
      <c r="AC40" s="1107"/>
      <c r="AD40" s="1107"/>
      <c r="AE40" s="1107"/>
      <c r="AF40" s="1107"/>
      <c r="AG40" s="1107"/>
      <c r="AH40" s="1107"/>
      <c r="AI40" s="1107"/>
      <c r="AJ40" s="1107"/>
    </row>
    <row r="41" spans="1:37" s="1106" customFormat="1">
      <c r="A41" s="2102"/>
      <c r="B41" s="2028" t="s">
        <v>2039</v>
      </c>
      <c r="C41" s="161">
        <f>ROUND(D5*C22*C23*C44*C28*F41,0)</f>
        <v>0</v>
      </c>
      <c r="D41" s="2085"/>
      <c r="E41" s="161">
        <f t="shared" si="4"/>
        <v>0</v>
      </c>
      <c r="F41" s="165">
        <f>SUMIF(修正!A57:A68,G2,修正!F57:F68)</f>
        <v>0.25</v>
      </c>
      <c r="G41" s="161">
        <f>ROUND(IF(E2="工业",C41*$M$42,C41*$M$41),0)</f>
        <v>0</v>
      </c>
      <c r="H41" s="161">
        <f t="shared" si="5"/>
        <v>0</v>
      </c>
      <c r="I41" s="161">
        <f t="shared" si="6"/>
        <v>0</v>
      </c>
      <c r="J41" s="2101"/>
      <c r="L41" s="3337" t="s">
        <v>3262</v>
      </c>
      <c r="M41" s="2105">
        <v>0.25</v>
      </c>
      <c r="Z41" s="1107"/>
      <c r="AA41" s="1107"/>
      <c r="AB41" s="1107"/>
      <c r="AC41" s="1107"/>
      <c r="AD41" s="1107"/>
      <c r="AE41" s="1107"/>
      <c r="AF41" s="1107"/>
      <c r="AG41" s="1107"/>
      <c r="AH41" s="1107"/>
      <c r="AI41" s="1107"/>
      <c r="AJ41" s="1107"/>
    </row>
    <row r="42" spans="1:37" s="1106" customFormat="1" ht="13.5" thickBot="1">
      <c r="A42" s="2088"/>
      <c r="B42" s="2106" t="s">
        <v>2040</v>
      </c>
      <c r="C42" s="177">
        <f>ROUND(D5*C22*C23*C44*C28*F42,0)</f>
        <v>0</v>
      </c>
      <c r="D42" s="2090"/>
      <c r="E42" s="177">
        <f t="shared" si="4"/>
        <v>0</v>
      </c>
      <c r="F42" s="754">
        <f>SUMIF(修正!A57:A68,G2,修正!G57:G68)</f>
        <v>0.15</v>
      </c>
      <c r="G42" s="177">
        <f>ROUND(IF(E2="工业",C42*$M$42,C42*$M$41),0)</f>
        <v>0</v>
      </c>
      <c r="H42" s="177">
        <f t="shared" si="5"/>
        <v>0</v>
      </c>
      <c r="I42" s="177">
        <f t="shared" si="6"/>
        <v>0</v>
      </c>
      <c r="J42" s="2107"/>
      <c r="L42" s="2108" t="s">
        <v>1992</v>
      </c>
      <c r="M42" s="2109">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1" t="s">
        <v>2121</v>
      </c>
      <c r="C44" s="332">
        <f>ROUND(POWER(1+E44,H44-G44)*(POWER(1+E44,G44)-1)/(POWER(1+E44,H44)-1),4)</f>
        <v>0</v>
      </c>
      <c r="D44" s="161" t="s">
        <v>1998</v>
      </c>
      <c r="E44" s="2140">
        <f>G24</f>
        <v>5.5E-2</v>
      </c>
      <c r="F44" s="161" t="s">
        <v>2007</v>
      </c>
      <c r="G44" s="173"/>
      <c r="H44" s="161">
        <v>50</v>
      </c>
      <c r="Z44" s="1107"/>
      <c r="AA44" s="1107"/>
      <c r="AB44" s="1107"/>
      <c r="AC44" s="1107"/>
      <c r="AD44" s="1107"/>
      <c r="AE44" s="1107"/>
      <c r="AF44" s="1107"/>
      <c r="AG44" s="1107"/>
      <c r="AH44" s="1107"/>
      <c r="AI44" s="1107"/>
      <c r="AJ44" s="1107"/>
    </row>
    <row r="45" spans="1:37" s="1106" customFormat="1">
      <c r="A45" s="1107"/>
      <c r="B45" s="2110"/>
      <c r="Z45" s="1107"/>
      <c r="AA45" s="1107"/>
      <c r="AB45" s="1107"/>
      <c r="AC45" s="1107"/>
      <c r="AD45" s="1107"/>
      <c r="AE45" s="1107"/>
      <c r="AF45" s="1107"/>
      <c r="AG45" s="1107"/>
      <c r="AH45" s="1107"/>
      <c r="AI45" s="1107"/>
      <c r="AJ45" s="1107"/>
    </row>
    <row r="46" spans="1:37" s="1106" customFormat="1">
      <c r="A46" s="1107"/>
      <c r="B46" s="2110"/>
      <c r="AA46" s="1107"/>
      <c r="AB46" s="1107"/>
      <c r="AC46" s="1107"/>
      <c r="AD46" s="1107"/>
      <c r="AE46" s="1107"/>
      <c r="AF46" s="1107"/>
      <c r="AG46" s="1107"/>
      <c r="AH46" s="1107"/>
      <c r="AI46" s="1107"/>
      <c r="AJ46" s="1107"/>
      <c r="AK46" s="1107"/>
    </row>
    <row r="47" spans="1:37" s="1106" customFormat="1" ht="15.75" thickBot="1">
      <c r="A47" s="2111" t="s">
        <v>2041</v>
      </c>
      <c r="B47" s="2112"/>
      <c r="C47" s="4"/>
      <c r="D47" s="4"/>
      <c r="E47" s="4"/>
      <c r="F47" s="3"/>
      <c r="G47" s="3"/>
      <c r="H47" s="3"/>
      <c r="I47" s="1808"/>
      <c r="J47" s="1808"/>
      <c r="K47" s="1808"/>
      <c r="L47" s="1808"/>
      <c r="M47" s="1808"/>
      <c r="AA47" s="1107"/>
      <c r="AB47" s="1107"/>
      <c r="AC47" s="1107"/>
      <c r="AD47" s="1107"/>
      <c r="AE47" s="1107"/>
      <c r="AF47" s="1107"/>
      <c r="AG47" s="1107"/>
      <c r="AH47" s="1107"/>
      <c r="AI47" s="1107"/>
      <c r="AJ47" s="1107"/>
      <c r="AK47" s="1107"/>
    </row>
    <row r="48" spans="1:37" s="1106" customFormat="1" ht="15" hidden="1">
      <c r="A48" s="2113" t="s">
        <v>2042</v>
      </c>
      <c r="B48" s="2114">
        <f>1+E50</f>
        <v>1</v>
      </c>
      <c r="C48" s="2115"/>
      <c r="D48" s="728"/>
      <c r="E48" s="729"/>
      <c r="F48" s="2116"/>
      <c r="G48" s="3"/>
      <c r="H48" s="4"/>
      <c r="I48" s="1808"/>
      <c r="J48" s="1808"/>
      <c r="K48" s="1808"/>
      <c r="L48" s="1808"/>
      <c r="M48" s="1808"/>
      <c r="AA48" s="1107"/>
      <c r="AB48" s="1107"/>
      <c r="AC48" s="1107"/>
      <c r="AD48" s="1107"/>
      <c r="AE48" s="1107"/>
      <c r="AF48" s="1107"/>
      <c r="AG48" s="1107"/>
      <c r="AH48" s="1107"/>
      <c r="AI48" s="1107"/>
      <c r="AJ48" s="1107"/>
      <c r="AK48" s="1107"/>
    </row>
    <row r="49" spans="1:37" s="1106" customFormat="1" ht="24.75" hidden="1">
      <c r="A49" s="2117" t="s">
        <v>2043</v>
      </c>
      <c r="B49" s="1338" t="s">
        <v>2044</v>
      </c>
      <c r="C49" s="1338" t="s">
        <v>2045</v>
      </c>
      <c r="D49" s="1338" t="s">
        <v>2046</v>
      </c>
      <c r="E49" s="730" t="s">
        <v>2047</v>
      </c>
      <c r="F49" s="2118" t="s">
        <v>2048</v>
      </c>
      <c r="G49" s="1338" t="s">
        <v>310</v>
      </c>
      <c r="H49" s="2119" t="s">
        <v>2049</v>
      </c>
      <c r="I49" s="1338" t="s">
        <v>2050</v>
      </c>
      <c r="J49" s="542" t="s">
        <v>1720</v>
      </c>
      <c r="K49" s="542" t="s">
        <v>1721</v>
      </c>
      <c r="L49" s="542" t="s">
        <v>1722</v>
      </c>
      <c r="M49" s="542" t="s">
        <v>1723</v>
      </c>
      <c r="N49" s="542" t="s">
        <v>1724</v>
      </c>
      <c r="AA49" s="1107"/>
      <c r="AB49" s="1107"/>
      <c r="AC49" s="1107"/>
      <c r="AD49" s="1107"/>
      <c r="AE49" s="1107"/>
      <c r="AF49" s="1107"/>
      <c r="AG49" s="1107"/>
      <c r="AH49" s="1107"/>
      <c r="AI49" s="1107"/>
      <c r="AJ49" s="1107"/>
      <c r="AK49" s="1107"/>
    </row>
    <row r="50" spans="1:37" s="1106" customFormat="1" ht="51" hidden="1">
      <c r="A50" s="2117" t="s">
        <v>2051</v>
      </c>
      <c r="B50" s="2120" t="str">
        <f>估价对象房地状况!C4</f>
        <v>估价对象位于板井路，周边商业氛围较成熟，人流量较大，世纪金源购物中心等，商业繁华度较好</v>
      </c>
      <c r="C50" s="2031"/>
      <c r="D50" s="1052">
        <f t="shared" ref="D50:D58" si="7">SUMIF($J$49:$N$49,C50,J50:N50)</f>
        <v>0</v>
      </c>
      <c r="E50" s="731">
        <f>ROUND(SUM(D50:D58),4)</f>
        <v>0</v>
      </c>
      <c r="F50" s="1801">
        <f>IF(E2="商业",SUMIF(L1:L12,G2,N1:N12),"——")</f>
        <v>9.5000000000000001E-2</v>
      </c>
      <c r="G50" s="1050"/>
      <c r="H50" s="1053">
        <f t="shared" ref="H50:H58" si="8">IFERROR(ROUNDDOWN($F$50*I50/2,4),"——")</f>
        <v>1.4200000000000001E-2</v>
      </c>
      <c r="I50" s="3344">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38.25" hidden="1">
      <c r="A51" s="2117" t="s">
        <v>2052</v>
      </c>
      <c r="B51" s="2121" t="str">
        <f>估价对象房地状况!C18</f>
        <v>估价对象周边道路状况、公共交通通达情况、停车便捷程度，综合评价交通便捷度较好</v>
      </c>
      <c r="C51" s="2031"/>
      <c r="D51" s="1052">
        <f t="shared" si="7"/>
        <v>0</v>
      </c>
      <c r="E51" s="732"/>
      <c r="F51" s="1801"/>
      <c r="G51" s="1050"/>
      <c r="H51" s="1053">
        <f t="shared" si="8"/>
        <v>1.04E-2</v>
      </c>
      <c r="I51" s="3344">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hidden="1">
      <c r="A52" s="3346" t="s">
        <v>3264</v>
      </c>
      <c r="B52" s="2121">
        <f>估价对象房地状况!C19</f>
        <v>0</v>
      </c>
      <c r="C52" s="2031"/>
      <c r="D52" s="1052">
        <f t="shared" si="7"/>
        <v>0</v>
      </c>
      <c r="E52" s="732"/>
      <c r="F52" s="1801"/>
      <c r="G52" s="1050"/>
      <c r="H52" s="1053">
        <f t="shared" si="8"/>
        <v>5.7000000000000002E-3</v>
      </c>
      <c r="I52" s="3344">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hidden="1">
      <c r="A53" s="2117" t="s">
        <v>2053</v>
      </c>
      <c r="B53" s="2122" t="s">
        <v>2054</v>
      </c>
      <c r="C53" s="2031"/>
      <c r="D53" s="1052">
        <f t="shared" si="7"/>
        <v>0</v>
      </c>
      <c r="E53" s="732"/>
      <c r="F53" s="1801"/>
      <c r="G53" s="1050"/>
      <c r="H53" s="1053">
        <f t="shared" si="8"/>
        <v>2.3E-3</v>
      </c>
      <c r="I53" s="3344">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hidden="1">
      <c r="A54" s="2117" t="s">
        <v>2055</v>
      </c>
      <c r="B54" s="2121" t="str">
        <f>估价对象房地状况!C24</f>
        <v>城市主干道-板井路</v>
      </c>
      <c r="C54" s="2031"/>
      <c r="D54" s="1052">
        <f t="shared" si="7"/>
        <v>0</v>
      </c>
      <c r="E54" s="732"/>
      <c r="F54" s="1801"/>
      <c r="G54" s="1050"/>
      <c r="H54" s="1053">
        <f t="shared" si="8"/>
        <v>3.8E-3</v>
      </c>
      <c r="I54" s="3344">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hidden="1">
      <c r="A55" s="2117" t="s">
        <v>2056</v>
      </c>
      <c r="B55" s="2123" t="s">
        <v>2057</v>
      </c>
      <c r="C55" s="2031"/>
      <c r="D55" s="1052">
        <f t="shared" si="7"/>
        <v>0</v>
      </c>
      <c r="E55" s="732"/>
      <c r="F55" s="1801"/>
      <c r="G55" s="1050"/>
      <c r="H55" s="1053">
        <f t="shared" si="8"/>
        <v>2.3E-3</v>
      </c>
      <c r="I55" s="3344">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25.5" hidden="1">
      <c r="A56" s="2124" t="s">
        <v>2058</v>
      </c>
      <c r="B56" s="1313" t="str">
        <f>估价对象房地状况!C21</f>
        <v>估价对象所在区域公共配套设施齐备情况较好</v>
      </c>
      <c r="C56" s="2031"/>
      <c r="D56" s="1052">
        <f t="shared" si="7"/>
        <v>0</v>
      </c>
      <c r="E56" s="732"/>
      <c r="F56" s="1801"/>
      <c r="G56" s="1050"/>
      <c r="H56" s="1053">
        <f t="shared" si="8"/>
        <v>2.3E-3</v>
      </c>
      <c r="I56" s="3344">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4" hidden="1">
      <c r="A57" s="2124" t="s">
        <v>2059</v>
      </c>
      <c r="B57" s="2121" t="str">
        <f>估价对象房地状况!C22</f>
        <v>七通</v>
      </c>
      <c r="C57" s="2031"/>
      <c r="D57" s="1052">
        <f t="shared" si="7"/>
        <v>0</v>
      </c>
      <c r="E57" s="732"/>
      <c r="F57" s="1801"/>
      <c r="G57" s="1050"/>
      <c r="H57" s="1053">
        <f t="shared" si="8"/>
        <v>3.8E-3</v>
      </c>
      <c r="I57" s="3344">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51.75" hidden="1" thickBot="1">
      <c r="A58" s="2125" t="s">
        <v>2060</v>
      </c>
      <c r="B58" s="2126" t="str">
        <f>估价对象房地状况!C20</f>
        <v>区域自然环境：蓝靛厂公园、四季曙光公园、南长河公园；人文环境；综合评价环境状况较好</v>
      </c>
      <c r="C58" s="2031"/>
      <c r="D58" s="1052">
        <f t="shared" si="7"/>
        <v>0</v>
      </c>
      <c r="E58" s="733"/>
      <c r="F58" s="1801"/>
      <c r="G58" s="1050"/>
      <c r="H58" s="1053">
        <f t="shared" si="8"/>
        <v>2.3E-3</v>
      </c>
      <c r="I58" s="3345">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hidden="1">
      <c r="A59" s="2113" t="s">
        <v>2061</v>
      </c>
      <c r="B59" s="2114">
        <f>1+E61</f>
        <v>1</v>
      </c>
      <c r="C59" s="728"/>
      <c r="D59" s="728"/>
      <c r="E59" s="729"/>
      <c r="F59" s="2116"/>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hidden="1">
      <c r="A60" s="2117" t="s">
        <v>2043</v>
      </c>
      <c r="B60" s="1338"/>
      <c r="C60" s="1338" t="s">
        <v>2045</v>
      </c>
      <c r="D60" s="1338" t="s">
        <v>2046</v>
      </c>
      <c r="E60" s="730" t="s">
        <v>2047</v>
      </c>
      <c r="F60" s="2118" t="s">
        <v>2062</v>
      </c>
      <c r="G60" s="1338" t="s">
        <v>310</v>
      </c>
      <c r="H60" s="2119" t="s">
        <v>2049</v>
      </c>
      <c r="I60" s="1338" t="s">
        <v>2050</v>
      </c>
      <c r="J60" s="542" t="s">
        <v>1720</v>
      </c>
      <c r="K60" s="542" t="s">
        <v>1721</v>
      </c>
      <c r="L60" s="542" t="s">
        <v>1722</v>
      </c>
      <c r="M60" s="542" t="s">
        <v>1723</v>
      </c>
      <c r="N60" s="542" t="s">
        <v>1724</v>
      </c>
      <c r="AA60" s="1107"/>
      <c r="AB60" s="1107"/>
      <c r="AC60" s="1107"/>
      <c r="AD60" s="1107"/>
      <c r="AE60" s="1107"/>
      <c r="AF60" s="1107"/>
      <c r="AG60" s="1107"/>
      <c r="AH60" s="1107"/>
      <c r="AI60" s="1107"/>
      <c r="AJ60" s="1107"/>
      <c r="AK60" s="1107"/>
    </row>
    <row r="61" spans="1:37" s="1106" customFormat="1" ht="24" hidden="1">
      <c r="A61" s="2117" t="s">
        <v>2063</v>
      </c>
      <c r="B61" s="2120">
        <f>估价对象房地状况!C17</f>
        <v>0</v>
      </c>
      <c r="C61" s="2031"/>
      <c r="D61" s="1052">
        <f t="shared" ref="D61:D69" si="12">SUMIF($J$60:$N$60,C61,J61:N61)</f>
        <v>0</v>
      </c>
      <c r="E61" s="731">
        <f>ROUND(SUM(D61:D69),4)</f>
        <v>0</v>
      </c>
      <c r="F61" s="1801" t="str">
        <f>IF(E2="办公",SUMIF(L1:L12,G2,N1:N12),"——")</f>
        <v>——</v>
      </c>
      <c r="G61" s="1050"/>
      <c r="H61" s="1053" t="str">
        <f t="shared" ref="H61:H69" si="13">IFERROR(ROUNDDOWN($F$61*I61/2,4),"——")</f>
        <v>——</v>
      </c>
      <c r="I61" s="3344">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38.25" hidden="1">
      <c r="A62" s="2117" t="s">
        <v>2052</v>
      </c>
      <c r="B62" s="2121" t="str">
        <f>估价对象房地状况!C18</f>
        <v>估价对象周边道路状况、公共交通通达情况、停车便捷程度，综合评价交通便捷度较好</v>
      </c>
      <c r="C62" s="2031"/>
      <c r="D62" s="1052">
        <f t="shared" si="12"/>
        <v>0</v>
      </c>
      <c r="E62" s="732"/>
      <c r="F62" s="1801"/>
      <c r="G62" s="1050"/>
      <c r="H62" s="1053" t="str">
        <f t="shared" si="13"/>
        <v>——</v>
      </c>
      <c r="I62" s="3344">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hidden="1">
      <c r="A63" s="3346" t="s">
        <v>3264</v>
      </c>
      <c r="B63" s="2121">
        <f>估价对象房地状况!C19</f>
        <v>0</v>
      </c>
      <c r="C63" s="2031"/>
      <c r="D63" s="1052">
        <f t="shared" si="12"/>
        <v>0</v>
      </c>
      <c r="E63" s="732"/>
      <c r="F63" s="1801"/>
      <c r="G63" s="1050"/>
      <c r="H63" s="1053" t="str">
        <f t="shared" si="13"/>
        <v>——</v>
      </c>
      <c r="I63" s="3344">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hidden="1">
      <c r="A64" s="2117" t="s">
        <v>2053</v>
      </c>
      <c r="B64" s="2122" t="s">
        <v>2054</v>
      </c>
      <c r="C64" s="2031"/>
      <c r="D64" s="1052">
        <f t="shared" si="12"/>
        <v>0</v>
      </c>
      <c r="E64" s="732"/>
      <c r="F64" s="1801"/>
      <c r="G64" s="1050"/>
      <c r="H64" s="1053" t="str">
        <f t="shared" si="13"/>
        <v>——</v>
      </c>
      <c r="I64" s="3344">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hidden="1">
      <c r="A65" s="2117" t="s">
        <v>2055</v>
      </c>
      <c r="B65" s="2121" t="str">
        <f>估价对象房地状况!C24</f>
        <v>城市主干道-板井路</v>
      </c>
      <c r="C65" s="2031"/>
      <c r="D65" s="1052">
        <f t="shared" si="12"/>
        <v>0</v>
      </c>
      <c r="E65" s="732"/>
      <c r="F65" s="1801"/>
      <c r="G65" s="1050"/>
      <c r="H65" s="1053" t="str">
        <f t="shared" si="13"/>
        <v>——</v>
      </c>
      <c r="I65" s="3344">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hidden="1">
      <c r="A66" s="2117" t="s">
        <v>2056</v>
      </c>
      <c r="B66" s="2123" t="s">
        <v>2057</v>
      </c>
      <c r="C66" s="2031"/>
      <c r="D66" s="1052">
        <f t="shared" si="12"/>
        <v>0</v>
      </c>
      <c r="E66" s="732"/>
      <c r="F66" s="1801"/>
      <c r="G66" s="1050"/>
      <c r="H66" s="1053" t="str">
        <f t="shared" si="13"/>
        <v>——</v>
      </c>
      <c r="I66" s="3344">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25.5" hidden="1">
      <c r="A67" s="2117" t="s">
        <v>2058</v>
      </c>
      <c r="B67" s="1313" t="str">
        <f>估价对象房地状况!C21</f>
        <v>估价对象所在区域公共配套设施齐备情况较好</v>
      </c>
      <c r="C67" s="2031"/>
      <c r="D67" s="1052">
        <f t="shared" si="12"/>
        <v>0</v>
      </c>
      <c r="E67" s="732"/>
      <c r="F67" s="1801"/>
      <c r="G67" s="1050"/>
      <c r="H67" s="1053" t="str">
        <f t="shared" si="13"/>
        <v>——</v>
      </c>
      <c r="I67" s="3344">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4" hidden="1">
      <c r="A68" s="2117" t="s">
        <v>2059</v>
      </c>
      <c r="B68" s="1313" t="str">
        <f>估价对象房地状况!C22</f>
        <v>七通</v>
      </c>
      <c r="C68" s="2031"/>
      <c r="D68" s="1052">
        <f t="shared" si="12"/>
        <v>0</v>
      </c>
      <c r="E68" s="732"/>
      <c r="F68" s="1801"/>
      <c r="G68" s="1050"/>
      <c r="H68" s="1053" t="str">
        <f t="shared" si="13"/>
        <v>——</v>
      </c>
      <c r="I68" s="3344">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51.75" hidden="1" thickBot="1">
      <c r="A69" s="2125" t="s">
        <v>2060</v>
      </c>
      <c r="B69" s="2127" t="str">
        <f>估价对象房地状况!C20</f>
        <v>区域自然环境：蓝靛厂公园、四季曙光公园、南长河公园；人文环境；综合评价环境状况较好</v>
      </c>
      <c r="C69" s="2031"/>
      <c r="D69" s="1052">
        <f t="shared" si="12"/>
        <v>0</v>
      </c>
      <c r="E69" s="733"/>
      <c r="F69" s="1801"/>
      <c r="G69" s="1050"/>
      <c r="H69" s="1053" t="str">
        <f t="shared" si="13"/>
        <v>——</v>
      </c>
      <c r="I69" s="3345">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hidden="1">
      <c r="A70" s="2113" t="s">
        <v>2064</v>
      </c>
      <c r="B70" s="2114">
        <f>1+E72</f>
        <v>1</v>
      </c>
      <c r="C70" s="728"/>
      <c r="D70" s="728"/>
      <c r="E70" s="729"/>
      <c r="F70" s="2116"/>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hidden="1">
      <c r="A71" s="2117" t="s">
        <v>2043</v>
      </c>
      <c r="B71" s="1338"/>
      <c r="C71" s="1338" t="s">
        <v>2045</v>
      </c>
      <c r="D71" s="1338" t="s">
        <v>2046</v>
      </c>
      <c r="E71" s="730" t="s">
        <v>2047</v>
      </c>
      <c r="F71" s="2118" t="s">
        <v>2062</v>
      </c>
      <c r="G71" s="1338" t="s">
        <v>310</v>
      </c>
      <c r="H71" s="2119" t="s">
        <v>2049</v>
      </c>
      <c r="I71" s="1338" t="s">
        <v>2050</v>
      </c>
      <c r="J71" s="542" t="s">
        <v>1720</v>
      </c>
      <c r="K71" s="542" t="s">
        <v>1721</v>
      </c>
      <c r="L71" s="542" t="s">
        <v>1722</v>
      </c>
      <c r="M71" s="542" t="s">
        <v>1723</v>
      </c>
      <c r="N71" s="542" t="s">
        <v>1724</v>
      </c>
      <c r="AA71" s="1107"/>
      <c r="AB71" s="1107"/>
      <c r="AC71" s="1107"/>
      <c r="AD71" s="1107"/>
      <c r="AE71" s="1107"/>
      <c r="AF71" s="1107"/>
      <c r="AG71" s="1107"/>
      <c r="AH71" s="1107"/>
      <c r="AI71" s="1107"/>
      <c r="AJ71" s="1107"/>
      <c r="AK71" s="1107"/>
    </row>
    <row r="72" spans="1:37" s="1106" customFormat="1" ht="24" hidden="1">
      <c r="A72" s="2117" t="s">
        <v>2065</v>
      </c>
      <c r="B72" s="2120">
        <f>估价对象房地状况!C15</f>
        <v>0</v>
      </c>
      <c r="C72" s="2031"/>
      <c r="D72" s="1052">
        <f t="shared" ref="D72:D80" si="17">SUMIF($J$71:$N$71,C72,J72:N72)</f>
        <v>0</v>
      </c>
      <c r="E72" s="731">
        <f>ROUND(SUM(D72:D80),4)</f>
        <v>0</v>
      </c>
      <c r="F72" s="1801" t="str">
        <f>IF(E2="住宅",SUMIF(L1:L12,G2,N1:N12),"——")</f>
        <v>——</v>
      </c>
      <c r="G72" s="1050"/>
      <c r="H72" s="1053" t="str">
        <f t="shared" ref="H72:H80" si="18">IFERROR(ROUNDDOWN($F$72*I72/2,4),"——")</f>
        <v>——</v>
      </c>
      <c r="I72" s="3344">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38.25" hidden="1">
      <c r="A73" s="2117" t="s">
        <v>2052</v>
      </c>
      <c r="B73" s="2121" t="str">
        <f>估价对象房地状况!C18</f>
        <v>估价对象周边道路状况、公共交通通达情况、停车便捷程度，综合评价交通便捷度较好</v>
      </c>
      <c r="C73" s="2031"/>
      <c r="D73" s="1052">
        <f t="shared" si="17"/>
        <v>0</v>
      </c>
      <c r="E73" s="734"/>
      <c r="F73" s="1801"/>
      <c r="G73" s="1050"/>
      <c r="H73" s="1053" t="str">
        <f t="shared" si="18"/>
        <v>——</v>
      </c>
      <c r="I73" s="3344">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4" customFormat="1" ht="36" hidden="1">
      <c r="A74" s="3346" t="s">
        <v>3264</v>
      </c>
      <c r="B74" s="2121">
        <f>估价对象房地状况!C19</f>
        <v>0</v>
      </c>
      <c r="C74" s="2031"/>
      <c r="D74" s="1052">
        <f t="shared" si="17"/>
        <v>0</v>
      </c>
      <c r="E74" s="734"/>
      <c r="F74" s="1801"/>
      <c r="G74" s="1050"/>
      <c r="H74" s="1053" t="str">
        <f t="shared" si="18"/>
        <v>——</v>
      </c>
      <c r="I74" s="3344">
        <v>0.1</v>
      </c>
      <c r="J74" s="1051">
        <f t="shared" si="19"/>
        <v>0</v>
      </c>
      <c r="K74" s="1051">
        <f t="shared" si="20"/>
        <v>0</v>
      </c>
      <c r="L74" s="1051">
        <v>0</v>
      </c>
      <c r="M74" s="1051">
        <f t="shared" si="21"/>
        <v>0</v>
      </c>
      <c r="N74" s="1051">
        <f t="shared" si="21"/>
        <v>0</v>
      </c>
      <c r="O74" s="1106"/>
      <c r="P74" s="1106"/>
      <c r="Q74" s="1106"/>
      <c r="AA74" s="2128"/>
      <c r="AB74" s="1107"/>
      <c r="AC74" s="1107"/>
      <c r="AD74" s="1107"/>
      <c r="AE74" s="1107"/>
      <c r="AF74" s="1107"/>
      <c r="AG74" s="1107"/>
      <c r="AH74" s="2128"/>
      <c r="AI74" s="2128"/>
      <c r="AJ74" s="2128"/>
      <c r="AK74" s="2128"/>
    </row>
    <row r="75" spans="1:37" ht="14.25" hidden="1">
      <c r="A75" s="2117" t="s">
        <v>2066</v>
      </c>
      <c r="B75" s="2121" t="str">
        <f>估价对象房地状况!C24</f>
        <v>城市主干道-板井路</v>
      </c>
      <c r="C75" s="2031"/>
      <c r="D75" s="1052">
        <f t="shared" si="17"/>
        <v>0</v>
      </c>
      <c r="E75" s="734"/>
      <c r="F75" s="1801"/>
      <c r="G75" s="1050"/>
      <c r="H75" s="1053" t="str">
        <f t="shared" si="18"/>
        <v>——</v>
      </c>
      <c r="I75" s="3344">
        <v>0.05</v>
      </c>
      <c r="J75" s="1051">
        <f t="shared" si="19"/>
        <v>0</v>
      </c>
      <c r="K75" s="1051">
        <f t="shared" si="20"/>
        <v>0</v>
      </c>
      <c r="L75" s="1051">
        <v>0</v>
      </c>
      <c r="M75" s="1051">
        <f t="shared" si="21"/>
        <v>0</v>
      </c>
      <c r="N75" s="1051">
        <f t="shared" si="21"/>
        <v>0</v>
      </c>
      <c r="O75" s="1106"/>
      <c r="P75" s="1106"/>
      <c r="Q75" s="1984"/>
      <c r="Z75" s="1985"/>
      <c r="AA75" s="2040"/>
      <c r="AG75" s="1108"/>
      <c r="AK75" s="2040"/>
    </row>
    <row r="76" spans="1:37" ht="25.5" hidden="1">
      <c r="A76" s="2117" t="s">
        <v>2058</v>
      </c>
      <c r="B76" s="1313" t="str">
        <f>估价对象房地状况!C21</f>
        <v>估价对象所在区域公共配套设施齐备情况较好</v>
      </c>
      <c r="C76" s="2031"/>
      <c r="D76" s="1052">
        <f t="shared" si="17"/>
        <v>0</v>
      </c>
      <c r="E76" s="734"/>
      <c r="F76" s="1801"/>
      <c r="G76" s="1050"/>
      <c r="H76" s="1053" t="str">
        <f t="shared" si="18"/>
        <v>——</v>
      </c>
      <c r="I76" s="3344">
        <v>0.08</v>
      </c>
      <c r="J76" s="1051">
        <f t="shared" si="19"/>
        <v>0</v>
      </c>
      <c r="K76" s="1051">
        <f t="shared" si="20"/>
        <v>0</v>
      </c>
      <c r="L76" s="1051">
        <v>0</v>
      </c>
      <c r="M76" s="1051">
        <f t="shared" si="21"/>
        <v>0</v>
      </c>
      <c r="N76" s="1051">
        <f t="shared" si="21"/>
        <v>0</v>
      </c>
      <c r="O76" s="1106"/>
      <c r="P76" s="1106"/>
      <c r="Z76" s="1985"/>
      <c r="AA76" s="2040"/>
      <c r="AG76" s="1108"/>
      <c r="AK76" s="2040"/>
    </row>
    <row r="77" spans="1:37" ht="24" hidden="1">
      <c r="A77" s="2117" t="s">
        <v>2059</v>
      </c>
      <c r="B77" s="1313" t="str">
        <f>估价对象房地状况!C22</f>
        <v>七通</v>
      </c>
      <c r="C77" s="2031"/>
      <c r="D77" s="1052">
        <f t="shared" si="17"/>
        <v>0</v>
      </c>
      <c r="E77" s="734"/>
      <c r="F77" s="1801"/>
      <c r="G77" s="1050"/>
      <c r="H77" s="1053" t="str">
        <f t="shared" si="18"/>
        <v>——</v>
      </c>
      <c r="I77" s="3344">
        <v>0.09</v>
      </c>
      <c r="J77" s="1051">
        <f t="shared" si="19"/>
        <v>0</v>
      </c>
      <c r="K77" s="1051">
        <f t="shared" si="20"/>
        <v>0</v>
      </c>
      <c r="L77" s="1051">
        <v>0</v>
      </c>
      <c r="M77" s="1051">
        <f t="shared" si="21"/>
        <v>0</v>
      </c>
      <c r="N77" s="1051">
        <f t="shared" si="21"/>
        <v>0</v>
      </c>
      <c r="O77" s="1106"/>
      <c r="P77" s="1106"/>
      <c r="Z77" s="1985"/>
      <c r="AA77" s="2040"/>
      <c r="AG77" s="1108"/>
      <c r="AK77" s="2040"/>
    </row>
    <row r="78" spans="1:37" ht="24" hidden="1">
      <c r="A78" s="2117" t="s">
        <v>2056</v>
      </c>
      <c r="B78" s="2123" t="s">
        <v>2057</v>
      </c>
      <c r="C78" s="2031"/>
      <c r="D78" s="1052">
        <f t="shared" si="17"/>
        <v>0</v>
      </c>
      <c r="E78" s="734"/>
      <c r="F78" s="1801"/>
      <c r="G78" s="1050"/>
      <c r="H78" s="1053" t="str">
        <f t="shared" si="18"/>
        <v>——</v>
      </c>
      <c r="I78" s="3344">
        <v>0.05</v>
      </c>
      <c r="J78" s="1051">
        <f t="shared" si="19"/>
        <v>0</v>
      </c>
      <c r="K78" s="1051">
        <f t="shared" si="20"/>
        <v>0</v>
      </c>
      <c r="L78" s="1051">
        <v>0</v>
      </c>
      <c r="M78" s="1051">
        <f t="shared" si="21"/>
        <v>0</v>
      </c>
      <c r="N78" s="1051">
        <f t="shared" si="21"/>
        <v>0</v>
      </c>
      <c r="O78" s="1984"/>
      <c r="P78" s="1984"/>
      <c r="Z78" s="1985"/>
      <c r="AA78" s="2040"/>
      <c r="AG78" s="1108"/>
      <c r="AK78" s="2040"/>
    </row>
    <row r="79" spans="1:37" ht="51" hidden="1">
      <c r="A79" s="2117" t="s">
        <v>2060</v>
      </c>
      <c r="B79" s="2120" t="str">
        <f>估价对象房地状况!C20</f>
        <v>区域自然环境：蓝靛厂公园、四季曙光公园、南长河公园；人文环境；综合评价环境状况较好</v>
      </c>
      <c r="C79" s="2031"/>
      <c r="D79" s="1052">
        <f t="shared" si="17"/>
        <v>0</v>
      </c>
      <c r="E79" s="734"/>
      <c r="F79" s="1801"/>
      <c r="G79" s="1050"/>
      <c r="H79" s="1053" t="str">
        <f t="shared" si="18"/>
        <v>——</v>
      </c>
      <c r="I79" s="3344">
        <v>0.12</v>
      </c>
      <c r="J79" s="1051">
        <f t="shared" si="19"/>
        <v>0</v>
      </c>
      <c r="K79" s="1051">
        <f t="shared" si="20"/>
        <v>0</v>
      </c>
      <c r="L79" s="1051">
        <v>0</v>
      </c>
      <c r="M79" s="1051">
        <f t="shared" si="21"/>
        <v>0</v>
      </c>
      <c r="N79" s="1051">
        <f t="shared" si="21"/>
        <v>0</v>
      </c>
      <c r="Z79" s="1985"/>
      <c r="AA79" s="2040"/>
      <c r="AG79" s="1108"/>
      <c r="AK79" s="2040"/>
    </row>
    <row r="80" spans="1:37" ht="24.75" hidden="1" thickBot="1">
      <c r="A80" s="2125" t="s">
        <v>2067</v>
      </c>
      <c r="B80" s="2129"/>
      <c r="C80" s="2031"/>
      <c r="D80" s="1052">
        <f t="shared" si="17"/>
        <v>0</v>
      </c>
      <c r="E80" s="735"/>
      <c r="F80" s="1801"/>
      <c r="G80" s="1050"/>
      <c r="H80" s="1053" t="str">
        <f t="shared" si="18"/>
        <v>——</v>
      </c>
      <c r="I80" s="3345">
        <v>0.05</v>
      </c>
      <c r="J80" s="1051">
        <f t="shared" si="19"/>
        <v>0</v>
      </c>
      <c r="K80" s="1051">
        <f t="shared" si="20"/>
        <v>0</v>
      </c>
      <c r="L80" s="1051">
        <v>0</v>
      </c>
      <c r="M80" s="1051">
        <f t="shared" si="21"/>
        <v>0</v>
      </c>
      <c r="N80" s="1051">
        <f t="shared" si="21"/>
        <v>0</v>
      </c>
      <c r="Z80" s="1985"/>
      <c r="AA80" s="2040"/>
      <c r="AG80" s="1108"/>
      <c r="AK80" s="2040"/>
    </row>
    <row r="81" spans="1:37" ht="15">
      <c r="A81" s="2113" t="s">
        <v>2068</v>
      </c>
      <c r="B81" s="2114">
        <f>1+E83</f>
        <v>0.96779999999999999</v>
      </c>
      <c r="C81" s="728"/>
      <c r="D81" s="728"/>
      <c r="E81" s="729"/>
      <c r="F81" s="2116"/>
      <c r="G81" s="3"/>
      <c r="H81" s="3"/>
      <c r="I81" s="3"/>
      <c r="J81" s="4"/>
      <c r="K81" s="4"/>
      <c r="L81" s="4"/>
      <c r="M81" s="4"/>
      <c r="N81" s="4"/>
      <c r="Z81" s="1985"/>
      <c r="AA81" s="2040"/>
      <c r="AG81" s="1108"/>
      <c r="AK81" s="2040"/>
    </row>
    <row r="82" spans="1:37" ht="24.75">
      <c r="A82" s="2117" t="s">
        <v>2043</v>
      </c>
      <c r="B82" s="1338"/>
      <c r="C82" s="1338" t="s">
        <v>2045</v>
      </c>
      <c r="D82" s="1338" t="s">
        <v>2046</v>
      </c>
      <c r="E82" s="730" t="s">
        <v>2047</v>
      </c>
      <c r="F82" s="2118" t="s">
        <v>2062</v>
      </c>
      <c r="G82" s="1338" t="s">
        <v>310</v>
      </c>
      <c r="H82" s="2119" t="s">
        <v>2049</v>
      </c>
      <c r="I82" s="1338" t="s">
        <v>2050</v>
      </c>
      <c r="J82" s="542" t="s">
        <v>1720</v>
      </c>
      <c r="K82" s="542" t="s">
        <v>1721</v>
      </c>
      <c r="L82" s="542" t="s">
        <v>1722</v>
      </c>
      <c r="M82" s="542" t="s">
        <v>1723</v>
      </c>
      <c r="N82" s="542" t="s">
        <v>1724</v>
      </c>
      <c r="Z82" s="1985"/>
      <c r="AA82" s="2040"/>
      <c r="AG82" s="1108"/>
      <c r="AK82" s="2040"/>
    </row>
    <row r="83" spans="1:37" ht="38.25">
      <c r="A83" s="2117" t="s">
        <v>2069</v>
      </c>
      <c r="B83" s="2121" t="str">
        <f>估价对象房地状况!G15</f>
        <v>估价对象位于XX开发区，园区建设成熟度XX，产业集聚程度XX</v>
      </c>
      <c r="C83" s="2031" t="s">
        <v>3391</v>
      </c>
      <c r="D83" s="1052">
        <f t="shared" ref="D83:D90" si="22">SUMIF($J$82:$N$82,C83,J83:N83)</f>
        <v>-1.95E-2</v>
      </c>
      <c r="E83" s="731">
        <f>ROUND(SUM(D83:D90),4)</f>
        <v>-3.2199999999999999E-2</v>
      </c>
      <c r="F83" s="1801" t="str">
        <f>IF(E2="工业",SUMIF(L1:L12,G2,N1:N12),"——")</f>
        <v>——</v>
      </c>
      <c r="G83" s="1050">
        <v>1.95E-2</v>
      </c>
      <c r="H83" s="1053" t="str">
        <f t="shared" ref="H83:H90" si="23">IFERROR(ROUNDDOWN($F$83*I83/2,4),"——")</f>
        <v>——</v>
      </c>
      <c r="I83" s="3344">
        <v>0.26</v>
      </c>
      <c r="J83" s="1051">
        <f t="shared" ref="J83:J90" si="24">K83+$G83</f>
        <v>3.9E-2</v>
      </c>
      <c r="K83" s="1051">
        <f t="shared" ref="K83:K90" si="25">$L83+$G83</f>
        <v>1.95E-2</v>
      </c>
      <c r="L83" s="1051">
        <v>0</v>
      </c>
      <c r="M83" s="1051">
        <f t="shared" ref="M83:N90" si="26">L83-$G83</f>
        <v>-1.95E-2</v>
      </c>
      <c r="N83" s="1051">
        <f t="shared" si="26"/>
        <v>-3.9E-2</v>
      </c>
      <c r="Z83" s="1985"/>
      <c r="AA83" s="2040"/>
      <c r="AG83" s="1108"/>
      <c r="AK83" s="2040"/>
    </row>
    <row r="84" spans="1:37" ht="38.25">
      <c r="A84" s="2117" t="s">
        <v>2052</v>
      </c>
      <c r="B84" s="2121" t="str">
        <f>估价对象房地状况!G16</f>
        <v>估价对象周边道路状况、公共交通通达情况、停车便捷程度，综合评价交通便捷度较好</v>
      </c>
      <c r="C84" s="2031" t="s">
        <v>3391</v>
      </c>
      <c r="D84" s="1052">
        <f t="shared" si="22"/>
        <v>-2.2499999999999999E-2</v>
      </c>
      <c r="E84" s="734"/>
      <c r="F84" s="1801"/>
      <c r="G84" s="1050">
        <v>2.2499999999999999E-2</v>
      </c>
      <c r="H84" s="1053" t="str">
        <f t="shared" si="23"/>
        <v>——</v>
      </c>
      <c r="I84" s="3344">
        <v>0.3</v>
      </c>
      <c r="J84" s="1051">
        <f t="shared" si="24"/>
        <v>4.4999999999999998E-2</v>
      </c>
      <c r="K84" s="1051">
        <f t="shared" si="25"/>
        <v>2.2499999999999999E-2</v>
      </c>
      <c r="L84" s="1051">
        <v>0</v>
      </c>
      <c r="M84" s="1051">
        <f t="shared" si="26"/>
        <v>-2.2499999999999999E-2</v>
      </c>
      <c r="N84" s="1051">
        <f t="shared" si="26"/>
        <v>-4.4999999999999998E-2</v>
      </c>
      <c r="Z84" s="1985"/>
      <c r="AA84" s="2040"/>
      <c r="AG84" s="1108"/>
      <c r="AK84" s="2040"/>
    </row>
    <row r="85" spans="1:37" ht="36">
      <c r="A85" s="3346" t="s">
        <v>3265</v>
      </c>
      <c r="B85" s="2121">
        <f>估价对象房地状况!G17</f>
        <v>0</v>
      </c>
      <c r="C85" s="2031" t="s">
        <v>3390</v>
      </c>
      <c r="D85" s="1052">
        <f t="shared" si="22"/>
        <v>0</v>
      </c>
      <c r="E85" s="734"/>
      <c r="F85" s="1801"/>
      <c r="G85" s="1050">
        <v>7.4999999999999997E-3</v>
      </c>
      <c r="H85" s="1053" t="str">
        <f t="shared" si="23"/>
        <v>——</v>
      </c>
      <c r="I85" s="3344">
        <v>0.1</v>
      </c>
      <c r="J85" s="1051">
        <f t="shared" si="24"/>
        <v>1.4999999999999999E-2</v>
      </c>
      <c r="K85" s="1051">
        <f t="shared" si="25"/>
        <v>7.4999999999999997E-3</v>
      </c>
      <c r="L85" s="1051">
        <v>0</v>
      </c>
      <c r="M85" s="1051">
        <f t="shared" si="26"/>
        <v>-7.4999999999999997E-3</v>
      </c>
      <c r="N85" s="1051">
        <f t="shared" si="26"/>
        <v>-1.4999999999999999E-2</v>
      </c>
      <c r="Z85" s="1985"/>
      <c r="AA85" s="2040"/>
      <c r="AG85" s="1108"/>
      <c r="AK85" s="2040"/>
    </row>
    <row r="86" spans="1:37" ht="14.25">
      <c r="A86" s="2117" t="s">
        <v>2066</v>
      </c>
      <c r="B86" s="2121">
        <f>估价对象房地状况!G22</f>
        <v>0</v>
      </c>
      <c r="C86" s="2031" t="s">
        <v>3391</v>
      </c>
      <c r="D86" s="1052">
        <f t="shared" si="22"/>
        <v>-3.7000000000000002E-3</v>
      </c>
      <c r="E86" s="734"/>
      <c r="F86" s="1801"/>
      <c r="G86" s="1050">
        <v>3.7000000000000002E-3</v>
      </c>
      <c r="H86" s="1053" t="str">
        <f t="shared" si="23"/>
        <v>——</v>
      </c>
      <c r="I86" s="3344">
        <v>0.05</v>
      </c>
      <c r="J86" s="1051">
        <f t="shared" si="24"/>
        <v>7.4000000000000003E-3</v>
      </c>
      <c r="K86" s="1051">
        <f t="shared" si="25"/>
        <v>3.7000000000000002E-3</v>
      </c>
      <c r="L86" s="1051">
        <v>0</v>
      </c>
      <c r="M86" s="1051">
        <f t="shared" si="26"/>
        <v>-3.7000000000000002E-3</v>
      </c>
      <c r="N86" s="1051">
        <f t="shared" si="26"/>
        <v>-7.4000000000000003E-3</v>
      </c>
      <c r="Z86" s="1985"/>
      <c r="AA86" s="2040"/>
      <c r="AG86" s="1108"/>
      <c r="AK86" s="2040"/>
    </row>
    <row r="87" spans="1:37" ht="25.5">
      <c r="A87" s="2117" t="s">
        <v>2058</v>
      </c>
      <c r="B87" s="1313" t="str">
        <f>估价对象房地状况!G19</f>
        <v>估价对象所在区域公共配套设施齐备情况</v>
      </c>
      <c r="C87" s="2031" t="s">
        <v>3390</v>
      </c>
      <c r="D87" s="1052">
        <f t="shared" si="22"/>
        <v>0</v>
      </c>
      <c r="E87" s="734"/>
      <c r="F87" s="1801"/>
      <c r="G87" s="1050">
        <v>4.4999999999999997E-3</v>
      </c>
      <c r="H87" s="1053" t="str">
        <f t="shared" si="23"/>
        <v>——</v>
      </c>
      <c r="I87" s="3344">
        <v>0.06</v>
      </c>
      <c r="J87" s="1051">
        <f t="shared" si="24"/>
        <v>8.9999999999999993E-3</v>
      </c>
      <c r="K87" s="1051">
        <f t="shared" si="25"/>
        <v>4.4999999999999997E-3</v>
      </c>
      <c r="L87" s="1051">
        <v>0</v>
      </c>
      <c r="M87" s="1051">
        <f t="shared" si="26"/>
        <v>-4.4999999999999997E-3</v>
      </c>
      <c r="N87" s="1051">
        <f t="shared" si="26"/>
        <v>-8.9999999999999993E-3</v>
      </c>
    </row>
    <row r="88" spans="1:37" ht="25.5">
      <c r="A88" s="2117" t="s">
        <v>2059</v>
      </c>
      <c r="B88" s="1313" t="str">
        <f>估价对象房地状况!G20</f>
        <v>估价对象所在区域基础设施水平</v>
      </c>
      <c r="C88" s="2031" t="s">
        <v>3389</v>
      </c>
      <c r="D88" s="1052">
        <f t="shared" si="22"/>
        <v>8.9999999999999993E-3</v>
      </c>
      <c r="E88" s="734"/>
      <c r="F88" s="1801"/>
      <c r="G88" s="1050">
        <v>8.9999999999999993E-3</v>
      </c>
      <c r="H88" s="1053" t="str">
        <f t="shared" si="23"/>
        <v>——</v>
      </c>
      <c r="I88" s="3344">
        <v>0.12</v>
      </c>
      <c r="J88" s="1051">
        <f t="shared" si="24"/>
        <v>1.7999999999999999E-2</v>
      </c>
      <c r="K88" s="1051">
        <f t="shared" si="25"/>
        <v>8.9999999999999993E-3</v>
      </c>
      <c r="L88" s="1051">
        <v>0</v>
      </c>
      <c r="M88" s="1051">
        <f t="shared" si="26"/>
        <v>-8.9999999999999993E-3</v>
      </c>
      <c r="N88" s="1051">
        <f t="shared" si="26"/>
        <v>-1.7999999999999999E-2</v>
      </c>
    </row>
    <row r="89" spans="1:37" ht="24">
      <c r="A89" s="2117" t="s">
        <v>2056</v>
      </c>
      <c r="B89" s="2123" t="s">
        <v>2070</v>
      </c>
      <c r="C89" s="2031" t="s">
        <v>3389</v>
      </c>
      <c r="D89" s="1052">
        <f t="shared" si="22"/>
        <v>4.4999999999999997E-3</v>
      </c>
      <c r="E89" s="734"/>
      <c r="F89" s="1801"/>
      <c r="G89" s="1050">
        <v>4.4999999999999997E-3</v>
      </c>
      <c r="H89" s="1053" t="str">
        <f t="shared" si="23"/>
        <v>——</v>
      </c>
      <c r="I89" s="3344">
        <v>0.06</v>
      </c>
      <c r="J89" s="1051">
        <f t="shared" si="24"/>
        <v>8.9999999999999993E-3</v>
      </c>
      <c r="K89" s="1051">
        <f t="shared" si="25"/>
        <v>4.4999999999999997E-3</v>
      </c>
      <c r="L89" s="1051">
        <v>0</v>
      </c>
      <c r="M89" s="1051">
        <f t="shared" si="26"/>
        <v>-4.4999999999999997E-3</v>
      </c>
      <c r="N89" s="1051">
        <f t="shared" si="26"/>
        <v>-8.9999999999999993E-3</v>
      </c>
    </row>
    <row r="90" spans="1:37" ht="39" thickBot="1">
      <c r="A90" s="2125" t="s">
        <v>2071</v>
      </c>
      <c r="B90" s="2130" t="str">
        <f>估价对象房地状况!G18</f>
        <v>该园区内是否有污染型企业，绿化情况，卫生条件，整体环境状况判断</v>
      </c>
      <c r="C90" s="2031" t="s">
        <v>3390</v>
      </c>
      <c r="D90" s="1052">
        <f t="shared" si="22"/>
        <v>0</v>
      </c>
      <c r="E90" s="735"/>
      <c r="F90" s="1801"/>
      <c r="G90" s="1050">
        <v>3.7000000000000002E-3</v>
      </c>
      <c r="H90" s="1053" t="str">
        <f t="shared" si="23"/>
        <v>——</v>
      </c>
      <c r="I90" s="3345">
        <v>0.05</v>
      </c>
      <c r="J90" s="1051">
        <f t="shared" si="24"/>
        <v>7.4000000000000003E-3</v>
      </c>
      <c r="K90" s="1051">
        <f t="shared" si="25"/>
        <v>3.7000000000000002E-3</v>
      </c>
      <c r="L90" s="1051">
        <v>0</v>
      </c>
      <c r="M90" s="1051">
        <f t="shared" si="26"/>
        <v>-3.7000000000000002E-3</v>
      </c>
      <c r="N90" s="1051">
        <f t="shared" si="26"/>
        <v>-7.4000000000000003E-3</v>
      </c>
    </row>
    <row r="91" spans="1:37" ht="15">
      <c r="A91" s="3354" t="s">
        <v>2607</v>
      </c>
      <c r="B91" s="3355">
        <f>1+E93</f>
        <v>1</v>
      </c>
      <c r="C91" s="3348"/>
      <c r="D91" s="3349"/>
      <c r="E91" s="1801"/>
      <c r="F91" s="1801"/>
      <c r="G91" s="3350"/>
      <c r="H91" s="3351"/>
      <c r="I91" s="3352"/>
      <c r="J91" s="3353"/>
      <c r="K91" s="3353"/>
      <c r="L91" s="3353"/>
      <c r="M91" s="3353"/>
      <c r="N91" s="3353"/>
    </row>
    <row r="92" spans="1:37" ht="24.75">
      <c r="A92" s="3356" t="s">
        <v>3266</v>
      </c>
      <c r="B92" s="3343"/>
      <c r="C92" s="3343" t="s">
        <v>3275</v>
      </c>
      <c r="D92" s="3343" t="s">
        <v>3276</v>
      </c>
      <c r="E92" s="3325" t="s">
        <v>3277</v>
      </c>
      <c r="F92" s="3358" t="s">
        <v>3278</v>
      </c>
      <c r="G92" s="3343" t="s">
        <v>3279</v>
      </c>
      <c r="H92" s="3365" t="s">
        <v>3282</v>
      </c>
      <c r="I92" s="3343" t="s">
        <v>3283</v>
      </c>
      <c r="J92" s="3366" t="s">
        <v>3284</v>
      </c>
      <c r="K92" s="3366" t="s">
        <v>3285</v>
      </c>
      <c r="L92" s="3366" t="s">
        <v>3286</v>
      </c>
      <c r="M92" s="3366" t="s">
        <v>3287</v>
      </c>
      <c r="N92" s="3366" t="s">
        <v>3288</v>
      </c>
    </row>
    <row r="93" spans="1:37" ht="24">
      <c r="A93" s="3346" t="s">
        <v>3267</v>
      </c>
      <c r="B93" s="1293"/>
      <c r="C93" s="2031"/>
      <c r="D93" s="3343">
        <f>SUMIF($J$92:$N$92,C93,J93:N93)</f>
        <v>0</v>
      </c>
      <c r="E93" s="3359">
        <f>ROUND(SUM(D93:D101),4)</f>
        <v>0</v>
      </c>
      <c r="F93" s="1801"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3268</v>
      </c>
      <c r="B94" s="3347" t="str">
        <f>估价对象房地状况!C18</f>
        <v>估价对象周边道路状况、公共交通通达情况、停车便捷程度，综合评价交通便捷度较好</v>
      </c>
      <c r="C94" s="2031"/>
      <c r="D94" s="3343">
        <f t="shared" ref="D94:D101" si="30">SUMIF($J$60:$N$60,C94,J94:N94)</f>
        <v>0</v>
      </c>
      <c r="E94" s="3360"/>
      <c r="F94" s="1801"/>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3264</v>
      </c>
      <c r="B95" s="3347">
        <f>估价对象房地状况!C19</f>
        <v>0</v>
      </c>
      <c r="C95" s="2031"/>
      <c r="D95" s="3343">
        <f t="shared" si="30"/>
        <v>0</v>
      </c>
      <c r="E95" s="3360"/>
      <c r="F95" s="1801"/>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3269</v>
      </c>
      <c r="B96" s="3362" t="s">
        <v>3280</v>
      </c>
      <c r="C96" s="2031"/>
      <c r="D96" s="3343">
        <f t="shared" si="30"/>
        <v>0</v>
      </c>
      <c r="E96" s="3360"/>
      <c r="F96" s="1801"/>
      <c r="G96" s="3350"/>
      <c r="H96" s="3398" t="str">
        <f t="shared" si="31"/>
        <v>——</v>
      </c>
      <c r="I96" s="3344">
        <v>0.05</v>
      </c>
      <c r="J96" s="3322">
        <f t="shared" si="27"/>
        <v>0</v>
      </c>
      <c r="K96" s="3322">
        <f t="shared" si="28"/>
        <v>0</v>
      </c>
      <c r="L96" s="3322">
        <v>0</v>
      </c>
      <c r="M96" s="3322">
        <f t="shared" si="29"/>
        <v>0</v>
      </c>
      <c r="N96" s="3322">
        <f t="shared" si="29"/>
        <v>0</v>
      </c>
    </row>
    <row r="97" spans="1:14" ht="24">
      <c r="A97" s="3356" t="s">
        <v>3270</v>
      </c>
      <c r="B97" s="3347" t="str">
        <f>估价对象房地状况!C24</f>
        <v>城市主干道-板井路</v>
      </c>
      <c r="C97" s="2031"/>
      <c r="D97" s="3343">
        <f t="shared" si="30"/>
        <v>0</v>
      </c>
      <c r="E97" s="3360"/>
      <c r="F97" s="1801"/>
      <c r="G97" s="3350"/>
      <c r="H97" s="3398" t="str">
        <f t="shared" si="31"/>
        <v>——</v>
      </c>
      <c r="I97" s="3344">
        <v>0.05</v>
      </c>
      <c r="J97" s="3322">
        <f t="shared" si="27"/>
        <v>0</v>
      </c>
      <c r="K97" s="3322">
        <f t="shared" si="28"/>
        <v>0</v>
      </c>
      <c r="L97" s="3322">
        <v>0</v>
      </c>
      <c r="M97" s="3322">
        <f t="shared" si="29"/>
        <v>0</v>
      </c>
      <c r="N97" s="3322">
        <f t="shared" si="29"/>
        <v>0</v>
      </c>
    </row>
    <row r="98" spans="1:14" ht="24">
      <c r="A98" s="3356" t="s">
        <v>3271</v>
      </c>
      <c r="B98" s="3363" t="s">
        <v>3281</v>
      </c>
      <c r="C98" s="2031"/>
      <c r="D98" s="3343">
        <f t="shared" si="30"/>
        <v>0</v>
      </c>
      <c r="E98" s="3360"/>
      <c r="F98" s="1801"/>
      <c r="G98" s="3350"/>
      <c r="H98" s="3398" t="str">
        <f t="shared" si="31"/>
        <v>——</v>
      </c>
      <c r="I98" s="3344">
        <v>0.06</v>
      </c>
      <c r="J98" s="3322">
        <f t="shared" si="27"/>
        <v>0</v>
      </c>
      <c r="K98" s="3322">
        <f t="shared" si="28"/>
        <v>0</v>
      </c>
      <c r="L98" s="3322">
        <v>0</v>
      </c>
      <c r="M98" s="3322">
        <f t="shared" si="29"/>
        <v>0</v>
      </c>
      <c r="N98" s="3322">
        <f t="shared" si="29"/>
        <v>0</v>
      </c>
    </row>
    <row r="99" spans="1:14" ht="25.5">
      <c r="A99" s="3356" t="s">
        <v>3272</v>
      </c>
      <c r="B99" s="3347" t="str">
        <f>估价对象房地状况!C21</f>
        <v>估价对象所在区域公共配套设施齐备情况较好</v>
      </c>
      <c r="C99" s="2031"/>
      <c r="D99" s="3343">
        <f t="shared" si="30"/>
        <v>0</v>
      </c>
      <c r="E99" s="3360"/>
      <c r="F99" s="1801"/>
      <c r="G99" s="3350"/>
      <c r="H99" s="3398" t="str">
        <f t="shared" si="31"/>
        <v>——</v>
      </c>
      <c r="I99" s="3344">
        <v>0.06</v>
      </c>
      <c r="J99" s="3322">
        <f t="shared" si="27"/>
        <v>0</v>
      </c>
      <c r="K99" s="3322">
        <f t="shared" si="28"/>
        <v>0</v>
      </c>
      <c r="L99" s="3322">
        <v>0</v>
      </c>
      <c r="M99" s="3322">
        <f t="shared" si="29"/>
        <v>0</v>
      </c>
      <c r="N99" s="3322">
        <f t="shared" si="29"/>
        <v>0</v>
      </c>
    </row>
    <row r="100" spans="1:14" ht="24">
      <c r="A100" s="3356" t="s">
        <v>3273</v>
      </c>
      <c r="B100" s="3347" t="str">
        <f>估价对象房地状况!C22</f>
        <v>七通</v>
      </c>
      <c r="C100" s="2031"/>
      <c r="D100" s="3343">
        <f t="shared" si="30"/>
        <v>0</v>
      </c>
      <c r="E100" s="3360"/>
      <c r="F100" s="1801"/>
      <c r="G100" s="3350"/>
      <c r="H100" s="3398" t="str">
        <f t="shared" si="31"/>
        <v>——</v>
      </c>
      <c r="I100" s="3344">
        <v>0.09</v>
      </c>
      <c r="J100" s="3322">
        <f t="shared" si="27"/>
        <v>0</v>
      </c>
      <c r="K100" s="3322">
        <f t="shared" si="28"/>
        <v>0</v>
      </c>
      <c r="L100" s="3322">
        <v>0</v>
      </c>
      <c r="M100" s="3322">
        <f t="shared" si="29"/>
        <v>0</v>
      </c>
      <c r="N100" s="3322">
        <f t="shared" si="29"/>
        <v>0</v>
      </c>
    </row>
    <row r="101" spans="1:14" ht="51.75" thickBot="1">
      <c r="A101" s="3357" t="s">
        <v>3274</v>
      </c>
      <c r="B101" s="3364" t="str">
        <f>估价对象房地状况!C20</f>
        <v>区域自然环境：蓝靛厂公园、四季曙光公园、南长河公园；人文环境；综合评价环境状况较好</v>
      </c>
      <c r="C101" s="2031"/>
      <c r="D101" s="3343">
        <f t="shared" si="30"/>
        <v>0</v>
      </c>
      <c r="E101" s="3361"/>
      <c r="F101" s="1801"/>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841" t="s">
        <v>3289</v>
      </c>
      <c r="B103" s="3841"/>
      <c r="C103" s="3841"/>
      <c r="D103" s="3841"/>
      <c r="E103" s="3841"/>
      <c r="F103" s="3841"/>
      <c r="G103" s="3841"/>
      <c r="H103" s="3841"/>
      <c r="I103" s="3841"/>
      <c r="J103" s="3841"/>
      <c r="K103" s="3367"/>
      <c r="L103" s="3367"/>
      <c r="M103" s="3367"/>
      <c r="N103" s="3367"/>
    </row>
    <row r="104" spans="1:14">
      <c r="A104" s="3842" t="s">
        <v>3290</v>
      </c>
      <c r="B104" s="3842" t="s">
        <v>3291</v>
      </c>
      <c r="C104" s="3368" t="s">
        <v>3292</v>
      </c>
      <c r="D104" s="3369"/>
      <c r="E104" s="3369"/>
      <c r="F104" s="3369"/>
      <c r="G104" s="3369"/>
      <c r="H104" s="3369"/>
      <c r="I104" s="3369"/>
      <c r="J104" s="3370"/>
      <c r="K104" s="3371"/>
      <c r="L104" s="3371"/>
      <c r="M104" s="3371"/>
      <c r="N104" s="3371"/>
    </row>
    <row r="105" spans="1:14">
      <c r="A105" s="3842"/>
      <c r="B105" s="3842"/>
      <c r="C105" s="3372" t="s">
        <v>3293</v>
      </c>
      <c r="D105" s="3372" t="s">
        <v>3294</v>
      </c>
      <c r="E105" s="3372" t="s">
        <v>3295</v>
      </c>
      <c r="F105" s="3372" t="s">
        <v>3296</v>
      </c>
      <c r="G105" s="3372" t="s">
        <v>3297</v>
      </c>
      <c r="H105" s="3372" t="s">
        <v>3298</v>
      </c>
      <c r="I105" s="3372" t="s">
        <v>3299</v>
      </c>
      <c r="J105" s="3372" t="s">
        <v>3300</v>
      </c>
      <c r="K105" s="3372" t="s">
        <v>3301</v>
      </c>
      <c r="L105" s="3372" t="s">
        <v>3302</v>
      </c>
      <c r="M105" s="3372" t="s">
        <v>3303</v>
      </c>
      <c r="N105" s="3372" t="s">
        <v>3304</v>
      </c>
    </row>
    <row r="106" spans="1:14">
      <c r="A106" s="3828" t="s">
        <v>3305</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829"/>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829"/>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829"/>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829"/>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829"/>
      <c r="B111" s="3372" t="s">
        <v>3263</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830"/>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831" t="s">
        <v>3306</v>
      </c>
      <c r="B113" s="3831"/>
      <c r="C113" s="3831"/>
      <c r="D113" s="3831"/>
      <c r="E113" s="3831"/>
      <c r="F113" s="3831"/>
      <c r="G113" s="3831"/>
      <c r="H113" s="3831"/>
      <c r="I113" s="3831"/>
      <c r="J113" s="3831"/>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3307</v>
      </c>
      <c r="B116" s="3393">
        <f>G3</f>
        <v>1.99</v>
      </c>
      <c r="C116" s="3377" t="s">
        <v>3308</v>
      </c>
      <c r="D116" s="3378">
        <f>SUMPRODUCT((A118:A122=F116)*(B117:M117=H116)*B118:M122)</f>
        <v>0.92110000000000003</v>
      </c>
      <c r="E116" s="1987" t="s">
        <v>3309</v>
      </c>
      <c r="F116" s="3379" t="str">
        <f>E2</f>
        <v>商业</v>
      </c>
      <c r="G116" s="1987" t="s">
        <v>3310</v>
      </c>
      <c r="H116" s="3379" t="str">
        <f>G2</f>
        <v>四级</v>
      </c>
      <c r="I116" s="1987"/>
      <c r="J116" s="3380"/>
      <c r="K116" s="3380"/>
      <c r="L116" s="3380"/>
      <c r="M116" s="3380"/>
      <c r="N116" s="3375"/>
    </row>
    <row r="117" spans="1:14">
      <c r="A117" s="3381"/>
      <c r="B117" s="3382" t="s">
        <v>3311</v>
      </c>
      <c r="C117" s="3382" t="s">
        <v>3312</v>
      </c>
      <c r="D117" s="3382" t="s">
        <v>3313</v>
      </c>
      <c r="E117" s="3383" t="s">
        <v>3314</v>
      </c>
      <c r="F117" s="3383" t="s">
        <v>3315</v>
      </c>
      <c r="G117" s="3383" t="s">
        <v>3316</v>
      </c>
      <c r="H117" s="3384" t="s">
        <v>3317</v>
      </c>
      <c r="I117" s="3384" t="s">
        <v>3318</v>
      </c>
      <c r="J117" s="3385" t="s">
        <v>3319</v>
      </c>
      <c r="K117" s="3385" t="s">
        <v>3320</v>
      </c>
      <c r="L117" s="3385" t="s">
        <v>3321</v>
      </c>
      <c r="M117" s="3386" t="s">
        <v>3322</v>
      </c>
      <c r="N117" s="3375"/>
    </row>
    <row r="118" spans="1:14">
      <c r="A118" s="3387" t="s">
        <v>3323</v>
      </c>
      <c r="B118" s="3365">
        <f>ROUND(0.9968-0.011*B116,4)</f>
        <v>0.97489999999999999</v>
      </c>
      <c r="C118" s="3365">
        <f>B118</f>
        <v>0.97489999999999999</v>
      </c>
      <c r="D118" s="3365">
        <f>ROUND(0.949-0.014*B116,4)</f>
        <v>0.92110000000000003</v>
      </c>
      <c r="E118" s="3365">
        <f>D118</f>
        <v>0.92110000000000003</v>
      </c>
      <c r="F118" s="3365">
        <f>E118</f>
        <v>0.92110000000000003</v>
      </c>
      <c r="G118" s="3365">
        <f>F118</f>
        <v>0.92110000000000003</v>
      </c>
      <c r="H118" s="3365">
        <f>G118</f>
        <v>0.92110000000000003</v>
      </c>
      <c r="I118" s="3365">
        <f>ROUND(0.8486-0.018*B116,4)</f>
        <v>0.81279999999999997</v>
      </c>
      <c r="J118" s="3365">
        <f t="shared" ref="J118:M122" si="35">I118</f>
        <v>0.81279999999999997</v>
      </c>
      <c r="K118" s="3365">
        <f t="shared" si="35"/>
        <v>0.81279999999999997</v>
      </c>
      <c r="L118" s="3365">
        <f t="shared" si="35"/>
        <v>0.81279999999999997</v>
      </c>
      <c r="M118" s="3388">
        <f t="shared" si="35"/>
        <v>0.81279999999999997</v>
      </c>
      <c r="N118" s="3375"/>
    </row>
    <row r="119" spans="1:14">
      <c r="A119" s="3387" t="s">
        <v>3324</v>
      </c>
      <c r="B119" s="3365">
        <f>ROUND(0.993-0.0112*B116,4)</f>
        <v>0.97070000000000001</v>
      </c>
      <c r="C119" s="3365">
        <f>B119</f>
        <v>0.97070000000000001</v>
      </c>
      <c r="D119" s="3365">
        <f>ROUND(0.9415-0.0142*B116,4)</f>
        <v>0.91320000000000001</v>
      </c>
      <c r="E119" s="3365">
        <f t="shared" ref="E119:H120" si="36">D119</f>
        <v>0.91320000000000001</v>
      </c>
      <c r="F119" s="3365">
        <f t="shared" si="36"/>
        <v>0.91320000000000001</v>
      </c>
      <c r="G119" s="3365">
        <f t="shared" si="36"/>
        <v>0.91320000000000001</v>
      </c>
      <c r="H119" s="3365">
        <f t="shared" si="36"/>
        <v>0.91320000000000001</v>
      </c>
      <c r="I119" s="3365">
        <f>ROUND(0.838-0.0182*B116,4)</f>
        <v>0.80179999999999996</v>
      </c>
      <c r="J119" s="3365">
        <f t="shared" si="35"/>
        <v>0.80179999999999996</v>
      </c>
      <c r="K119" s="3365">
        <f t="shared" si="35"/>
        <v>0.80179999999999996</v>
      </c>
      <c r="L119" s="3365">
        <f t="shared" si="35"/>
        <v>0.80179999999999996</v>
      </c>
      <c r="M119" s="3388">
        <f t="shared" si="35"/>
        <v>0.80179999999999996</v>
      </c>
      <c r="N119" s="3375"/>
    </row>
    <row r="120" spans="1:14">
      <c r="A120" s="3387" t="s">
        <v>3325</v>
      </c>
      <c r="B120" s="3365">
        <f>ROUND(0.9448-0.0115*B116,4)</f>
        <v>0.92190000000000005</v>
      </c>
      <c r="C120" s="3365">
        <f>B120</f>
        <v>0.92190000000000005</v>
      </c>
      <c r="D120" s="3365">
        <f>ROUND(0.937-0.0145*B116,4)</f>
        <v>0.90810000000000002</v>
      </c>
      <c r="E120" s="3365">
        <f t="shared" si="36"/>
        <v>0.90810000000000002</v>
      </c>
      <c r="F120" s="3365">
        <f t="shared" si="36"/>
        <v>0.90810000000000002</v>
      </c>
      <c r="G120" s="3365">
        <f t="shared" si="36"/>
        <v>0.90810000000000002</v>
      </c>
      <c r="H120" s="3365">
        <f t="shared" si="36"/>
        <v>0.90810000000000002</v>
      </c>
      <c r="I120" s="3365">
        <f>ROUND(0.7965-0.0185*B116,4)</f>
        <v>0.75970000000000004</v>
      </c>
      <c r="J120" s="3365">
        <f t="shared" si="35"/>
        <v>0.75970000000000004</v>
      </c>
      <c r="K120" s="3365">
        <f t="shared" si="35"/>
        <v>0.75970000000000004</v>
      </c>
      <c r="L120" s="3365">
        <f t="shared" si="35"/>
        <v>0.75970000000000004</v>
      </c>
      <c r="M120" s="3388">
        <f t="shared" si="35"/>
        <v>0.75970000000000004</v>
      </c>
      <c r="N120" s="3375"/>
    </row>
    <row r="121" spans="1:14" ht="13.5" thickBot="1">
      <c r="A121" s="3389" t="s">
        <v>3326</v>
      </c>
      <c r="B121" s="3390">
        <f>ROUND(0.7836-0.012*B116,4)</f>
        <v>0.75970000000000004</v>
      </c>
      <c r="C121" s="3390">
        <f>B121</f>
        <v>0.75970000000000004</v>
      </c>
      <c r="D121" s="3390">
        <f>ROUND(0.753-0.015*B116,4)</f>
        <v>0.72319999999999995</v>
      </c>
      <c r="E121" s="3390">
        <f>D121</f>
        <v>0.72319999999999995</v>
      </c>
      <c r="F121" s="3390">
        <f>E121</f>
        <v>0.72319999999999995</v>
      </c>
      <c r="G121" s="3390">
        <f>ROUND(0.6612-0.018*B116,4)</f>
        <v>0.62539999999999996</v>
      </c>
      <c r="H121" s="3390">
        <f>G121</f>
        <v>0.62539999999999996</v>
      </c>
      <c r="I121" s="3390">
        <f>ROUND(0.5905-0.019*B116,4)</f>
        <v>0.55269999999999997</v>
      </c>
      <c r="J121" s="3390">
        <f t="shared" si="35"/>
        <v>0.55269999999999997</v>
      </c>
      <c r="K121" s="3390">
        <f t="shared" si="35"/>
        <v>0.55269999999999997</v>
      </c>
      <c r="L121" s="3390">
        <f t="shared" si="35"/>
        <v>0.55269999999999997</v>
      </c>
      <c r="M121" s="3391">
        <f t="shared" si="35"/>
        <v>0.55269999999999997</v>
      </c>
      <c r="N121" s="3375"/>
    </row>
    <row r="122" spans="1:14">
      <c r="A122" s="3392" t="s">
        <v>2607</v>
      </c>
      <c r="B122" s="3365">
        <f>ROUND(0.9404-0.0106*B116,4)</f>
        <v>0.91930000000000001</v>
      </c>
      <c r="C122" s="3365">
        <f>B122</f>
        <v>0.91930000000000001</v>
      </c>
      <c r="D122" s="3365">
        <f>ROUND(0.8955-0.0135*B116,4)</f>
        <v>0.86860000000000004</v>
      </c>
      <c r="E122" s="3365">
        <f t="shared" ref="E122:H122" si="37">D122</f>
        <v>0.86860000000000004</v>
      </c>
      <c r="F122" s="3365">
        <f t="shared" si="37"/>
        <v>0.86860000000000004</v>
      </c>
      <c r="G122" s="3365">
        <f t="shared" si="37"/>
        <v>0.86860000000000004</v>
      </c>
      <c r="H122" s="3365">
        <f t="shared" si="37"/>
        <v>0.86860000000000004</v>
      </c>
      <c r="I122" s="3365">
        <f>ROUND(0.7632-0.0166*B116,4)</f>
        <v>0.73019999999999996</v>
      </c>
      <c r="J122" s="3365">
        <f t="shared" si="35"/>
        <v>0.73019999999999996</v>
      </c>
      <c r="K122" s="3365">
        <f t="shared" si="35"/>
        <v>0.73019999999999996</v>
      </c>
      <c r="L122" s="3365">
        <f t="shared" si="35"/>
        <v>0.73019999999999996</v>
      </c>
      <c r="M122" s="3388">
        <f t="shared" si="35"/>
        <v>0.73019999999999996</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9"/>
    <col min="2" max="6" width="9" style="2179" customWidth="1"/>
    <col min="7" max="7" width="9" style="2217"/>
    <col min="8" max="8" width="9" style="2179"/>
    <col min="9" max="12" width="9" style="2179" customWidth="1"/>
    <col min="13" max="13" width="2.25" style="2179" customWidth="1"/>
    <col min="14" max="14" width="9" style="2217" customWidth="1"/>
    <col min="15" max="17" width="9" style="2179" customWidth="1"/>
    <col min="18" max="18" width="2.375" style="2179" customWidth="1"/>
    <col min="19" max="19" width="7.125" style="2217" customWidth="1"/>
    <col min="20" max="22" width="7.125" style="2179" customWidth="1"/>
    <col min="23" max="23" width="24.25" style="2179" customWidth="1"/>
    <col min="24" max="25" width="9" style="2179"/>
    <col min="26" max="27" width="11.625" style="2179" customWidth="1"/>
    <col min="28" max="28" width="9" style="2179"/>
    <col min="29" max="29" width="2" style="2179" customWidth="1"/>
    <col min="30" max="16384" width="9" style="2179"/>
  </cols>
  <sheetData>
    <row r="1" spans="1:34" s="2158" customFormat="1">
      <c r="B1" s="3852" t="s">
        <v>452</v>
      </c>
      <c r="C1" s="3852"/>
      <c r="D1" s="3852"/>
      <c r="E1" s="3852"/>
      <c r="F1" s="3852"/>
      <c r="G1" s="3851" t="s">
        <v>453</v>
      </c>
      <c r="H1" s="3851"/>
      <c r="I1" s="3851"/>
      <c r="J1" s="3851"/>
      <c r="K1" s="3851"/>
      <c r="L1" s="3851"/>
      <c r="N1" s="3851" t="s">
        <v>454</v>
      </c>
      <c r="O1" s="3851"/>
      <c r="P1" s="3851"/>
      <c r="Q1" s="3851"/>
      <c r="S1" s="3851" t="s">
        <v>455</v>
      </c>
      <c r="T1" s="3851"/>
      <c r="U1" s="3851"/>
      <c r="V1" s="3851"/>
      <c r="X1" s="3850" t="s">
        <v>456</v>
      </c>
      <c r="Y1" s="3851"/>
      <c r="Z1" s="3851"/>
      <c r="AA1" s="3851"/>
      <c r="AB1" s="3851"/>
      <c r="AD1" s="3850" t="s">
        <v>457</v>
      </c>
      <c r="AE1" s="3851"/>
      <c r="AF1" s="3851"/>
      <c r="AG1" s="3851"/>
      <c r="AH1" s="3851"/>
    </row>
    <row r="2" spans="1:34" s="2159" customFormat="1" ht="14.25" thickBot="1">
      <c r="B2" s="2160" t="s">
        <v>458</v>
      </c>
      <c r="C2" s="2160" t="s">
        <v>459</v>
      </c>
      <c r="D2" s="2161" t="s">
        <v>460</v>
      </c>
      <c r="E2" s="2161" t="s">
        <v>461</v>
      </c>
      <c r="F2" s="2160" t="s">
        <v>462</v>
      </c>
      <c r="G2" s="2162"/>
      <c r="I2" s="2160" t="s">
        <v>458</v>
      </c>
      <c r="J2" s="2161" t="s">
        <v>676</v>
      </c>
      <c r="K2" s="2161" t="s">
        <v>308</v>
      </c>
      <c r="L2" s="2160" t="s">
        <v>462</v>
      </c>
      <c r="N2" s="2160" t="s">
        <v>458</v>
      </c>
      <c r="O2" s="2161" t="s">
        <v>676</v>
      </c>
      <c r="P2" s="2161" t="s">
        <v>308</v>
      </c>
      <c r="Q2" s="2160" t="s">
        <v>462</v>
      </c>
      <c r="S2" s="2160" t="s">
        <v>458</v>
      </c>
      <c r="T2" s="2161" t="s">
        <v>676</v>
      </c>
      <c r="U2" s="2161" t="s">
        <v>308</v>
      </c>
      <c r="V2" s="2160" t="s">
        <v>462</v>
      </c>
      <c r="X2" s="2160" t="s">
        <v>458</v>
      </c>
      <c r="Y2" s="2160" t="s">
        <v>459</v>
      </c>
      <c r="Z2" s="2161" t="s">
        <v>460</v>
      </c>
      <c r="AA2" s="2161" t="s">
        <v>461</v>
      </c>
      <c r="AB2" s="2160" t="s">
        <v>462</v>
      </c>
      <c r="AD2" s="2160" t="s">
        <v>458</v>
      </c>
      <c r="AE2" s="2160" t="s">
        <v>459</v>
      </c>
      <c r="AF2" s="2161" t="s">
        <v>460</v>
      </c>
      <c r="AG2" s="2161" t="s">
        <v>461</v>
      </c>
      <c r="AH2" s="2160" t="s">
        <v>462</v>
      </c>
    </row>
    <row r="3" spans="1:34" s="2169" customFormat="1" ht="14.25">
      <c r="A3" s="2163" t="s">
        <v>2113</v>
      </c>
      <c r="B3" s="2164"/>
      <c r="C3" s="2164"/>
      <c r="D3" s="2165"/>
      <c r="E3" s="2165"/>
      <c r="F3" s="2164"/>
      <c r="G3" s="2166"/>
      <c r="H3" s="2167"/>
      <c r="I3" s="2168">
        <f>ROUND(AVERAGE($I4:$I40),2)</f>
        <v>1.55</v>
      </c>
      <c r="J3" s="2168">
        <f>ROUND(AVERAGE($J4:$J40),2)</f>
        <v>0.97</v>
      </c>
      <c r="K3" s="2168">
        <f>ROUND(AVERAGE($K4:$K40),2)</f>
        <v>1.66</v>
      </c>
      <c r="L3" s="2168">
        <f>ROUND(AVERAGE($L4:$L40),2)</f>
        <v>1.1000000000000001</v>
      </c>
      <c r="N3" s="2166"/>
      <c r="S3" s="2166"/>
      <c r="W3" s="2170"/>
      <c r="X3" s="2171">
        <f>ROUND(SUMPRODUCT(PRODUCT(1+N3:N$39)),4)</f>
        <v>1.6585000000000001</v>
      </c>
      <c r="Y3" s="2171">
        <f>ROUND(SUMPRODUCT(PRODUCT(1+O3:O$39)),4)</f>
        <v>1.3676999999999999</v>
      </c>
      <c r="Z3" s="2171">
        <f t="shared" ref="Z3:Z37" si="0">Y3</f>
        <v>1.3676999999999999</v>
      </c>
      <c r="AA3" s="2171">
        <f>ROUND(SUMPRODUCT(PRODUCT(1+P3:P$39)),4)</f>
        <v>1.7434000000000001</v>
      </c>
      <c r="AB3" s="2171">
        <f>ROUND(SUMPRODUCT(PRODUCT(1+Q3:Q$39)),4)</f>
        <v>1.4609000000000001</v>
      </c>
      <c r="AD3" s="2172">
        <f>ROUND(AVERAGE(I3:I$40)/100,4)</f>
        <v>1.55E-2</v>
      </c>
      <c r="AE3" s="2172">
        <f>ROUND(AVERAGE(J3:J$40)/100,4)</f>
        <v>9.7000000000000003E-3</v>
      </c>
      <c r="AF3" s="2172">
        <f t="shared" ref="AF3:AF38" si="1">AE3</f>
        <v>9.7000000000000003E-3</v>
      </c>
      <c r="AG3" s="2172">
        <f>ROUND(AVERAGE(K3:K$40)/100,4)</f>
        <v>1.66E-2</v>
      </c>
      <c r="AH3" s="2172">
        <f>ROUND(AVERAGE(L3:L$40)/100,4)</f>
        <v>1.0999999999999999E-2</v>
      </c>
    </row>
    <row r="4" spans="1:34" s="2173" customFormat="1" ht="14.25">
      <c r="B4" s="2174"/>
      <c r="C4" s="2174"/>
      <c r="D4" s="2175"/>
      <c r="E4" s="2175"/>
      <c r="F4" s="2174"/>
      <c r="G4" s="2176"/>
      <c r="H4" s="2177"/>
      <c r="I4" s="2178"/>
      <c r="J4" s="2178"/>
      <c r="K4" s="2178"/>
      <c r="L4" s="2178"/>
      <c r="N4" s="2176"/>
      <c r="S4" s="2176"/>
      <c r="X4" s="2179"/>
      <c r="Y4" s="2179"/>
      <c r="Z4" s="2179"/>
      <c r="AA4" s="2179"/>
      <c r="AB4" s="2179"/>
      <c r="AD4" s="2180"/>
      <c r="AE4" s="2180"/>
      <c r="AF4" s="2180"/>
      <c r="AG4" s="2180"/>
      <c r="AH4" s="2180"/>
    </row>
    <row r="5" spans="1:34" s="2199" customFormat="1">
      <c r="A5" s="2192" t="s">
        <v>3358</v>
      </c>
      <c r="B5" s="2193">
        <f t="shared" ref="B5" si="2">B6*(1+N5)</f>
        <v>510.07089659554606</v>
      </c>
      <c r="C5" s="2193">
        <f t="shared" ref="C5" si="3">C6*(1+O5)</f>
        <v>352.55593185737411</v>
      </c>
      <c r="D5" s="2193">
        <f t="shared" ref="D5" si="4">C5</f>
        <v>352.55593185737411</v>
      </c>
      <c r="E5" s="2193">
        <f t="shared" ref="E5" si="5">E6*(1+P5)</f>
        <v>737.27992463403655</v>
      </c>
      <c r="F5" s="2193">
        <f t="shared" ref="F5" si="6">F6*(1+Q5)</f>
        <v>335.88319198297864</v>
      </c>
      <c r="G5" s="3413">
        <v>2022</v>
      </c>
      <c r="H5" s="2194">
        <v>1</v>
      </c>
      <c r="I5" s="2156">
        <v>0</v>
      </c>
      <c r="J5" s="2156">
        <v>0</v>
      </c>
      <c r="K5" s="2156">
        <v>0</v>
      </c>
      <c r="L5" s="2157">
        <v>0</v>
      </c>
      <c r="M5" s="2179"/>
      <c r="N5" s="2195">
        <f t="shared" ref="N5" si="7">I5/100</f>
        <v>0</v>
      </c>
      <c r="O5" s="2180">
        <f t="shared" ref="O5" si="8">J5/100</f>
        <v>0</v>
      </c>
      <c r="P5" s="2180">
        <f t="shared" ref="P5" si="9">K5/100</f>
        <v>0</v>
      </c>
      <c r="Q5" s="2180">
        <f t="shared" ref="Q5" si="10">L5/100</f>
        <v>0</v>
      </c>
      <c r="R5" s="2196"/>
      <c r="S5" s="2195"/>
      <c r="T5" s="2180"/>
      <c r="U5" s="2180"/>
      <c r="V5" s="2180"/>
      <c r="W5" s="2197"/>
      <c r="X5" s="2197" t="e">
        <f>ROUND(IF(项目基本情况!#REF!="出让",SUMPRODUCT(PRODUCT(1+N5:N$40)),SUMPRODUCT(PRODUCT(1+N5:N$39))),4)</f>
        <v>#REF!</v>
      </c>
      <c r="Y5" s="2197" t="e">
        <f>ROUND(IF(项目基本情况!#REF!="出让",SUMPRODUCT(PRODUCT(1+O5:O$40)),SUMPRODUCT(PRODUCT(1+O5:O$39))),4)</f>
        <v>#REF!</v>
      </c>
      <c r="Z5" s="2197" t="e">
        <f t="shared" ref="Z5" si="11">Y5</f>
        <v>#REF!</v>
      </c>
      <c r="AA5" s="2197" t="e">
        <f>ROUND(IF(项目基本情况!#REF!="出让",SUMPRODUCT(PRODUCT(1+P5:P$40)),SUMPRODUCT(PRODUCT(1+P5:P$39))),4)</f>
        <v>#REF!</v>
      </c>
      <c r="AB5" s="2197" t="e">
        <f>ROUND(IF(项目基本情况!#REF!="出让",SUMPRODUCT(PRODUCT(1+Q5:Q$40)),SUMPRODUCT(PRODUCT(1+Q5:Q$39))),4)</f>
        <v>#REF!</v>
      </c>
      <c r="AC5" s="2197"/>
      <c r="AD5" s="2198">
        <f>ROUND(AVERAGE(I5:I$40)/100,4)</f>
        <v>1.55E-2</v>
      </c>
      <c r="AE5" s="2198">
        <f>ROUND(AVERAGE(J5:J$40)/100,4)</f>
        <v>9.7000000000000003E-3</v>
      </c>
      <c r="AF5" s="2198">
        <f t="shared" ref="AF5" si="12">AE5</f>
        <v>9.7000000000000003E-3</v>
      </c>
      <c r="AG5" s="2198">
        <f>ROUND(AVERAGE(K5:K$40)/100,4)</f>
        <v>1.66E-2</v>
      </c>
      <c r="AH5" s="2198">
        <f>ROUND(AVERAGE(L5:L$40)/100,4)</f>
        <v>1.0999999999999999E-2</v>
      </c>
    </row>
    <row r="6" spans="1:34" s="2186" customFormat="1">
      <c r="A6" s="2181" t="s">
        <v>3355</v>
      </c>
      <c r="B6" s="2182">
        <f t="shared" ref="B6" si="13">B7*(1+N6)</f>
        <v>510.07089659554606</v>
      </c>
      <c r="C6" s="2182">
        <f t="shared" ref="C6" si="14">C7*(1+O6)</f>
        <v>352.55593185737411</v>
      </c>
      <c r="D6" s="2182">
        <f t="shared" ref="D6" si="15">C6</f>
        <v>352.55593185737411</v>
      </c>
      <c r="E6" s="2182">
        <f t="shared" ref="E6" si="16">E7*(1+P6)</f>
        <v>737.27992463403655</v>
      </c>
      <c r="F6" s="2182">
        <f t="shared" ref="F6" si="17">F7*(1+Q6)</f>
        <v>335.88319198297864</v>
      </c>
      <c r="G6" s="3413">
        <v>2022</v>
      </c>
      <c r="H6" s="2184">
        <v>1</v>
      </c>
      <c r="I6" s="2185">
        <v>0</v>
      </c>
      <c r="J6" s="2185">
        <v>0</v>
      </c>
      <c r="K6" s="2185">
        <v>0</v>
      </c>
      <c r="L6" s="2185">
        <v>0</v>
      </c>
      <c r="N6" s="2187">
        <f t="shared" ref="N6" si="18">I6/100</f>
        <v>0</v>
      </c>
      <c r="O6" s="2187">
        <f t="shared" ref="O6" si="19">J6/100</f>
        <v>0</v>
      </c>
      <c r="P6" s="2187">
        <f t="shared" ref="P6" si="20">K6/100</f>
        <v>0</v>
      </c>
      <c r="Q6" s="2187">
        <f t="shared" ref="Q6" si="21">L6/100</f>
        <v>0</v>
      </c>
      <c r="S6" s="2188"/>
      <c r="W6" s="2189" t="s">
        <v>2114</v>
      </c>
      <c r="X6" s="2190" t="e">
        <f>ROUND(IF(项目基本情况!#REF!="出让",SUMPRODUCT(PRODUCT(1+N6:N$40)),SUMPRODUCT(PRODUCT(1+N6:N$39))),4)</f>
        <v>#REF!</v>
      </c>
      <c r="Y6" s="2190" t="e">
        <f>ROUND(IF(项目基本情况!#REF!="出让",SUMPRODUCT(PRODUCT(1+O6:O$40)),SUMPRODUCT(PRODUCT(1+O6:O$39))),4)</f>
        <v>#REF!</v>
      </c>
      <c r="Z6" s="2190" t="e">
        <f t="shared" ref="Z6" si="22">Y6</f>
        <v>#REF!</v>
      </c>
      <c r="AA6" s="2190" t="e">
        <f>ROUND(IF(项目基本情况!#REF!="出让",SUMPRODUCT(PRODUCT(1+P6:P$40)),SUMPRODUCT(PRODUCT(1+P6:P$39))),4)</f>
        <v>#REF!</v>
      </c>
      <c r="AB6" s="2190" t="e">
        <f>ROUND(IF(项目基本情况!#REF!="出让",SUMPRODUCT(PRODUCT(1+Q6:Q$40)),SUMPRODUCT(PRODUCT(1+Q6:Q$39))),4)</f>
        <v>#REF!</v>
      </c>
      <c r="AD6" s="2191">
        <f>ROUND(AVERAGE(I6:I$40)/100,4)</f>
        <v>1.6E-2</v>
      </c>
      <c r="AE6" s="2191">
        <f>ROUND(AVERAGE(J6:J$40)/100,4)</f>
        <v>0.01</v>
      </c>
      <c r="AF6" s="2191">
        <f t="shared" ref="AF6" si="23">AE6</f>
        <v>0.01</v>
      </c>
      <c r="AG6" s="2191">
        <f>ROUND(AVERAGE(K6:K$40)/100,4)</f>
        <v>1.7100000000000001E-2</v>
      </c>
      <c r="AH6" s="2191">
        <f>ROUND(AVERAGE(L6:L$40)/100,4)</f>
        <v>1.1299999999999999E-2</v>
      </c>
    </row>
    <row r="7" spans="1:34" s="2199" customFormat="1">
      <c r="A7" s="2192" t="s">
        <v>3356</v>
      </c>
      <c r="B7" s="2193">
        <f t="shared" ref="B7" si="24">B8*(1+N7)</f>
        <v>510.07089659554606</v>
      </c>
      <c r="C7" s="2193">
        <f t="shared" ref="C7" si="25">C8*(1+O7)</f>
        <v>352.55593185737411</v>
      </c>
      <c r="D7" s="2193">
        <f t="shared" ref="D7" si="26">C7</f>
        <v>352.55593185737411</v>
      </c>
      <c r="E7" s="2193">
        <f t="shared" ref="E7" si="27">E8*(1+P7)</f>
        <v>737.27992463403655</v>
      </c>
      <c r="F7" s="2193">
        <f t="shared" ref="F7" si="28">F8*(1+Q7)</f>
        <v>335.88319198297864</v>
      </c>
      <c r="G7" s="3413">
        <v>2022</v>
      </c>
      <c r="H7" s="2194">
        <v>1</v>
      </c>
      <c r="I7" s="2156">
        <v>0</v>
      </c>
      <c r="J7" s="2156">
        <v>0</v>
      </c>
      <c r="K7" s="2156">
        <v>0</v>
      </c>
      <c r="L7" s="2157">
        <v>0</v>
      </c>
      <c r="M7" s="2179"/>
      <c r="N7" s="2195">
        <f t="shared" ref="N7" si="29">I7/100</f>
        <v>0</v>
      </c>
      <c r="O7" s="2180">
        <f t="shared" ref="O7" si="30">J7/100</f>
        <v>0</v>
      </c>
      <c r="P7" s="2180">
        <f t="shared" ref="P7" si="31">K7/100</f>
        <v>0</v>
      </c>
      <c r="Q7" s="2180">
        <f t="shared" ref="Q7" si="32">L7/100</f>
        <v>0</v>
      </c>
      <c r="R7" s="2196"/>
      <c r="S7" s="2195"/>
      <c r="T7" s="2180"/>
      <c r="U7" s="2180"/>
      <c r="V7" s="2180"/>
      <c r="W7" s="2197"/>
      <c r="X7" s="2197" t="e">
        <f>ROUND(IF(项目基本情况!#REF!="出让",SUMPRODUCT(PRODUCT(1+N7:N$40)),SUMPRODUCT(PRODUCT(1+N7:N$39))),4)</f>
        <v>#REF!</v>
      </c>
      <c r="Y7" s="2197" t="e">
        <f>ROUND(IF(项目基本情况!#REF!="出让",SUMPRODUCT(PRODUCT(1+O7:O$40)),SUMPRODUCT(PRODUCT(1+O7:O$39))),4)</f>
        <v>#REF!</v>
      </c>
      <c r="Z7" s="2197" t="e">
        <f t="shared" ref="Z7" si="33">Y7</f>
        <v>#REF!</v>
      </c>
      <c r="AA7" s="2197" t="e">
        <f>ROUND(IF(项目基本情况!#REF!="出让",SUMPRODUCT(PRODUCT(1+P7:P$40)),SUMPRODUCT(PRODUCT(1+P7:P$39))),4)</f>
        <v>#REF!</v>
      </c>
      <c r="AB7" s="2197" t="e">
        <f>ROUND(IF(项目基本情况!#REF!="出让",SUMPRODUCT(PRODUCT(1+Q7:Q$40)),SUMPRODUCT(PRODUCT(1+Q7:Q$39))),4)</f>
        <v>#REF!</v>
      </c>
      <c r="AC7" s="2197"/>
      <c r="AD7" s="2198">
        <f>ROUND(AVERAGE(I7:I$40)/100,4)</f>
        <v>1.6400000000000001E-2</v>
      </c>
      <c r="AE7" s="2198">
        <f>ROUND(AVERAGE(J7:J$40)/100,4)</f>
        <v>1.03E-2</v>
      </c>
      <c r="AF7" s="2198">
        <f t="shared" ref="AF7" si="34">AE7</f>
        <v>1.03E-2</v>
      </c>
      <c r="AG7" s="2198">
        <f>ROUND(AVERAGE(K7:K$40)/100,4)</f>
        <v>1.7600000000000001E-2</v>
      </c>
      <c r="AH7" s="2198">
        <f>ROUND(AVERAGE(L7:L$40)/100,4)</f>
        <v>1.1599999999999999E-2</v>
      </c>
    </row>
    <row r="8" spans="1:34" s="2199" customFormat="1">
      <c r="A8" s="2192" t="s">
        <v>3357</v>
      </c>
      <c r="B8" s="2193">
        <f t="shared" ref="B8" si="35">B9*(1+N8)</f>
        <v>510.07089659554606</v>
      </c>
      <c r="C8" s="2193">
        <f t="shared" ref="C8" si="36">C9*(1+O8)</f>
        <v>352.55593185737411</v>
      </c>
      <c r="D8" s="2193">
        <f t="shared" ref="D8" si="37">C8</f>
        <v>352.55593185737411</v>
      </c>
      <c r="E8" s="2193">
        <f t="shared" ref="E8" si="38">E9*(1+P8)</f>
        <v>737.27992463403655</v>
      </c>
      <c r="F8" s="2193">
        <f t="shared" ref="F8" si="39">F9*(1+Q8)</f>
        <v>335.88319198297864</v>
      </c>
      <c r="G8" s="3413">
        <v>2022</v>
      </c>
      <c r="H8" s="2194">
        <v>1</v>
      </c>
      <c r="I8" s="2156"/>
      <c r="J8" s="2156"/>
      <c r="K8" s="2156">
        <v>0</v>
      </c>
      <c r="L8" s="2157">
        <v>0</v>
      </c>
      <c r="M8" s="2179"/>
      <c r="N8" s="2195">
        <f t="shared" ref="N8" si="40">I8/100</f>
        <v>0</v>
      </c>
      <c r="O8" s="2180">
        <f t="shared" ref="O8" si="41">J8/100</f>
        <v>0</v>
      </c>
      <c r="P8" s="2180">
        <f t="shared" ref="P8" si="42">K8/100</f>
        <v>0</v>
      </c>
      <c r="Q8" s="2180">
        <f t="shared" ref="Q8" si="43">L8/100</f>
        <v>0</v>
      </c>
      <c r="R8" s="2196"/>
      <c r="S8" s="2195"/>
      <c r="T8" s="2180"/>
      <c r="U8" s="2180"/>
      <c r="V8" s="2180"/>
      <c r="W8" s="2197"/>
      <c r="X8" s="2197">
        <f>ROUND(IF(项目基本情况!B1="出让",SUMPRODUCT(PRODUCT(1+N8:N$40)),SUMPRODUCT(PRODUCT(1+N8:N$39))),4)</f>
        <v>1.6585000000000001</v>
      </c>
      <c r="Y8" s="2197">
        <f>ROUND(IF(项目基本情况!B1="出让",SUMPRODUCT(PRODUCT(1+O8:O$40)),SUMPRODUCT(PRODUCT(1+O8:O$39))),4)</f>
        <v>1.3676999999999999</v>
      </c>
      <c r="Z8" s="2197">
        <f t="shared" ref="Z8" si="44">Y8</f>
        <v>1.3676999999999999</v>
      </c>
      <c r="AA8" s="2197">
        <f>ROUND(IF(项目基本情况!B1="出让",SUMPRODUCT(PRODUCT(1+P8:P$40)),SUMPRODUCT(PRODUCT(1+P8:P$39))),4)</f>
        <v>1.7434000000000001</v>
      </c>
      <c r="AB8" s="2197">
        <f>ROUND(IF(项目基本情况!B1="出让",SUMPRODUCT(PRODUCT(1+Q8:Q$40)),SUMPRODUCT(PRODUCT(1+Q8:Q$39))),4)</f>
        <v>1.4609000000000001</v>
      </c>
      <c r="AC8" s="2197"/>
      <c r="AD8" s="2198">
        <f>ROUND(AVERAGE(I8:I$40)/100,4)</f>
        <v>1.6899999999999998E-2</v>
      </c>
      <c r="AE8" s="2198">
        <f>ROUND(AVERAGE(J8:J$40)/100,4)</f>
        <v>1.06E-2</v>
      </c>
      <c r="AF8" s="2198">
        <f t="shared" ref="AF8" si="45">AE8</f>
        <v>1.06E-2</v>
      </c>
      <c r="AG8" s="2198">
        <f>ROUND(AVERAGE(K8:K$40)/100,4)</f>
        <v>1.8100000000000002E-2</v>
      </c>
      <c r="AH8" s="2198">
        <f>ROUND(AVERAGE(L8:L$40)/100,4)</f>
        <v>1.2E-2</v>
      </c>
    </row>
    <row r="9" spans="1:34" s="2199" customFormat="1">
      <c r="A9" s="2192" t="s">
        <v>2431</v>
      </c>
      <c r="B9" s="2193">
        <f t="shared" ref="B9" si="46">B10*(1+N9)</f>
        <v>510.07089659554606</v>
      </c>
      <c r="C9" s="2193">
        <f t="shared" ref="C9" si="47">C10*(1+O9)</f>
        <v>352.55593185737411</v>
      </c>
      <c r="D9" s="2193">
        <f t="shared" ref="D9" si="48">C9</f>
        <v>352.55593185737411</v>
      </c>
      <c r="E9" s="2193">
        <f t="shared" ref="E9" si="49">E10*(1+P9)</f>
        <v>737.27992463403655</v>
      </c>
      <c r="F9" s="2193">
        <f t="shared" ref="F9" si="50">F10*(1+Q9)</f>
        <v>335.88319198297864</v>
      </c>
      <c r="G9" s="2982">
        <v>2021</v>
      </c>
      <c r="H9" s="2194">
        <v>4</v>
      </c>
      <c r="I9" s="2156">
        <v>1.03</v>
      </c>
      <c r="J9" s="2156">
        <v>0.24</v>
      </c>
      <c r="K9" s="2156">
        <v>1.17</v>
      </c>
      <c r="L9" s="2157">
        <v>0.55000000000000004</v>
      </c>
      <c r="M9" s="2179"/>
      <c r="N9" s="2195">
        <f t="shared" ref="N9" si="51">I9/100</f>
        <v>1.03E-2</v>
      </c>
      <c r="O9" s="2180">
        <f t="shared" ref="O9" si="52">J9/100</f>
        <v>2.3999999999999998E-3</v>
      </c>
      <c r="P9" s="2180">
        <f t="shared" ref="P9" si="53">K9/100</f>
        <v>1.1699999999999999E-2</v>
      </c>
      <c r="Q9" s="2180">
        <f t="shared" ref="Q9" si="54">L9/100</f>
        <v>5.5000000000000005E-3</v>
      </c>
      <c r="R9" s="2196"/>
      <c r="S9" s="2195"/>
      <c r="T9" s="2180"/>
      <c r="U9" s="2180"/>
      <c r="V9" s="2180"/>
      <c r="W9" s="2197"/>
      <c r="X9" s="2197">
        <f>ROUND(IF(项目基本情况!B2="出让",SUMPRODUCT(PRODUCT(1+N9:N$40)),SUMPRODUCT(PRODUCT(1+N9:N$39))),4)</f>
        <v>1.6585000000000001</v>
      </c>
      <c r="Y9" s="2197">
        <f>ROUND(IF(项目基本情况!B2="出让",SUMPRODUCT(PRODUCT(1+O9:O$40)),SUMPRODUCT(PRODUCT(1+O9:O$39))),4)</f>
        <v>1.3676999999999999</v>
      </c>
      <c r="Z9" s="2197">
        <f t="shared" ref="Z9" si="55">Y9</f>
        <v>1.3676999999999999</v>
      </c>
      <c r="AA9" s="2197">
        <f>ROUND(IF(项目基本情况!B2="出让",SUMPRODUCT(PRODUCT(1+P9:P$40)),SUMPRODUCT(PRODUCT(1+P9:P$39))),4)</f>
        <v>1.7434000000000001</v>
      </c>
      <c r="AB9" s="2197">
        <f>ROUND(IF(项目基本情况!B2="出让",SUMPRODUCT(PRODUCT(1+Q9:Q$40)),SUMPRODUCT(PRODUCT(1+Q9:Q$39))),4)</f>
        <v>1.4609000000000001</v>
      </c>
      <c r="AC9" s="2197"/>
      <c r="AD9" s="2198">
        <f>ROUND(AVERAGE(I9:I$40)/100,4)</f>
        <v>1.6899999999999998E-2</v>
      </c>
      <c r="AE9" s="2198">
        <f>ROUND(AVERAGE(J9:J$40)/100,4)</f>
        <v>1.06E-2</v>
      </c>
      <c r="AF9" s="2198">
        <f t="shared" ref="AF9" si="56">AE9</f>
        <v>1.06E-2</v>
      </c>
      <c r="AG9" s="2198">
        <f>ROUND(AVERAGE(K9:K$40)/100,4)</f>
        <v>1.8700000000000001E-2</v>
      </c>
      <c r="AH9" s="2198">
        <f>ROUND(AVERAGE(L9:L$40)/100,4)</f>
        <v>1.24E-2</v>
      </c>
    </row>
    <row r="10" spans="1:34" s="2199" customFormat="1">
      <c r="A10" s="2192" t="s">
        <v>2312</v>
      </c>
      <c r="B10" s="2193">
        <f t="shared" ref="B10" si="57">B11*(1+N10)</f>
        <v>504.87072809615569</v>
      </c>
      <c r="C10" s="2193">
        <f t="shared" ref="C10" si="58">C11*(1+O10)</f>
        <v>351.71182348101968</v>
      </c>
      <c r="D10" s="2193">
        <f t="shared" ref="D10" si="59">C10</f>
        <v>351.71182348101968</v>
      </c>
      <c r="E10" s="2193">
        <f t="shared" ref="E10" si="60">E11*(1+P10)</f>
        <v>728.75350858360832</v>
      </c>
      <c r="F10" s="2193">
        <f t="shared" ref="F10" si="61">F11*(1+Q10)</f>
        <v>334.04593931673656</v>
      </c>
      <c r="G10" s="2814">
        <v>2021</v>
      </c>
      <c r="H10" s="2194">
        <v>3</v>
      </c>
      <c r="I10" s="2156">
        <v>0.47</v>
      </c>
      <c r="J10" s="2156">
        <v>0.41</v>
      </c>
      <c r="K10" s="2156">
        <v>0.48</v>
      </c>
      <c r="L10" s="2157">
        <v>0.48</v>
      </c>
      <c r="M10" s="2179"/>
      <c r="N10" s="2195">
        <f t="shared" ref="N10" si="62">I10/100</f>
        <v>4.6999999999999993E-3</v>
      </c>
      <c r="O10" s="2180">
        <f t="shared" ref="O10" si="63">J10/100</f>
        <v>4.0999999999999995E-3</v>
      </c>
      <c r="P10" s="2180">
        <f t="shared" ref="P10" si="64">K10/100</f>
        <v>4.7999999999999996E-3</v>
      </c>
      <c r="Q10" s="2180">
        <f t="shared" ref="Q10" si="65">L10/100</f>
        <v>4.7999999999999996E-3</v>
      </c>
      <c r="R10" s="2196"/>
      <c r="S10" s="2195"/>
      <c r="T10" s="2180"/>
      <c r="U10" s="2180"/>
      <c r="V10" s="2180"/>
      <c r="W10" s="2197"/>
      <c r="X10" s="2197">
        <f>ROUND(IF(项目基本情况!B3="出让",SUMPRODUCT(PRODUCT(1+N10:N$40)),SUMPRODUCT(PRODUCT(1+N10:N$39))),4)</f>
        <v>1.6415999999999999</v>
      </c>
      <c r="Y10" s="2197">
        <f>ROUND(IF(项目基本情况!B3="出让",SUMPRODUCT(PRODUCT(1+O10:O$40)),SUMPRODUCT(PRODUCT(1+O10:O$39))),4)</f>
        <v>1.3644000000000001</v>
      </c>
      <c r="Z10" s="2197">
        <f t="shared" ref="Z10" si="66">Y10</f>
        <v>1.3644000000000001</v>
      </c>
      <c r="AA10" s="2197">
        <f>ROUND(IF(项目基本情况!B3="出让",SUMPRODUCT(PRODUCT(1+P10:P$40)),SUMPRODUCT(PRODUCT(1+P10:P$39))),4)</f>
        <v>1.7232000000000001</v>
      </c>
      <c r="AB10" s="2197">
        <f>ROUND(IF(项目基本情况!B3="出让",SUMPRODUCT(PRODUCT(1+Q10:Q$40)),SUMPRODUCT(PRODUCT(1+Q10:Q$39))),4)</f>
        <v>1.4529000000000001</v>
      </c>
      <c r="AC10" s="2197"/>
      <c r="AD10" s="2198">
        <f>ROUND(AVERAGE(I10:I$40)/100,4)</f>
        <v>1.72E-2</v>
      </c>
      <c r="AE10" s="2198">
        <f>ROUND(AVERAGE(J10:J$40)/100,4)</f>
        <v>1.09E-2</v>
      </c>
      <c r="AF10" s="2198">
        <f t="shared" ref="AF10" si="67">AE10</f>
        <v>1.09E-2</v>
      </c>
      <c r="AG10" s="2198">
        <f>ROUND(AVERAGE(K10:K$40)/100,4)</f>
        <v>1.89E-2</v>
      </c>
      <c r="AH10" s="2198">
        <f>ROUND(AVERAGE(L10:L$40)/100,4)</f>
        <v>1.26E-2</v>
      </c>
    </row>
    <row r="11" spans="1:34" s="2199" customFormat="1">
      <c r="A11" s="2192" t="s">
        <v>2311</v>
      </c>
      <c r="B11" s="2193">
        <f t="shared" ref="B11" si="68">B12*(1+N11)</f>
        <v>502.50893609650217</v>
      </c>
      <c r="C11" s="2193">
        <f t="shared" ref="C11" si="69">C12*(1+O11)</f>
        <v>350.27569313914915</v>
      </c>
      <c r="D11" s="2193">
        <f t="shared" ref="D11" si="70">C11</f>
        <v>350.27569313914915</v>
      </c>
      <c r="E11" s="2193">
        <f t="shared" ref="E11" si="71">E12*(1+P11)</f>
        <v>725.27220201394141</v>
      </c>
      <c r="F11" s="2193">
        <f t="shared" ref="F11" si="72">F12*(1+Q11)</f>
        <v>332.45017846012797</v>
      </c>
      <c r="G11" s="2813">
        <v>2021</v>
      </c>
      <c r="H11" s="2194">
        <v>2</v>
      </c>
      <c r="I11" s="2156">
        <v>0.92</v>
      </c>
      <c r="J11" s="2156">
        <v>0.72</v>
      </c>
      <c r="K11" s="2156">
        <v>0.95</v>
      </c>
      <c r="L11" s="2157">
        <v>1.01</v>
      </c>
      <c r="M11" s="2179"/>
      <c r="N11" s="2195">
        <f t="shared" ref="N11" si="73">I11/100</f>
        <v>9.1999999999999998E-3</v>
      </c>
      <c r="O11" s="2180">
        <f t="shared" ref="O11" si="74">J11/100</f>
        <v>7.1999999999999998E-3</v>
      </c>
      <c r="P11" s="2180">
        <f t="shared" ref="P11" si="75">K11/100</f>
        <v>9.4999999999999998E-3</v>
      </c>
      <c r="Q11" s="2180">
        <f t="shared" ref="Q11" si="76">L11/100</f>
        <v>1.01E-2</v>
      </c>
      <c r="R11" s="2196"/>
      <c r="S11" s="2195"/>
      <c r="T11" s="2180"/>
      <c r="U11" s="2180"/>
      <c r="V11" s="2180"/>
      <c r="W11" s="2197"/>
      <c r="X11" s="2197">
        <f>ROUND(IF(项目基本情况!B4="出让",SUMPRODUCT(PRODUCT(1+N11:N$40)),SUMPRODUCT(PRODUCT(1+N11:N$39))),4)</f>
        <v>1.6338999999999999</v>
      </c>
      <c r="Y11" s="2197">
        <f>ROUND(IF(项目基本情况!B4="出让",SUMPRODUCT(PRODUCT(1+O11:O$40)),SUMPRODUCT(PRODUCT(1+O11:O$39))),4)</f>
        <v>1.3588</v>
      </c>
      <c r="Z11" s="2197">
        <f t="shared" ref="Z11" si="77">Y11</f>
        <v>1.3588</v>
      </c>
      <c r="AA11" s="2197">
        <f>ROUND(IF(项目基本情况!B4="出让",SUMPRODUCT(PRODUCT(1+P11:P$40)),SUMPRODUCT(PRODUCT(1+P11:P$39))),4)</f>
        <v>1.7150000000000001</v>
      </c>
      <c r="AB11" s="2197">
        <f>ROUND(IF(项目基本情况!B4="出让",SUMPRODUCT(PRODUCT(1+Q11:Q$40)),SUMPRODUCT(PRODUCT(1+Q11:Q$39))),4)</f>
        <v>1.446</v>
      </c>
      <c r="AC11" s="2197"/>
      <c r="AD11" s="2198">
        <f>ROUND(AVERAGE(I11:I$40)/100,4)</f>
        <v>1.7600000000000001E-2</v>
      </c>
      <c r="AE11" s="2198">
        <f>ROUND(AVERAGE(J11:J$40)/100,4)</f>
        <v>1.11E-2</v>
      </c>
      <c r="AF11" s="2198">
        <f t="shared" ref="AF11" si="78">AE11</f>
        <v>1.11E-2</v>
      </c>
      <c r="AG11" s="2198">
        <f>ROUND(AVERAGE(K11:K$40)/100,4)</f>
        <v>1.9400000000000001E-2</v>
      </c>
      <c r="AH11" s="2198">
        <f>ROUND(AVERAGE(L11:L$40)/100,4)</f>
        <v>1.2800000000000001E-2</v>
      </c>
    </row>
    <row r="12" spans="1:34" s="2199" customFormat="1">
      <c r="A12" s="2192" t="s">
        <v>2310</v>
      </c>
      <c r="B12" s="2193">
        <f t="shared" ref="B12" si="79">B13*(1+N12)</f>
        <v>497.92799851020823</v>
      </c>
      <c r="C12" s="2193">
        <f t="shared" ref="C12" si="80">C13*(1+O12)</f>
        <v>347.77173663537445</v>
      </c>
      <c r="D12" s="2193">
        <f t="shared" ref="D12" si="81">C12</f>
        <v>347.77173663537445</v>
      </c>
      <c r="E12" s="2193">
        <f t="shared" ref="E12" si="82">E13*(1+P12)</f>
        <v>718.44695593258189</v>
      </c>
      <c r="F12" s="2193">
        <f t="shared" ref="F12" si="83">F13*(1+Q12)</f>
        <v>329.12600580153247</v>
      </c>
      <c r="G12" s="2797">
        <v>2021</v>
      </c>
      <c r="H12" s="2194">
        <v>1</v>
      </c>
      <c r="I12" s="2156">
        <v>0.97</v>
      </c>
      <c r="J12" s="2156">
        <v>0.16</v>
      </c>
      <c r="K12" s="2156">
        <v>1.1100000000000001</v>
      </c>
      <c r="L12" s="2157">
        <v>0.36</v>
      </c>
      <c r="M12" s="2179"/>
      <c r="N12" s="2195">
        <f t="shared" ref="N12" si="84">I12/100</f>
        <v>9.7000000000000003E-3</v>
      </c>
      <c r="O12" s="2180">
        <f t="shared" ref="O12" si="85">J12/100</f>
        <v>1.6000000000000001E-3</v>
      </c>
      <c r="P12" s="2180">
        <f t="shared" ref="P12" si="86">K12/100</f>
        <v>1.11E-2</v>
      </c>
      <c r="Q12" s="2180">
        <f t="shared" ref="Q12" si="87">L12/100</f>
        <v>3.5999999999999999E-3</v>
      </c>
      <c r="R12" s="2196"/>
      <c r="S12" s="2195">
        <f>B12/B13-1</f>
        <v>9.7000000000000419E-3</v>
      </c>
      <c r="T12" s="2180">
        <f t="shared" ref="T12" si="88">C12/C13-1</f>
        <v>1.6000000000000458E-3</v>
      </c>
      <c r="U12" s="2180">
        <f t="shared" ref="U12" si="89">D12/D13-1</f>
        <v>1.6000000000000458E-3</v>
      </c>
      <c r="V12" s="2180">
        <f t="shared" ref="V12" si="90">E12/E13-1</f>
        <v>1.110000000000011E-2</v>
      </c>
      <c r="W12" s="2197"/>
      <c r="X12" s="2197">
        <f>ROUND(IF(项目基本情况!B5="出让",SUMPRODUCT(PRODUCT(1+N12:N$40)),SUMPRODUCT(PRODUCT(1+N12:N$39))),4)</f>
        <v>1.619</v>
      </c>
      <c r="Y12" s="2197">
        <f>ROUND(IF(项目基本情况!B5="出让",SUMPRODUCT(PRODUCT(1+O12:O$40)),SUMPRODUCT(PRODUCT(1+O12:O$39))),4)</f>
        <v>1.3491</v>
      </c>
      <c r="Z12" s="2197">
        <f t="shared" ref="Z12" si="91">Y12</f>
        <v>1.3491</v>
      </c>
      <c r="AA12" s="2197">
        <f>ROUND(IF(项目基本情况!B5="出让",SUMPRODUCT(PRODUCT(1+P12:P$40)),SUMPRODUCT(PRODUCT(1+P12:P$39))),4)</f>
        <v>1.6988000000000001</v>
      </c>
      <c r="AB12" s="2197">
        <f>ROUND(IF(项目基本情况!B5="出让",SUMPRODUCT(PRODUCT(1+Q12:Q$40)),SUMPRODUCT(PRODUCT(1+Q12:Q$39))),4)</f>
        <v>1.4315</v>
      </c>
      <c r="AC12" s="2197"/>
      <c r="AD12" s="2198">
        <f>ROUND(AVERAGE(I12:I$40)/100,4)</f>
        <v>1.7899999999999999E-2</v>
      </c>
      <c r="AE12" s="2198">
        <f>ROUND(AVERAGE(J12:J$40)/100,4)</f>
        <v>1.12E-2</v>
      </c>
      <c r="AF12" s="2198">
        <f t="shared" ref="AF12" si="92">AE12</f>
        <v>1.12E-2</v>
      </c>
      <c r="AG12" s="2198">
        <f>ROUND(AVERAGE(K12:K$40)/100,4)</f>
        <v>1.9699999999999999E-2</v>
      </c>
      <c r="AH12" s="2198">
        <f>ROUND(AVERAGE(L12:L$40)/100,4)</f>
        <v>1.29E-2</v>
      </c>
    </row>
    <row r="13" spans="1:34" s="2199" customFormat="1">
      <c r="A13" s="2192" t="s">
        <v>2307</v>
      </c>
      <c r="B13" s="2193">
        <f t="shared" ref="B13" si="93">B14*(1+N13)</f>
        <v>493.14449689037161</v>
      </c>
      <c r="C13" s="2193">
        <f t="shared" ref="C13" si="94">C14*(1+O13)</f>
        <v>347.21619073020611</v>
      </c>
      <c r="D13" s="2193">
        <f t="shared" ref="D13" si="95">C13</f>
        <v>347.21619073020611</v>
      </c>
      <c r="E13" s="2193">
        <f t="shared" ref="E13" si="96">E14*(1+P13)</f>
        <v>710.55974278763904</v>
      </c>
      <c r="F13" s="2193">
        <f t="shared" ref="F13" si="97">F14*(1+Q13)</f>
        <v>327.94540235306141</v>
      </c>
      <c r="G13" s="2796">
        <v>2020</v>
      </c>
      <c r="H13" s="2194">
        <v>4</v>
      </c>
      <c r="I13" s="2156">
        <v>2.0699999999999998</v>
      </c>
      <c r="J13" s="2156">
        <v>0.37</v>
      </c>
      <c r="K13" s="2156">
        <v>2.35</v>
      </c>
      <c r="L13" s="2157">
        <v>2.69</v>
      </c>
      <c r="M13" s="2179"/>
      <c r="N13" s="2195">
        <f t="shared" ref="N13" si="98">I13/100</f>
        <v>2.07E-2</v>
      </c>
      <c r="O13" s="2180">
        <f t="shared" ref="O13" si="99">J13/100</f>
        <v>3.7000000000000002E-3</v>
      </c>
      <c r="P13" s="2180">
        <f t="shared" ref="P13" si="100">K13/100</f>
        <v>2.35E-2</v>
      </c>
      <c r="Q13" s="2180">
        <f t="shared" ref="Q13" si="101">L13/100</f>
        <v>2.69E-2</v>
      </c>
      <c r="R13" s="2196"/>
      <c r="S13" s="2195"/>
      <c r="T13" s="2180"/>
      <c r="U13" s="2180"/>
      <c r="V13" s="2180"/>
      <c r="W13" s="2197"/>
      <c r="X13" s="2197">
        <f>ROUND(IF(项目基本情况!B6="出让",SUMPRODUCT(PRODUCT(1+N13:N$40)),SUMPRODUCT(PRODUCT(1+N13:N$39))),4)</f>
        <v>1.6034999999999999</v>
      </c>
      <c r="Y13" s="2197">
        <f>ROUND(IF(项目基本情况!B6="出让",SUMPRODUCT(PRODUCT(1+O13:O$40)),SUMPRODUCT(PRODUCT(1+O13:O$39))),4)</f>
        <v>1.3469</v>
      </c>
      <c r="Z13" s="2197">
        <f t="shared" ref="Z13" si="102">Y13</f>
        <v>1.3469</v>
      </c>
      <c r="AA13" s="2197">
        <f>ROUND(IF(项目基本情况!B6="出让",SUMPRODUCT(PRODUCT(1+P13:P$40)),SUMPRODUCT(PRODUCT(1+P13:P$39))),4)</f>
        <v>1.6801999999999999</v>
      </c>
      <c r="AB13" s="2197">
        <f>ROUND(IF(项目基本情况!B6="出让",SUMPRODUCT(PRODUCT(1+Q13:Q$40)),SUMPRODUCT(PRODUCT(1+Q13:Q$39))),4)</f>
        <v>1.4263999999999999</v>
      </c>
      <c r="AC13" s="2197"/>
      <c r="AD13" s="2198">
        <f>ROUND(AVERAGE(I13:I$40)/100,4)</f>
        <v>1.8200000000000001E-2</v>
      </c>
      <c r="AE13" s="2198">
        <f>ROUND(AVERAGE(J13:J$40)/100,4)</f>
        <v>1.1599999999999999E-2</v>
      </c>
      <c r="AF13" s="2198">
        <f t="shared" ref="AF13" si="103">AE13</f>
        <v>1.1599999999999999E-2</v>
      </c>
      <c r="AG13" s="2198">
        <f>ROUND(AVERAGE(K13:K$40)/100,4)</f>
        <v>0.02</v>
      </c>
      <c r="AH13" s="2198">
        <f>ROUND(AVERAGE(L13:L$40)/100,4)</f>
        <v>1.3299999999999999E-2</v>
      </c>
    </row>
    <row r="14" spans="1:34" s="2199" customFormat="1">
      <c r="A14" s="2192" t="s">
        <v>2306</v>
      </c>
      <c r="B14" s="2193">
        <f t="shared" ref="B14" si="104">B15*(1+N14)</f>
        <v>483.1434279321756</v>
      </c>
      <c r="C14" s="2193">
        <f t="shared" ref="C14" si="105">C15*(1+O14)</f>
        <v>345.93622669144776</v>
      </c>
      <c r="D14" s="2193">
        <f t="shared" ref="D14" si="106">C14</f>
        <v>345.93622669144776</v>
      </c>
      <c r="E14" s="2193">
        <f t="shared" ref="E14" si="107">E15*(1+P14)</f>
        <v>694.24498562544113</v>
      </c>
      <c r="F14" s="2193">
        <f t="shared" ref="F14" si="108">F15*(1+Q14)</f>
        <v>319.35475932716082</v>
      </c>
      <c r="G14" s="2793">
        <v>2020</v>
      </c>
      <c r="H14" s="2194">
        <v>3</v>
      </c>
      <c r="I14" s="2156">
        <v>0.36</v>
      </c>
      <c r="J14" s="2156">
        <v>-0.39</v>
      </c>
      <c r="K14" s="2156">
        <v>0.49</v>
      </c>
      <c r="L14" s="2157">
        <v>7.0000000000000007E-2</v>
      </c>
      <c r="M14" s="2179"/>
      <c r="N14" s="2195">
        <f t="shared" ref="N14" si="109">I14/100</f>
        <v>3.5999999999999999E-3</v>
      </c>
      <c r="O14" s="2180">
        <f t="shared" ref="O14" si="110">J14/100</f>
        <v>-3.9000000000000003E-3</v>
      </c>
      <c r="P14" s="2180">
        <f t="shared" ref="P14" si="111">K14/100</f>
        <v>4.8999999999999998E-3</v>
      </c>
      <c r="Q14" s="2180">
        <f t="shared" ref="Q14" si="112">L14/100</f>
        <v>7.000000000000001E-4</v>
      </c>
      <c r="R14" s="2196"/>
      <c r="S14" s="2195"/>
      <c r="T14" s="2180"/>
      <c r="U14" s="2180"/>
      <c r="V14" s="2180"/>
      <c r="W14" s="2197"/>
      <c r="X14" s="2197">
        <f>ROUND(IF(项目基本情况!B7="出让",SUMPRODUCT(PRODUCT(1+N14:N$40)),SUMPRODUCT(PRODUCT(1+N14:N$39))),4)</f>
        <v>1.571</v>
      </c>
      <c r="Y14" s="2197">
        <f>ROUND(IF(项目基本情况!B7="出让",SUMPRODUCT(PRODUCT(1+O14:O$40)),SUMPRODUCT(PRODUCT(1+O14:O$39))),4)</f>
        <v>1.3420000000000001</v>
      </c>
      <c r="Z14" s="2197">
        <f t="shared" ref="Z14" si="113">Y14</f>
        <v>1.3420000000000001</v>
      </c>
      <c r="AA14" s="2197">
        <f>ROUND(IF(项目基本情况!B7="出让",SUMPRODUCT(PRODUCT(1+P14:P$40)),SUMPRODUCT(PRODUCT(1+P14:P$39))),4)</f>
        <v>1.6415999999999999</v>
      </c>
      <c r="AB14" s="2197">
        <f>ROUND(IF(项目基本情况!B7="出让",SUMPRODUCT(PRODUCT(1+Q14:Q$40)),SUMPRODUCT(PRODUCT(1+Q14:Q$39))),4)</f>
        <v>1.389</v>
      </c>
      <c r="AC14" s="2197"/>
      <c r="AD14" s="2198">
        <f>ROUND(AVERAGE(I14:I$40)/100,4)</f>
        <v>1.8100000000000002E-2</v>
      </c>
      <c r="AE14" s="2198">
        <f>ROUND(AVERAGE(J14:J$40)/100,4)</f>
        <v>1.1900000000000001E-2</v>
      </c>
      <c r="AF14" s="2198">
        <f t="shared" ref="AF14" si="114">AE14</f>
        <v>1.1900000000000001E-2</v>
      </c>
      <c r="AG14" s="2198">
        <f>ROUND(AVERAGE(K14:K$40)/100,4)</f>
        <v>1.9900000000000001E-2</v>
      </c>
      <c r="AH14" s="2198">
        <f>ROUND(AVERAGE(L14:L$40)/100,4)</f>
        <v>1.2800000000000001E-2</v>
      </c>
    </row>
    <row r="15" spans="1:34" s="2199" customFormat="1">
      <c r="A15" s="2192" t="s">
        <v>2129</v>
      </c>
      <c r="B15" s="2193">
        <f t="shared" ref="B15" si="115">B16*(1+N15)</f>
        <v>481.4103506697644</v>
      </c>
      <c r="C15" s="2193">
        <f t="shared" ref="C15" si="116">C16*(1+O15)</f>
        <v>347.29066026648707</v>
      </c>
      <c r="D15" s="2193">
        <f t="shared" ref="D15" si="117">C15</f>
        <v>347.29066026648707</v>
      </c>
      <c r="E15" s="2193">
        <f t="shared" ref="E15" si="118">E16*(1+P15)</f>
        <v>690.85977273901995</v>
      </c>
      <c r="F15" s="2193">
        <f t="shared" ref="F15" si="119">F16*(1+Q15)</f>
        <v>319.13136737000184</v>
      </c>
      <c r="G15" s="2183">
        <v>2020</v>
      </c>
      <c r="H15" s="2194">
        <v>2</v>
      </c>
      <c r="I15" s="2156">
        <v>0.31</v>
      </c>
      <c r="J15" s="2156">
        <v>-0.78</v>
      </c>
      <c r="K15" s="2156">
        <v>0.5</v>
      </c>
      <c r="L15" s="2157">
        <v>0.47</v>
      </c>
      <c r="M15" s="2179"/>
      <c r="N15" s="2195">
        <f t="shared" ref="N15" si="120">I15/100</f>
        <v>3.0999999999999999E-3</v>
      </c>
      <c r="O15" s="2180">
        <f t="shared" ref="O15" si="121">J15/100</f>
        <v>-7.8000000000000005E-3</v>
      </c>
      <c r="P15" s="2180">
        <f t="shared" ref="P15" si="122">K15/100</f>
        <v>5.0000000000000001E-3</v>
      </c>
      <c r="Q15" s="2180">
        <f t="shared" ref="Q15" si="123">L15/100</f>
        <v>4.6999999999999993E-3</v>
      </c>
      <c r="R15" s="2196"/>
      <c r="S15" s="2195"/>
      <c r="T15" s="2180"/>
      <c r="U15" s="2180"/>
      <c r="V15" s="2180"/>
      <c r="W15" s="2197"/>
      <c r="X15" s="2197">
        <f>ROUND(IF(项目基本情况!B8="出让",SUMPRODUCT(PRODUCT(1+N15:N$40)),SUMPRODUCT(PRODUCT(1+N15:N$39))),4)</f>
        <v>1.5652999999999999</v>
      </c>
      <c r="Y15" s="2197">
        <f>ROUND(IF(项目基本情况!B8="出让",SUMPRODUCT(PRODUCT(1+O15:O$40)),SUMPRODUCT(PRODUCT(1+O15:O$39))),4)</f>
        <v>1.3472</v>
      </c>
      <c r="Z15" s="2197">
        <f t="shared" ref="Z15" si="124">Y15</f>
        <v>1.3472</v>
      </c>
      <c r="AA15" s="2197">
        <f>ROUND(IF(项目基本情况!B8="出让",SUMPRODUCT(PRODUCT(1+P15:P$40)),SUMPRODUCT(PRODUCT(1+P15:P$39))),4)</f>
        <v>1.6335999999999999</v>
      </c>
      <c r="AB15" s="2197">
        <f>ROUND(IF(项目基本情况!B8="出让",SUMPRODUCT(PRODUCT(1+Q15:Q$40)),SUMPRODUCT(PRODUCT(1+Q15:Q$39))),4)</f>
        <v>1.3880999999999999</v>
      </c>
      <c r="AC15" s="2197"/>
      <c r="AD15" s="2198">
        <f>ROUND(AVERAGE(I15:I$40)/100,4)</f>
        <v>1.8599999999999998E-2</v>
      </c>
      <c r="AE15" s="2198">
        <f>ROUND(AVERAGE(J15:J$40)/100,4)</f>
        <v>1.2500000000000001E-2</v>
      </c>
      <c r="AF15" s="2198">
        <f t="shared" ref="AF15" si="125">AE15</f>
        <v>1.2500000000000001E-2</v>
      </c>
      <c r="AG15" s="2198">
        <f>ROUND(AVERAGE(K15:K$40)/100,4)</f>
        <v>2.0400000000000001E-2</v>
      </c>
      <c r="AH15" s="2198">
        <f>ROUND(AVERAGE(L15:L$40)/100,4)</f>
        <v>1.32E-2</v>
      </c>
    </row>
    <row r="16" spans="1:34" s="2199" customFormat="1">
      <c r="A16" s="2192" t="s">
        <v>2127</v>
      </c>
      <c r="B16" s="2193">
        <f t="shared" ref="B16" si="126">B17*(1+N16)</f>
        <v>479.92259063878413</v>
      </c>
      <c r="C16" s="2193">
        <f t="shared" ref="C16" si="127">C17*(1+O16)</f>
        <v>350.02082268341775</v>
      </c>
      <c r="D16" s="2193">
        <f t="shared" ref="D16" si="128">C16</f>
        <v>350.02082268341775</v>
      </c>
      <c r="E16" s="2193">
        <f t="shared" ref="E16" si="129">E17*(1+P16)</f>
        <v>687.42265944181099</v>
      </c>
      <c r="F16" s="2193">
        <f t="shared" ref="F16" si="130">F17*(1+Q16)</f>
        <v>317.63846657708956</v>
      </c>
      <c r="G16" s="2183">
        <v>2020</v>
      </c>
      <c r="H16" s="2194">
        <v>1</v>
      </c>
      <c r="I16" s="2156">
        <v>0.12</v>
      </c>
      <c r="J16" s="2156">
        <v>-0.4</v>
      </c>
      <c r="K16" s="2156">
        <v>0.21</v>
      </c>
      <c r="L16" s="2157">
        <v>0.27</v>
      </c>
      <c r="M16" s="2179"/>
      <c r="N16" s="2195">
        <f t="shared" ref="N16" si="131">I16/100</f>
        <v>1.1999999999999999E-3</v>
      </c>
      <c r="O16" s="2180">
        <f t="shared" ref="O16" si="132">J16/100</f>
        <v>-4.0000000000000001E-3</v>
      </c>
      <c r="P16" s="2180">
        <f t="shared" ref="P16" si="133">K16/100</f>
        <v>2.0999999999999999E-3</v>
      </c>
      <c r="Q16" s="2180">
        <f t="shared" ref="Q16" si="134">L16/100</f>
        <v>2.7000000000000001E-3</v>
      </c>
      <c r="R16" s="2196"/>
      <c r="S16" s="2195">
        <f>B16/B17-1</f>
        <v>1.2000000000000899E-3</v>
      </c>
      <c r="T16" s="2180">
        <f t="shared" ref="T16" si="135">C16/C17-1</f>
        <v>-4.0000000000000036E-3</v>
      </c>
      <c r="U16" s="2180">
        <f t="shared" ref="U16" si="136">D16/D17-1</f>
        <v>-4.0000000000000036E-3</v>
      </c>
      <c r="V16" s="2180">
        <f t="shared" ref="V16" si="137">E16/E17-1</f>
        <v>2.0999999999999908E-3</v>
      </c>
      <c r="W16" s="2197"/>
      <c r="X16" s="2197">
        <f>ROUND(IF(项目基本情况!B8="出让",SUMPRODUCT(PRODUCT(1+N16:N$40)),SUMPRODUCT(PRODUCT(1+N16:N$39))),4)</f>
        <v>1.5605</v>
      </c>
      <c r="Y16" s="2197">
        <f>ROUND(IF(项目基本情况!B8="出让",SUMPRODUCT(PRODUCT(1+O16:O$40)),SUMPRODUCT(PRODUCT(1+O16:O$39))),4)</f>
        <v>1.3577999999999999</v>
      </c>
      <c r="Z16" s="2197">
        <f t="shared" ref="Z16" si="138">Y16</f>
        <v>1.3577999999999999</v>
      </c>
      <c r="AA16" s="2197">
        <f>ROUND(IF(项目基本情况!B8="出让",SUMPRODUCT(PRODUCT(1+P16:P$40)),SUMPRODUCT(PRODUCT(1+P16:P$39))),4)</f>
        <v>1.6254999999999999</v>
      </c>
      <c r="AB16" s="2197">
        <f>ROUND(IF(项目基本情况!B8="出让",SUMPRODUCT(PRODUCT(1+Q16:Q$40)),SUMPRODUCT(PRODUCT(1+Q16:Q$39))),4)</f>
        <v>1.3815999999999999</v>
      </c>
      <c r="AC16" s="2197"/>
      <c r="AD16" s="2198">
        <f>ROUND(AVERAGE(I16:I$40)/100,4)</f>
        <v>1.9199999999999998E-2</v>
      </c>
      <c r="AE16" s="2198">
        <f>ROUND(AVERAGE(J16:J$40)/100,4)</f>
        <v>1.3299999999999999E-2</v>
      </c>
      <c r="AF16" s="2198">
        <f t="shared" ref="AF16" si="139">AE16</f>
        <v>1.3299999999999999E-2</v>
      </c>
      <c r="AG16" s="2198">
        <f>ROUND(AVERAGE(K16:K$40)/100,4)</f>
        <v>2.1100000000000001E-2</v>
      </c>
      <c r="AH16" s="2198">
        <f>ROUND(AVERAGE(L16:L$40)/100,4)</f>
        <v>1.3599999999999999E-2</v>
      </c>
    </row>
    <row r="17" spans="1:34" s="2199" customFormat="1">
      <c r="A17" s="2192" t="s">
        <v>2126</v>
      </c>
      <c r="B17" s="2193">
        <f t="shared" ref="B17" si="140">B18*(1+N17)</f>
        <v>479.34737379023579</v>
      </c>
      <c r="C17" s="2193">
        <f t="shared" ref="C17" si="141">C18*(1+O17)</f>
        <v>351.4265287986122</v>
      </c>
      <c r="D17" s="2193">
        <f t="shared" ref="D17" si="142">C17</f>
        <v>351.4265287986122</v>
      </c>
      <c r="E17" s="2193">
        <f t="shared" ref="E17" si="143">E18*(1+P17)</f>
        <v>685.98209703803116</v>
      </c>
      <c r="F17" s="2193">
        <f t="shared" ref="F17" si="144">F18*(1+Q17)</f>
        <v>316.78315206651001</v>
      </c>
      <c r="G17" s="2183">
        <v>2019</v>
      </c>
      <c r="H17" s="2194">
        <v>4</v>
      </c>
      <c r="I17" s="2194">
        <v>0.45</v>
      </c>
      <c r="J17" s="2194">
        <v>-0.12</v>
      </c>
      <c r="K17" s="2194">
        <v>0.54</v>
      </c>
      <c r="L17" s="2200">
        <v>0.48</v>
      </c>
      <c r="M17" s="2179"/>
      <c r="N17" s="2195">
        <f t="shared" ref="N17:N22" si="145">I17/100</f>
        <v>4.5000000000000005E-3</v>
      </c>
      <c r="O17" s="2180">
        <f t="shared" ref="O17" si="146">J17/100</f>
        <v>-1.1999999999999999E-3</v>
      </c>
      <c r="P17" s="2180">
        <f t="shared" ref="P17" si="147">K17/100</f>
        <v>5.4000000000000003E-3</v>
      </c>
      <c r="Q17" s="2180">
        <f t="shared" ref="Q17" si="148">L17/100</f>
        <v>4.7999999999999996E-3</v>
      </c>
      <c r="R17" s="2196"/>
      <c r="S17" s="2195"/>
      <c r="T17" s="2180"/>
      <c r="U17" s="2180"/>
      <c r="V17" s="2180"/>
      <c r="W17" s="2197"/>
      <c r="X17" s="2197">
        <f>ROUND(IF(项目基本情况!B8="出让",SUMPRODUCT(PRODUCT(1+N17:N$40)),SUMPRODUCT(PRODUCT(1+N17:N$39))),4)</f>
        <v>1.5586</v>
      </c>
      <c r="Y17" s="2197">
        <f>ROUND(IF(项目基本情况!B8="出让",SUMPRODUCT(PRODUCT(1+O17:O$40)),SUMPRODUCT(PRODUCT(1+O17:O$39))),4)</f>
        <v>1.3633</v>
      </c>
      <c r="Z17" s="2197">
        <f t="shared" ref="Z17" si="149">Y17</f>
        <v>1.3633</v>
      </c>
      <c r="AA17" s="2197">
        <f>ROUND(IF(项目基本情况!B8="出让",SUMPRODUCT(PRODUCT(1+P17:P$40)),SUMPRODUCT(PRODUCT(1+P17:P$39))),4)</f>
        <v>1.6221000000000001</v>
      </c>
      <c r="AB17" s="2197">
        <f>ROUND(IF(项目基本情况!B8="出让",SUMPRODUCT(PRODUCT(1+Q17:Q$40)),SUMPRODUCT(PRODUCT(1+Q17:Q$39))),4)</f>
        <v>1.3777999999999999</v>
      </c>
      <c r="AC17" s="2197"/>
      <c r="AD17" s="2198">
        <f>ROUND(AVERAGE(I17:I$40)/100,4)</f>
        <v>0.02</v>
      </c>
      <c r="AE17" s="2198">
        <f>ROUND(AVERAGE(J17:J$40)/100,4)</f>
        <v>1.4E-2</v>
      </c>
      <c r="AF17" s="2198">
        <f t="shared" ref="AF17" si="150">AE17</f>
        <v>1.4E-2</v>
      </c>
      <c r="AG17" s="2198">
        <f>ROUND(AVERAGE(K17:K$40)/100,4)</f>
        <v>2.1899999999999999E-2</v>
      </c>
      <c r="AH17" s="2198">
        <f>ROUND(AVERAGE(L17:L$40)/100,4)</f>
        <v>1.4E-2</v>
      </c>
    </row>
    <row r="18" spans="1:34" s="2199" customFormat="1" ht="13.5" thickBot="1">
      <c r="A18" s="2192" t="s">
        <v>2125</v>
      </c>
      <c r="B18" s="2193">
        <f t="shared" ref="B18" si="151">B19*(1+N18)</f>
        <v>477.19997390765138</v>
      </c>
      <c r="C18" s="2193">
        <f t="shared" ref="C18" si="152">C19*(1+O18)</f>
        <v>351.84874729536665</v>
      </c>
      <c r="D18" s="2193">
        <f t="shared" ref="D18" si="153">C18</f>
        <v>351.84874729536665</v>
      </c>
      <c r="E18" s="2193">
        <f t="shared" ref="E18" si="154">E19*(1+P18)</f>
        <v>682.29768951465201</v>
      </c>
      <c r="F18" s="2193">
        <f t="shared" ref="F18" si="155">F19*(1+Q18)</f>
        <v>315.26985675409043</v>
      </c>
      <c r="G18" s="2183">
        <v>2019</v>
      </c>
      <c r="H18" s="2194">
        <v>3</v>
      </c>
      <c r="I18" s="2194">
        <v>0.61</v>
      </c>
      <c r="J18" s="2194">
        <v>0.67</v>
      </c>
      <c r="K18" s="2194">
        <v>0.6</v>
      </c>
      <c r="L18" s="2200">
        <v>1.03</v>
      </c>
      <c r="M18" s="2179"/>
      <c r="N18" s="2195">
        <f t="shared" si="145"/>
        <v>6.0999999999999995E-3</v>
      </c>
      <c r="O18" s="2180">
        <f t="shared" ref="O18" si="156">J18/100</f>
        <v>6.7000000000000002E-3</v>
      </c>
      <c r="P18" s="2180">
        <f t="shared" ref="P18" si="157">K18/100</f>
        <v>6.0000000000000001E-3</v>
      </c>
      <c r="Q18" s="2180">
        <f t="shared" ref="Q18" si="158">L18/100</f>
        <v>1.03E-2</v>
      </c>
      <c r="R18" s="2196"/>
      <c r="S18" s="2195"/>
      <c r="T18" s="2180"/>
      <c r="U18" s="2180"/>
      <c r="V18" s="2180"/>
      <c r="W18" s="2197"/>
      <c r="X18" s="2197">
        <f>ROUND(IF(项目基本情况!B8="出让",SUMPRODUCT(PRODUCT(1+N18:N$40)),SUMPRODUCT(PRODUCT(1+N18:N$39))),4)</f>
        <v>1.5516000000000001</v>
      </c>
      <c r="Y18" s="2197">
        <f>ROUND(IF(项目基本情况!B8="出让",SUMPRODUCT(PRODUCT(1+O18:O$40)),SUMPRODUCT(PRODUCT(1+O18:O$39))),4)</f>
        <v>1.3649</v>
      </c>
      <c r="Z18" s="2197">
        <f t="shared" ref="Z18" si="159">Y18</f>
        <v>1.3649</v>
      </c>
      <c r="AA18" s="2197">
        <f>ROUND(IF(项目基本情况!B8="出让",SUMPRODUCT(PRODUCT(1+P18:P$40)),SUMPRODUCT(PRODUCT(1+P18:P$39))),4)</f>
        <v>1.6133999999999999</v>
      </c>
      <c r="AB18" s="2197">
        <f>ROUND(IF(项目基本情况!B8="出让",SUMPRODUCT(PRODUCT(1+Q18:Q$40)),SUMPRODUCT(PRODUCT(1+Q18:Q$39))),4)</f>
        <v>1.3713</v>
      </c>
      <c r="AC18" s="2197"/>
      <c r="AD18" s="2198">
        <f>ROUND(AVERAGE(I18:I$40)/100,4)</f>
        <v>2.07E-2</v>
      </c>
      <c r="AE18" s="2198">
        <f>ROUND(AVERAGE(J18:J$40)/100,4)</f>
        <v>1.47E-2</v>
      </c>
      <c r="AF18" s="2198">
        <f t="shared" ref="AF18" si="160">AE18</f>
        <v>1.47E-2</v>
      </c>
      <c r="AG18" s="2198">
        <f>ROUND(AVERAGE(K18:K$40)/100,4)</f>
        <v>2.2599999999999999E-2</v>
      </c>
      <c r="AH18" s="2198">
        <f>ROUND(AVERAGE(L18:L$40)/100,4)</f>
        <v>1.44E-2</v>
      </c>
    </row>
    <row r="19" spans="1:34" s="2199" customFormat="1">
      <c r="A19" s="2192" t="s">
        <v>2123</v>
      </c>
      <c r="B19" s="2193">
        <f t="shared" ref="B19" si="161">B20*(1+N19)</f>
        <v>474.30670301923408</v>
      </c>
      <c r="C19" s="2193">
        <f t="shared" ref="C19" si="162">C20*(1+O19)</f>
        <v>349.50705005996491</v>
      </c>
      <c r="D19" s="2193">
        <f t="shared" ref="D19" si="163">C19</f>
        <v>349.50705005996491</v>
      </c>
      <c r="E19" s="2193">
        <f t="shared" ref="E19" si="164">E20*(1+P19)</f>
        <v>678.22831959706957</v>
      </c>
      <c r="F19" s="2193">
        <f t="shared" ref="F19" si="165">F20*(1+Q19)</f>
        <v>312.0556832169558</v>
      </c>
      <c r="G19" s="2183">
        <v>2019</v>
      </c>
      <c r="H19" s="2201">
        <v>2</v>
      </c>
      <c r="I19" s="2201">
        <v>1.53</v>
      </c>
      <c r="J19" s="2201">
        <v>1.01</v>
      </c>
      <c r="K19" s="2201">
        <v>1.62</v>
      </c>
      <c r="L19" s="2202">
        <v>1.25</v>
      </c>
      <c r="M19" s="2179"/>
      <c r="N19" s="2195">
        <f t="shared" si="145"/>
        <v>1.5300000000000001E-2</v>
      </c>
      <c r="O19" s="2180">
        <f t="shared" ref="O19" si="166">J19/100</f>
        <v>1.01E-2</v>
      </c>
      <c r="P19" s="2180">
        <f t="shared" ref="P19" si="167">K19/100</f>
        <v>1.6200000000000003E-2</v>
      </c>
      <c r="Q19" s="2180">
        <f t="shared" ref="Q19" si="168">L19/100</f>
        <v>1.2500000000000001E-2</v>
      </c>
      <c r="R19" s="2196"/>
      <c r="S19" s="2195"/>
      <c r="T19" s="2180"/>
      <c r="U19" s="2180"/>
      <c r="V19" s="2180"/>
      <c r="W19" s="2197"/>
      <c r="X19" s="2197">
        <f>ROUND(IF(项目基本情况!B8="出让",SUMPRODUCT(PRODUCT(1+N19:N$40)),SUMPRODUCT(PRODUCT(1+N19:N$39))),4)</f>
        <v>1.5422</v>
      </c>
      <c r="Y19" s="2197">
        <f>ROUND(IF(项目基本情况!B8="出让",SUMPRODUCT(PRODUCT(1+O19:O$40)),SUMPRODUCT(PRODUCT(1+O19:O$39))),4)</f>
        <v>1.3557999999999999</v>
      </c>
      <c r="Z19" s="2197">
        <f t="shared" ref="Z19" si="169">Y19</f>
        <v>1.3557999999999999</v>
      </c>
      <c r="AA19" s="2197">
        <f>ROUND(IF(项目基本情况!B8="出让",SUMPRODUCT(PRODUCT(1+P19:P$40)),SUMPRODUCT(PRODUCT(1+P19:P$39))),4)</f>
        <v>1.6036999999999999</v>
      </c>
      <c r="AB19" s="2197">
        <f>ROUND(IF(项目基本情况!B8="出让",SUMPRODUCT(PRODUCT(1+Q19:Q$40)),SUMPRODUCT(PRODUCT(1+Q19:Q$39))),4)</f>
        <v>1.3573</v>
      </c>
      <c r="AC19" s="2197"/>
      <c r="AD19" s="2198">
        <f>ROUND(AVERAGE(I19:I$40)/100,4)</f>
        <v>2.1299999999999999E-2</v>
      </c>
      <c r="AE19" s="2198">
        <f>ROUND(AVERAGE(J19:J$40)/100,4)</f>
        <v>1.4999999999999999E-2</v>
      </c>
      <c r="AF19" s="2198">
        <f t="shared" ref="AF19" si="170">AE19</f>
        <v>1.4999999999999999E-2</v>
      </c>
      <c r="AG19" s="2198">
        <f>ROUND(AVERAGE(K19:K$40)/100,4)</f>
        <v>2.3300000000000001E-2</v>
      </c>
      <c r="AH19" s="2198">
        <f>ROUND(AVERAGE(L19:L$40)/100,4)</f>
        <v>1.46E-2</v>
      </c>
    </row>
    <row r="20" spans="1:34" s="2199" customFormat="1" ht="13.5" thickBot="1">
      <c r="A20" s="2192" t="s">
        <v>2122</v>
      </c>
      <c r="B20" s="2193">
        <f t="shared" ref="B20" si="171">B21*(1+N20)</f>
        <v>467.15916775261894</v>
      </c>
      <c r="C20" s="2193">
        <f t="shared" ref="C20" si="172">C21*(1+O20)</f>
        <v>346.01232557169084</v>
      </c>
      <c r="D20" s="2193">
        <f t="shared" ref="D20" si="173">C20</f>
        <v>346.01232557169084</v>
      </c>
      <c r="E20" s="2193">
        <f t="shared" ref="E20" si="174">E21*(1+P20)</f>
        <v>667.41617752122568</v>
      </c>
      <c r="F20" s="2193">
        <f t="shared" ref="F20" si="175">F21*(1+Q20)</f>
        <v>308.20314391798104</v>
      </c>
      <c r="G20" s="2183">
        <v>2019</v>
      </c>
      <c r="H20" s="2194">
        <v>1</v>
      </c>
      <c r="I20" s="2194">
        <v>0.6</v>
      </c>
      <c r="J20" s="2194">
        <v>0.37</v>
      </c>
      <c r="K20" s="2194">
        <v>0.63</v>
      </c>
      <c r="L20" s="2200">
        <v>1.1299999999999999</v>
      </c>
      <c r="M20" s="2179"/>
      <c r="N20" s="2195">
        <f t="shared" si="145"/>
        <v>6.0000000000000001E-3</v>
      </c>
      <c r="O20" s="2180">
        <f t="shared" ref="O20" si="176">J20/100</f>
        <v>3.7000000000000002E-3</v>
      </c>
      <c r="P20" s="2180">
        <f t="shared" ref="P20" si="177">K20/100</f>
        <v>6.3E-3</v>
      </c>
      <c r="Q20" s="2180">
        <f t="shared" ref="Q20" si="178">L20/100</f>
        <v>1.1299999999999999E-2</v>
      </c>
      <c r="R20" s="2196"/>
      <c r="S20" s="2195">
        <f>B20/B21-1</f>
        <v>6.0000000000000053E-3</v>
      </c>
      <c r="T20" s="2180">
        <f t="shared" ref="T20" si="179">C20/C21-1</f>
        <v>3.7000000000000366E-3</v>
      </c>
      <c r="U20" s="2180">
        <f t="shared" ref="U20" si="180">D20/D21-1</f>
        <v>3.7000000000000366E-3</v>
      </c>
      <c r="V20" s="2180">
        <f t="shared" ref="V20" si="181">E20/E21-1</f>
        <v>6.2999999999999723E-3</v>
      </c>
      <c r="W20" s="2197"/>
      <c r="X20" s="2197">
        <f>ROUND(IF(项目基本情况!B8="出让",SUMPRODUCT(PRODUCT(1+N20:N$40)),SUMPRODUCT(PRODUCT(1+N20:N$39))),4)</f>
        <v>1.5189999999999999</v>
      </c>
      <c r="Y20" s="2197">
        <f>ROUND(IF(项目基本情况!B8="出让",SUMPRODUCT(PRODUCT(1+O20:O$40)),SUMPRODUCT(PRODUCT(1+O20:O$39))),4)</f>
        <v>1.3423</v>
      </c>
      <c r="Z20" s="2197">
        <f t="shared" ref="Z20" si="182">Y20</f>
        <v>1.3423</v>
      </c>
      <c r="AA20" s="2197">
        <f>ROUND(IF(项目基本情况!B8="出让",SUMPRODUCT(PRODUCT(1+P20:P$40)),SUMPRODUCT(PRODUCT(1+P20:P$39))),4)</f>
        <v>1.5782</v>
      </c>
      <c r="AB20" s="2197">
        <f>ROUND(IF(项目基本情况!B8="出让",SUMPRODUCT(PRODUCT(1+Q20:Q$40)),SUMPRODUCT(PRODUCT(1+Q20:Q$39))),4)</f>
        <v>1.3405</v>
      </c>
      <c r="AC20" s="2197"/>
      <c r="AD20" s="2198">
        <f>ROUND(AVERAGE(I20:I$40)/100,4)</f>
        <v>2.1600000000000001E-2</v>
      </c>
      <c r="AE20" s="2198">
        <f>ROUND(AVERAGE(J20:J$40)/100,4)</f>
        <v>1.5299999999999999E-2</v>
      </c>
      <c r="AF20" s="2198">
        <f t="shared" ref="AF20" si="183">AE20</f>
        <v>1.5299999999999999E-2</v>
      </c>
      <c r="AG20" s="2198">
        <f>ROUND(AVERAGE(K20:K$40)/100,4)</f>
        <v>2.3699999999999999E-2</v>
      </c>
      <c r="AH20" s="2198">
        <f>ROUND(AVERAGE(L20:L$40)/100,4)</f>
        <v>1.47E-2</v>
      </c>
    </row>
    <row r="21" spans="1:34" s="2199" customFormat="1">
      <c r="A21" s="2192" t="s">
        <v>2124</v>
      </c>
      <c r="B21" s="2203">
        <f t="shared" ref="B21" si="184">B22*(1+N21)</f>
        <v>464.37293017158942</v>
      </c>
      <c r="C21" s="2203">
        <f t="shared" ref="C21" si="185">C22*(1+O21)</f>
        <v>344.73679941385956</v>
      </c>
      <c r="D21" s="2203">
        <f t="shared" ref="D21" si="186">C21</f>
        <v>344.73679941385956</v>
      </c>
      <c r="E21" s="2203">
        <f t="shared" ref="E21" si="187">E22*(1+P21)</f>
        <v>663.2377795103107</v>
      </c>
      <c r="F21" s="2204">
        <f t="shared" ref="F21" si="188">F22*(1+Q21)</f>
        <v>304.75936311478398</v>
      </c>
      <c r="G21" s="3848">
        <v>2018</v>
      </c>
      <c r="H21" s="2201">
        <v>4</v>
      </c>
      <c r="I21" s="2201">
        <v>0.96</v>
      </c>
      <c r="J21" s="2201">
        <v>1.03</v>
      </c>
      <c r="K21" s="2201">
        <v>0.92</v>
      </c>
      <c r="L21" s="2202">
        <v>1.29</v>
      </c>
      <c r="M21" s="2179"/>
      <c r="N21" s="2195">
        <f t="shared" si="145"/>
        <v>9.5999999999999992E-3</v>
      </c>
      <c r="O21" s="2180">
        <f t="shared" ref="O21" si="189">J21/100</f>
        <v>1.03E-2</v>
      </c>
      <c r="P21" s="2180">
        <f t="shared" ref="P21" si="190">K21/100</f>
        <v>9.1999999999999998E-3</v>
      </c>
      <c r="Q21" s="2180">
        <f t="shared" ref="Q21" si="191">L21/100</f>
        <v>1.29E-2</v>
      </c>
      <c r="R21" s="2196"/>
      <c r="S21" s="2195"/>
      <c r="T21" s="2180"/>
      <c r="U21" s="2180"/>
      <c r="V21" s="2180"/>
      <c r="W21" s="2197"/>
      <c r="X21" s="2197">
        <f>ROUND(SUMPRODUCT(PRODUCT(1+N21:N$39)),4)</f>
        <v>1.5099</v>
      </c>
      <c r="Y21" s="2197">
        <f>ROUND(SUMPRODUCT(PRODUCT(1+O21:O$39)),4)</f>
        <v>1.3372999999999999</v>
      </c>
      <c r="Z21" s="2197">
        <f t="shared" ref="Z21" si="192">Y21</f>
        <v>1.3372999999999999</v>
      </c>
      <c r="AA21" s="2197">
        <f>ROUND(SUMPRODUCT(PRODUCT(1+P21:P$39)),4)</f>
        <v>1.5683</v>
      </c>
      <c r="AB21" s="2197">
        <f>ROUND(SUMPRODUCT(PRODUCT(1+Q21:Q$39)),4)</f>
        <v>1.3255999999999999</v>
      </c>
      <c r="AC21" s="2197"/>
      <c r="AD21" s="2198">
        <f>ROUND(AVERAGE(I21:I$40)/100,4)</f>
        <v>2.24E-2</v>
      </c>
      <c r="AE21" s="2198">
        <f>ROUND(AVERAGE(J21:J$40)/100,4)</f>
        <v>1.5800000000000002E-2</v>
      </c>
      <c r="AF21" s="2198">
        <f t="shared" ref="AF21" si="193">AE21</f>
        <v>1.5800000000000002E-2</v>
      </c>
      <c r="AG21" s="2198">
        <f>ROUND(AVERAGE(K21:K$40)/100,4)</f>
        <v>2.4500000000000001E-2</v>
      </c>
      <c r="AH21" s="2198">
        <f>ROUND(AVERAGE(L21:L$40)/100,4)</f>
        <v>1.49E-2</v>
      </c>
    </row>
    <row r="22" spans="1:34" s="2199" customFormat="1" ht="14.45" customHeight="1">
      <c r="A22" s="2192" t="s">
        <v>2120</v>
      </c>
      <c r="B22" s="2193">
        <f t="shared" ref="B22" si="194">B23*(1+N22)</f>
        <v>459.95733971036987</v>
      </c>
      <c r="C22" s="2193">
        <f t="shared" ref="C22" si="195">C23*(1+O22)</f>
        <v>341.22221064422405</v>
      </c>
      <c r="D22" s="2193">
        <f t="shared" ref="D22" si="196">C22</f>
        <v>341.22221064422405</v>
      </c>
      <c r="E22" s="2193">
        <f t="shared" ref="E22" si="197">E23*(1+P22)</f>
        <v>657.19161663724799</v>
      </c>
      <c r="F22" s="2193">
        <f t="shared" ref="F22" si="198">F23*(1+Q22)</f>
        <v>300.87803644464805</v>
      </c>
      <c r="G22" s="3848"/>
      <c r="H22" s="2194">
        <v>3</v>
      </c>
      <c r="I22" s="2194">
        <v>1.51</v>
      </c>
      <c r="J22" s="2194">
        <v>1.41</v>
      </c>
      <c r="K22" s="2194">
        <v>1.52</v>
      </c>
      <c r="L22" s="2200">
        <v>1.74</v>
      </c>
      <c r="M22" s="2179"/>
      <c r="N22" s="2195">
        <f t="shared" si="145"/>
        <v>1.5100000000000001E-2</v>
      </c>
      <c r="O22" s="2180">
        <f t="shared" ref="O22" si="199">J22/100</f>
        <v>1.41E-2</v>
      </c>
      <c r="P22" s="2180">
        <f t="shared" ref="P22" si="200">K22/100</f>
        <v>1.52E-2</v>
      </c>
      <c r="Q22" s="2180">
        <f t="shared" ref="Q22" si="201">L22/100</f>
        <v>1.7399999999999999E-2</v>
      </c>
      <c r="R22" s="2196"/>
      <c r="S22" s="2195"/>
      <c r="T22" s="2180"/>
      <c r="U22" s="2180"/>
      <c r="V22" s="2180"/>
      <c r="W22" s="2197"/>
      <c r="X22" s="2197">
        <f>ROUND(SUMPRODUCT(PRODUCT(1+N22:N$39)),4)</f>
        <v>1.4956</v>
      </c>
      <c r="Y22" s="2197">
        <f>ROUND(SUMPRODUCT(PRODUCT(1+O22:O$39)),4)</f>
        <v>1.3237000000000001</v>
      </c>
      <c r="Z22" s="2197">
        <f t="shared" ref="Z22" si="202">Y22</f>
        <v>1.3237000000000001</v>
      </c>
      <c r="AA22" s="2197">
        <f>ROUND(SUMPRODUCT(PRODUCT(1+P22:P$39)),4)</f>
        <v>1.554</v>
      </c>
      <c r="AB22" s="2197">
        <f>ROUND(SUMPRODUCT(PRODUCT(1+Q22:Q$39)),4)</f>
        <v>1.3087</v>
      </c>
      <c r="AC22" s="2197"/>
      <c r="AD22" s="2198">
        <f>ROUND(AVERAGE(I22:I$40)/100,4)</f>
        <v>2.3099999999999999E-2</v>
      </c>
      <c r="AE22" s="2198">
        <f>ROUND(AVERAGE(J22:J$40)/100,4)</f>
        <v>1.61E-2</v>
      </c>
      <c r="AF22" s="2198">
        <f t="shared" ref="AF22" si="203">AE22</f>
        <v>1.61E-2</v>
      </c>
      <c r="AG22" s="2198">
        <f>ROUND(AVERAGE(K22:K$40)/100,4)</f>
        <v>2.53E-2</v>
      </c>
      <c r="AH22" s="2198">
        <f>ROUND(AVERAGE(L22:L$40)/100,4)</f>
        <v>1.4999999999999999E-2</v>
      </c>
    </row>
    <row r="23" spans="1:34" s="2199" customFormat="1" ht="14.45" customHeight="1">
      <c r="A23" s="2192" t="s">
        <v>2119</v>
      </c>
      <c r="B23" s="2193">
        <f t="shared" ref="B23" si="204">B24*(1+N23)</f>
        <v>453.11529869999993</v>
      </c>
      <c r="C23" s="2193">
        <f t="shared" ref="C23" si="205">C24*(1+O23)</f>
        <v>336.47787264000004</v>
      </c>
      <c r="D23" s="2193">
        <f t="shared" ref="D23" si="206">C23</f>
        <v>336.47787264000004</v>
      </c>
      <c r="E23" s="2193">
        <f t="shared" ref="E23" si="207">E24*(1+P23)</f>
        <v>647.35186823999993</v>
      </c>
      <c r="F23" s="2193">
        <f t="shared" ref="F23" si="208">F24*(1+Q23)</f>
        <v>295.73229452000004</v>
      </c>
      <c r="G23" s="3848"/>
      <c r="H23" s="2205">
        <v>2</v>
      </c>
      <c r="I23" s="2205">
        <v>1.49</v>
      </c>
      <c r="J23" s="2205">
        <v>0.96</v>
      </c>
      <c r="K23" s="2205">
        <v>1.58</v>
      </c>
      <c r="L23" s="2206">
        <v>2.44</v>
      </c>
      <c r="M23" s="2179"/>
      <c r="N23" s="2195">
        <f t="shared" ref="N23" si="209">I23/100</f>
        <v>1.49E-2</v>
      </c>
      <c r="O23" s="2180">
        <f t="shared" ref="O23" si="210">J23/100</f>
        <v>9.5999999999999992E-3</v>
      </c>
      <c r="P23" s="2180">
        <f t="shared" ref="P23" si="211">K23/100</f>
        <v>1.5800000000000002E-2</v>
      </c>
      <c r="Q23" s="2180">
        <f t="shared" ref="Q23" si="212">L23/100</f>
        <v>2.4399999999999998E-2</v>
      </c>
      <c r="R23" s="2196"/>
      <c r="S23" s="2195"/>
      <c r="T23" s="2180"/>
      <c r="U23" s="2180"/>
      <c r="V23" s="2180"/>
      <c r="W23" s="2197"/>
      <c r="X23" s="2197">
        <f>ROUND(SUMPRODUCT(PRODUCT(1+N23:N$39)),4)</f>
        <v>1.4733000000000001</v>
      </c>
      <c r="Y23" s="2197">
        <f>ROUND(SUMPRODUCT(PRODUCT(1+O23:O$39)),4)</f>
        <v>1.3052999999999999</v>
      </c>
      <c r="Z23" s="2197">
        <f t="shared" ref="Z23" si="213">Y23</f>
        <v>1.3052999999999999</v>
      </c>
      <c r="AA23" s="2197">
        <f>ROUND(SUMPRODUCT(PRODUCT(1+P23:P$39)),4)</f>
        <v>1.5306999999999999</v>
      </c>
      <c r="AB23" s="2197">
        <f>ROUND(SUMPRODUCT(PRODUCT(1+Q23:Q$39)),4)</f>
        <v>1.2863</v>
      </c>
      <c r="AC23" s="2197"/>
      <c r="AD23" s="2198">
        <f>ROUND(AVERAGE(I23:I$40)/100,4)</f>
        <v>2.35E-2</v>
      </c>
      <c r="AE23" s="2198">
        <f>ROUND(AVERAGE(J23:J$40)/100,4)</f>
        <v>1.6199999999999999E-2</v>
      </c>
      <c r="AF23" s="2198">
        <f t="shared" ref="AF23" si="214">AE23</f>
        <v>1.6199999999999999E-2</v>
      </c>
      <c r="AG23" s="2198">
        <f>ROUND(AVERAGE(K23:K$40)/100,4)</f>
        <v>2.5899999999999999E-2</v>
      </c>
      <c r="AH23" s="2198">
        <f>ROUND(AVERAGE(L23:L$40)/100,4)</f>
        <v>1.49E-2</v>
      </c>
    </row>
    <row r="24" spans="1:34" s="2199" customFormat="1" ht="15" customHeight="1" thickBot="1">
      <c r="A24" s="2192" t="s">
        <v>2112</v>
      </c>
      <c r="B24" s="2193">
        <f t="shared" ref="B24" si="215">B25*(1+N24)</f>
        <v>446.46299999999997</v>
      </c>
      <c r="C24" s="2193">
        <f t="shared" ref="C24" si="216">C25*(1+O24)</f>
        <v>333.27840000000003</v>
      </c>
      <c r="D24" s="2193">
        <f t="shared" ref="D24" si="217">C24</f>
        <v>333.27840000000003</v>
      </c>
      <c r="E24" s="2193">
        <f t="shared" ref="E24" si="218">E25*(1+P24)</f>
        <v>637.28279999999995</v>
      </c>
      <c r="F24" s="2193">
        <f t="shared" ref="F24" si="219">F25*(1+Q24)</f>
        <v>288.68830000000003</v>
      </c>
      <c r="G24" s="3857"/>
      <c r="H24" s="2194">
        <v>1</v>
      </c>
      <c r="I24" s="2194">
        <v>1.7</v>
      </c>
      <c r="J24" s="2194">
        <v>1.92</v>
      </c>
      <c r="K24" s="2194">
        <v>1.64</v>
      </c>
      <c r="L24" s="2200">
        <v>2.0099999999999998</v>
      </c>
      <c r="M24" s="2179"/>
      <c r="N24" s="2195">
        <f t="shared" ref="N24:N29" si="220">I24/100</f>
        <v>1.7000000000000001E-2</v>
      </c>
      <c r="O24" s="2180">
        <f t="shared" ref="O24" si="221">J24/100</f>
        <v>1.9199999999999998E-2</v>
      </c>
      <c r="P24" s="2180">
        <f t="shared" ref="P24" si="222">K24/100</f>
        <v>1.6399999999999998E-2</v>
      </c>
      <c r="Q24" s="2180">
        <f t="shared" ref="Q24" si="223">L24/100</f>
        <v>2.0099999999999996E-2</v>
      </c>
      <c r="R24" s="2196"/>
      <c r="S24" s="2195">
        <f>B24/B25-1</f>
        <v>1.6999999999999904E-2</v>
      </c>
      <c r="T24" s="2180">
        <f t="shared" ref="T24" si="224">C24/C25-1</f>
        <v>1.9200000000000106E-2</v>
      </c>
      <c r="U24" s="2180">
        <f t="shared" ref="U24" si="225">D24/D25-1</f>
        <v>1.9200000000000106E-2</v>
      </c>
      <c r="V24" s="2180">
        <f t="shared" ref="V24" si="226">E24/E25-1</f>
        <v>1.639999999999997E-2</v>
      </c>
      <c r="W24" s="2197"/>
      <c r="X24" s="2197">
        <f>ROUND(SUMPRODUCT(PRODUCT(1+N24:N$39)),4)</f>
        <v>1.4517</v>
      </c>
      <c r="Y24" s="2197">
        <f>ROUND(SUMPRODUCT(PRODUCT(1+O24:O$39)),4)</f>
        <v>1.2928999999999999</v>
      </c>
      <c r="Z24" s="2197">
        <f t="shared" ref="Z24" si="227">Y24</f>
        <v>1.2928999999999999</v>
      </c>
      <c r="AA24" s="2197">
        <f>ROUND(SUMPRODUCT(PRODUCT(1+P24:P$39)),4)</f>
        <v>1.5068999999999999</v>
      </c>
      <c r="AB24" s="2197">
        <f>ROUND(SUMPRODUCT(PRODUCT(1+Q24:Q$39)),4)</f>
        <v>1.2557</v>
      </c>
      <c r="AC24" s="2197"/>
      <c r="AD24" s="2198">
        <f>ROUND(AVERAGE(I24:I$40)/100,4)</f>
        <v>2.4E-2</v>
      </c>
      <c r="AE24" s="2198">
        <f>ROUND(AVERAGE(J24:J$40)/100,4)</f>
        <v>1.66E-2</v>
      </c>
      <c r="AF24" s="2198">
        <f t="shared" ref="AF24" si="228">AE24</f>
        <v>1.66E-2</v>
      </c>
      <c r="AG24" s="2198">
        <f>ROUND(AVERAGE(K24:K$40)/100,4)</f>
        <v>2.6499999999999999E-2</v>
      </c>
      <c r="AH24" s="2198">
        <f>ROUND(AVERAGE(L24:L$40)/100,4)</f>
        <v>1.43E-2</v>
      </c>
    </row>
    <row r="25" spans="1:34">
      <c r="A25" s="2192" t="s">
        <v>2110</v>
      </c>
      <c r="B25" s="2207">
        <v>439</v>
      </c>
      <c r="C25" s="2207">
        <v>327</v>
      </c>
      <c r="D25" s="2207">
        <f>C25</f>
        <v>327</v>
      </c>
      <c r="E25" s="2207">
        <v>627</v>
      </c>
      <c r="F25" s="2208">
        <v>283</v>
      </c>
      <c r="G25" s="3853">
        <v>2017</v>
      </c>
      <c r="H25" s="2201">
        <v>4</v>
      </c>
      <c r="I25" s="2201">
        <v>1.71</v>
      </c>
      <c r="J25" s="2201">
        <v>1.78</v>
      </c>
      <c r="K25" s="2201">
        <v>1.71</v>
      </c>
      <c r="L25" s="2202">
        <v>1.43</v>
      </c>
      <c r="N25" s="2195">
        <f t="shared" si="220"/>
        <v>1.7100000000000001E-2</v>
      </c>
      <c r="O25" s="2180">
        <f t="shared" ref="O25" si="229">J25/100</f>
        <v>1.78E-2</v>
      </c>
      <c r="P25" s="2180">
        <f t="shared" ref="P25" si="230">K25/100</f>
        <v>1.7100000000000001E-2</v>
      </c>
      <c r="Q25" s="2180">
        <f t="shared" ref="Q25" si="231">L25/100</f>
        <v>1.43E-2</v>
      </c>
      <c r="R25" s="2196"/>
      <c r="S25" s="2209"/>
      <c r="T25" s="2210"/>
      <c r="U25" s="2210"/>
      <c r="V25" s="2210"/>
      <c r="X25" s="2179">
        <f>ROUND(SUMPRODUCT(PRODUCT(1+N25:N$39)),4)</f>
        <v>1.4274</v>
      </c>
      <c r="Y25" s="2179">
        <f>ROUND(SUMPRODUCT(PRODUCT(1+O25:O$39)),4)</f>
        <v>1.2685</v>
      </c>
      <c r="Z25" s="2179">
        <f t="shared" si="0"/>
        <v>1.2685</v>
      </c>
      <c r="AA25" s="2179">
        <f>ROUND(SUMPRODUCT(PRODUCT(1+P25:P$39)),4)</f>
        <v>1.4825999999999999</v>
      </c>
      <c r="AB25" s="2179">
        <f>ROUND(SUMPRODUCT(PRODUCT(1+Q25:Q$39)),4)</f>
        <v>1.2309000000000001</v>
      </c>
      <c r="AD25" s="2180">
        <f>ROUND(AVERAGE(I25:I$40)/100,4)</f>
        <v>2.4500000000000001E-2</v>
      </c>
      <c r="AE25" s="2180">
        <f>ROUND(AVERAGE(J25:J$40)/100,4)</f>
        <v>1.6500000000000001E-2</v>
      </c>
      <c r="AF25" s="2180">
        <f t="shared" si="1"/>
        <v>1.6500000000000001E-2</v>
      </c>
      <c r="AG25" s="2180">
        <f>ROUND(AVERAGE(K25:K$40)/100,4)</f>
        <v>2.7099999999999999E-2</v>
      </c>
      <c r="AH25" s="2180">
        <f>ROUND(AVERAGE(L25:L$40)/100,4)</f>
        <v>1.3899999999999999E-2</v>
      </c>
    </row>
    <row r="26" spans="1:34" s="2199" customFormat="1" ht="14.45" customHeight="1">
      <c r="A26" s="2192" t="s">
        <v>2111</v>
      </c>
      <c r="B26" s="2193">
        <f t="shared" ref="B26:B27" si="232">B27*(1+N26)</f>
        <v>431.80730811680002</v>
      </c>
      <c r="C26" s="2193">
        <f t="shared" ref="C26:C27" si="233">C27*(1+O26)</f>
        <v>320.57880516480003</v>
      </c>
      <c r="D26" s="2193">
        <f t="shared" ref="D26:D27" si="234">C26</f>
        <v>320.57880516480003</v>
      </c>
      <c r="E26" s="2193">
        <f t="shared" ref="E26:E27" si="235">E27*(1+P26)</f>
        <v>615.96110553196797</v>
      </c>
      <c r="F26" s="2193">
        <f t="shared" ref="F26:F27" si="236">F27*(1+Q26)</f>
        <v>279.46777300108801</v>
      </c>
      <c r="G26" s="3848"/>
      <c r="H26" s="2194">
        <v>3</v>
      </c>
      <c r="I26" s="2194">
        <v>2.98</v>
      </c>
      <c r="J26" s="2194">
        <v>2.11</v>
      </c>
      <c r="K26" s="2194">
        <v>3.24</v>
      </c>
      <c r="L26" s="2200">
        <v>1.72</v>
      </c>
      <c r="M26" s="2179"/>
      <c r="N26" s="2195">
        <f t="shared" si="220"/>
        <v>2.98E-2</v>
      </c>
      <c r="O26" s="2180">
        <f t="shared" ref="O26" si="237">J26/100</f>
        <v>2.1099999999999997E-2</v>
      </c>
      <c r="P26" s="2180">
        <f t="shared" ref="P26" si="238">K26/100</f>
        <v>3.2400000000000005E-2</v>
      </c>
      <c r="Q26" s="2180">
        <f t="shared" ref="Q26" si="239">L26/100</f>
        <v>1.72E-2</v>
      </c>
      <c r="R26" s="2196"/>
      <c r="S26" s="2195"/>
      <c r="T26" s="2180"/>
      <c r="U26" s="2180"/>
      <c r="V26" s="2180"/>
      <c r="W26" s="2197"/>
      <c r="X26" s="2197">
        <f>ROUND(SUMPRODUCT(PRODUCT(1+N26:N$39)),4)</f>
        <v>1.4034</v>
      </c>
      <c r="Y26" s="2197">
        <f>ROUND(SUMPRODUCT(PRODUCT(1+O26:O$39)),4)</f>
        <v>1.2463</v>
      </c>
      <c r="Z26" s="2197">
        <f t="shared" si="0"/>
        <v>1.2463</v>
      </c>
      <c r="AA26" s="2197">
        <f>ROUND(SUMPRODUCT(PRODUCT(1+P26:P$39)),4)</f>
        <v>1.4577</v>
      </c>
      <c r="AB26" s="2197">
        <f>ROUND(SUMPRODUCT(PRODUCT(1+Q26:Q$39)),4)</f>
        <v>1.2136</v>
      </c>
      <c r="AC26" s="2197"/>
      <c r="AD26" s="2198">
        <f>ROUND(AVERAGE(I26:I$40)/100,4)</f>
        <v>2.4899999999999999E-2</v>
      </c>
      <c r="AE26" s="2198">
        <f>ROUND(AVERAGE(J26:J$40)/100,4)</f>
        <v>1.6400000000000001E-2</v>
      </c>
      <c r="AF26" s="2198">
        <f t="shared" si="1"/>
        <v>1.6400000000000001E-2</v>
      </c>
      <c r="AG26" s="2198">
        <f>ROUND(AVERAGE(K26:K$40)/100,4)</f>
        <v>2.7799999999999998E-2</v>
      </c>
      <c r="AH26" s="2198">
        <f>ROUND(AVERAGE(L26:L$40)/100,4)</f>
        <v>1.3899999999999999E-2</v>
      </c>
    </row>
    <row r="27" spans="1:34" s="2186" customFormat="1" ht="14.45" customHeight="1">
      <c r="A27" s="2192" t="s">
        <v>677</v>
      </c>
      <c r="B27" s="2193">
        <f t="shared" si="232"/>
        <v>419.31181600000002</v>
      </c>
      <c r="C27" s="2193">
        <f t="shared" si="233"/>
        <v>313.95436800000004</v>
      </c>
      <c r="D27" s="2193">
        <f t="shared" si="234"/>
        <v>313.95436800000004</v>
      </c>
      <c r="E27" s="2193">
        <f t="shared" si="235"/>
        <v>596.63028431999999</v>
      </c>
      <c r="F27" s="2193">
        <f t="shared" si="236"/>
        <v>274.74220703999998</v>
      </c>
      <c r="G27" s="3848"/>
      <c r="H27" s="2205">
        <v>2</v>
      </c>
      <c r="I27" s="2205">
        <v>3.4</v>
      </c>
      <c r="J27" s="2205">
        <v>2</v>
      </c>
      <c r="K27" s="2205">
        <v>3.82</v>
      </c>
      <c r="L27" s="2206">
        <v>1.68</v>
      </c>
      <c r="M27" s="2179"/>
      <c r="N27" s="2195">
        <f t="shared" si="220"/>
        <v>3.4000000000000002E-2</v>
      </c>
      <c r="O27" s="2180">
        <f t="shared" ref="O27" si="240">J27/100</f>
        <v>0.02</v>
      </c>
      <c r="P27" s="2180">
        <f t="shared" ref="P27" si="241">K27/100</f>
        <v>3.8199999999999998E-2</v>
      </c>
      <c r="Q27" s="2180">
        <f t="shared" ref="Q27" si="242">L27/100</f>
        <v>1.6799999999999999E-2</v>
      </c>
      <c r="R27" s="2196"/>
      <c r="S27" s="2209"/>
      <c r="T27" s="2210"/>
      <c r="U27" s="2210"/>
      <c r="V27" s="2210"/>
      <c r="W27" s="2173"/>
      <c r="X27" s="2197">
        <f>ROUND(SUMPRODUCT(PRODUCT(1+N27:N$39)),4)</f>
        <v>1.3628</v>
      </c>
      <c r="Y27" s="2197">
        <f>ROUND(SUMPRODUCT(PRODUCT(1+O27:O$39)),4)</f>
        <v>1.2205999999999999</v>
      </c>
      <c r="Z27" s="2197">
        <f t="shared" si="0"/>
        <v>1.2205999999999999</v>
      </c>
      <c r="AA27" s="2197">
        <f>ROUND(SUMPRODUCT(PRODUCT(1+P27:P$39)),4)</f>
        <v>1.4118999999999999</v>
      </c>
      <c r="AB27" s="2197">
        <f>ROUND(SUMPRODUCT(PRODUCT(1+Q27:Q$39)),4)</f>
        <v>1.1930000000000001</v>
      </c>
      <c r="AC27" s="2173"/>
      <c r="AD27" s="2198">
        <f>ROUND(AVERAGE(I27:I$40)/100,4)</f>
        <v>2.46E-2</v>
      </c>
      <c r="AE27" s="2198">
        <f>ROUND(AVERAGE(J27:J$40)/100,4)</f>
        <v>1.6E-2</v>
      </c>
      <c r="AF27" s="2198">
        <f t="shared" si="1"/>
        <v>1.6E-2</v>
      </c>
      <c r="AG27" s="2198">
        <f>ROUND(AVERAGE(K27:K$40)/100,4)</f>
        <v>2.75E-2</v>
      </c>
      <c r="AH27" s="2198">
        <f>ROUND(AVERAGE(L27:L$40)/100,4)</f>
        <v>1.37E-2</v>
      </c>
    </row>
    <row r="28" spans="1:34" s="2199" customFormat="1" ht="15" customHeight="1" thickBot="1">
      <c r="A28" s="2192" t="s">
        <v>463</v>
      </c>
      <c r="B28" s="2193">
        <f>B29*(1+N28)</f>
        <v>405.524</v>
      </c>
      <c r="C28" s="2193">
        <f>C29*(1+O28)</f>
        <v>307.79840000000002</v>
      </c>
      <c r="D28" s="2193">
        <f>C28</f>
        <v>307.79840000000002</v>
      </c>
      <c r="E28" s="2193">
        <f>E29*(1+P28)</f>
        <v>574.67759999999998</v>
      </c>
      <c r="F28" s="2193">
        <f>F29*(1+Q28)</f>
        <v>270.20280000000002</v>
      </c>
      <c r="G28" s="3857"/>
      <c r="H28" s="2194">
        <v>1</v>
      </c>
      <c r="I28" s="2194">
        <v>3.45</v>
      </c>
      <c r="J28" s="2194">
        <v>1.92</v>
      </c>
      <c r="K28" s="2194">
        <v>3.92</v>
      </c>
      <c r="L28" s="2200">
        <v>1.58</v>
      </c>
      <c r="M28" s="2179"/>
      <c r="N28" s="2195">
        <f t="shared" si="220"/>
        <v>3.4500000000000003E-2</v>
      </c>
      <c r="O28" s="2180">
        <f t="shared" ref="O28:Q43" si="243">J28/100</f>
        <v>1.9199999999999998E-2</v>
      </c>
      <c r="P28" s="2180">
        <f t="shared" si="243"/>
        <v>3.9199999999999999E-2</v>
      </c>
      <c r="Q28" s="2180">
        <f t="shared" si="243"/>
        <v>1.5800000000000002E-2</v>
      </c>
      <c r="R28" s="2196"/>
      <c r="S28" s="2195">
        <f>B28/B29-1</f>
        <v>3.4499999999999975E-2</v>
      </c>
      <c r="T28" s="2180">
        <f t="shared" ref="T28:V28" si="244">C28/C29-1</f>
        <v>1.9200000000000106E-2</v>
      </c>
      <c r="U28" s="2180">
        <f t="shared" si="244"/>
        <v>1.9200000000000106E-2</v>
      </c>
      <c r="V28" s="2180">
        <f t="shared" si="244"/>
        <v>3.9199999999999902E-2</v>
      </c>
      <c r="W28" s="2197"/>
      <c r="X28" s="2197">
        <f>ROUND(SUMPRODUCT(PRODUCT(1+N28:N$39)),4)</f>
        <v>1.3180000000000001</v>
      </c>
      <c r="Y28" s="2197">
        <f>ROUND(SUMPRODUCT(PRODUCT(1+O28:O$39)),4)</f>
        <v>1.1966000000000001</v>
      </c>
      <c r="Z28" s="2197">
        <f t="shared" si="0"/>
        <v>1.1966000000000001</v>
      </c>
      <c r="AA28" s="2197">
        <f>ROUND(SUMPRODUCT(PRODUCT(1+P28:P$39)),4)</f>
        <v>1.36</v>
      </c>
      <c r="AB28" s="2197">
        <f>ROUND(SUMPRODUCT(PRODUCT(1+Q28:Q$39)),4)</f>
        <v>1.1733</v>
      </c>
      <c r="AC28" s="2197"/>
      <c r="AD28" s="2198">
        <f>ROUND(AVERAGE(I28:I$40)/100,4)</f>
        <v>2.3900000000000001E-2</v>
      </c>
      <c r="AE28" s="2198">
        <f>ROUND(AVERAGE(J28:J$40)/100,4)</f>
        <v>1.5699999999999999E-2</v>
      </c>
      <c r="AF28" s="2198">
        <f t="shared" si="1"/>
        <v>1.5699999999999999E-2</v>
      </c>
      <c r="AG28" s="2198">
        <f>ROUND(AVERAGE(K28:K$40)/100,4)</f>
        <v>2.6599999999999999E-2</v>
      </c>
      <c r="AH28" s="2198">
        <f>ROUND(AVERAGE(L28:L$40)/100,4)</f>
        <v>1.34E-2</v>
      </c>
    </row>
    <row r="29" spans="1:34">
      <c r="A29" s="2192" t="s">
        <v>127</v>
      </c>
      <c r="B29" s="2207">
        <v>392</v>
      </c>
      <c r="C29" s="2207">
        <v>302</v>
      </c>
      <c r="D29" s="2207">
        <f>C29</f>
        <v>302</v>
      </c>
      <c r="E29" s="2207">
        <v>553</v>
      </c>
      <c r="F29" s="2208">
        <v>266</v>
      </c>
      <c r="G29" s="3853">
        <v>2016</v>
      </c>
      <c r="H29" s="2201">
        <v>4</v>
      </c>
      <c r="I29" s="2201">
        <v>4.5599999999999996</v>
      </c>
      <c r="J29" s="2201">
        <v>2.15</v>
      </c>
      <c r="K29" s="2201">
        <v>5.32</v>
      </c>
      <c r="L29" s="2202">
        <v>1.57</v>
      </c>
      <c r="N29" s="2195">
        <f t="shared" si="220"/>
        <v>4.5599999999999995E-2</v>
      </c>
      <c r="O29" s="2180">
        <f t="shared" si="243"/>
        <v>2.1499999999999998E-2</v>
      </c>
      <c r="P29" s="2180">
        <f t="shared" si="243"/>
        <v>5.3200000000000004E-2</v>
      </c>
      <c r="Q29" s="2180">
        <f t="shared" si="243"/>
        <v>1.5700000000000002E-2</v>
      </c>
      <c r="R29" s="2196"/>
      <c r="S29" s="2209"/>
      <c r="T29" s="2210"/>
      <c r="U29" s="2210"/>
      <c r="V29" s="2210"/>
      <c r="X29" s="2179">
        <f>ROUND(SUMPRODUCT(PRODUCT(1+N29:N$39)),4)</f>
        <v>1.274</v>
      </c>
      <c r="Y29" s="2179">
        <f>ROUND(SUMPRODUCT(PRODUCT(1+O29:O$39)),4)</f>
        <v>1.1740999999999999</v>
      </c>
      <c r="Z29" s="2179">
        <f t="shared" si="0"/>
        <v>1.1740999999999999</v>
      </c>
      <c r="AA29" s="2179">
        <f>ROUND(SUMPRODUCT(PRODUCT(1+P29:P$39)),4)</f>
        <v>1.3087</v>
      </c>
      <c r="AB29" s="2179">
        <f>ROUND(SUMPRODUCT(PRODUCT(1+Q29:Q$39)),4)</f>
        <v>1.1551</v>
      </c>
      <c r="AD29" s="2180">
        <f>ROUND(AVERAGE(I29:I$40)/100,4)</f>
        <v>2.3E-2</v>
      </c>
      <c r="AE29" s="2180">
        <f>ROUND(AVERAGE(J29:J$40)/100,4)</f>
        <v>1.55E-2</v>
      </c>
      <c r="AF29" s="2180">
        <f t="shared" si="1"/>
        <v>1.55E-2</v>
      </c>
      <c r="AG29" s="2180">
        <f>ROUND(AVERAGE(K29:K$40)/100,4)</f>
        <v>2.5600000000000001E-2</v>
      </c>
      <c r="AH29" s="2180">
        <f>ROUND(AVERAGE(L29:L$40)/100,4)</f>
        <v>1.32E-2</v>
      </c>
    </row>
    <row r="30" spans="1:34">
      <c r="A30" s="2192" t="s">
        <v>126</v>
      </c>
      <c r="B30" s="2193">
        <f t="shared" ref="B30:C32" si="245">B29/(1+N29)</f>
        <v>374.90436113236416</v>
      </c>
      <c r="C30" s="2193">
        <f t="shared" si="245"/>
        <v>295.64366128242779</v>
      </c>
      <c r="D30" s="2193">
        <f t="shared" ref="D30:D89" si="246">C30</f>
        <v>295.64366128242779</v>
      </c>
      <c r="E30" s="2193">
        <f t="shared" ref="E30:F32" si="247">E29/(1+P29)</f>
        <v>525.06646410938095</v>
      </c>
      <c r="F30" s="2193">
        <f t="shared" si="247"/>
        <v>261.88835286009646</v>
      </c>
      <c r="G30" s="3848"/>
      <c r="H30" s="2194">
        <v>3</v>
      </c>
      <c r="I30" s="2194">
        <v>4.12</v>
      </c>
      <c r="J30" s="2194">
        <v>2</v>
      </c>
      <c r="K30" s="2194">
        <v>4.79</v>
      </c>
      <c r="L30" s="2200">
        <v>1.97</v>
      </c>
      <c r="N30" s="2195">
        <f t="shared" ref="N30:Q64" si="248">I30/100</f>
        <v>4.1200000000000001E-2</v>
      </c>
      <c r="O30" s="2180">
        <f t="shared" si="243"/>
        <v>0.02</v>
      </c>
      <c r="P30" s="2180">
        <f t="shared" si="243"/>
        <v>4.7899999999999998E-2</v>
      </c>
      <c r="Q30" s="2180">
        <f t="shared" si="243"/>
        <v>1.9699999999999999E-2</v>
      </c>
      <c r="R30" s="2196"/>
      <c r="S30" s="2195"/>
      <c r="T30" s="2180"/>
      <c r="U30" s="2180"/>
      <c r="V30" s="2180"/>
      <c r="X30" s="2179">
        <f>ROUND(SUMPRODUCT(PRODUCT(1+N30:N$39)),4)</f>
        <v>1.2184999999999999</v>
      </c>
      <c r="Y30" s="2179">
        <f>ROUND(SUMPRODUCT(PRODUCT(1+O30:O$39)),4)</f>
        <v>1.1494</v>
      </c>
      <c r="Z30" s="2179">
        <f t="shared" si="0"/>
        <v>1.1494</v>
      </c>
      <c r="AA30" s="2179">
        <f>ROUND(SUMPRODUCT(PRODUCT(1+P30:P$39)),4)</f>
        <v>1.2425999999999999</v>
      </c>
      <c r="AB30" s="2179">
        <f>ROUND(SUMPRODUCT(PRODUCT(1+Q30:Q$39)),4)</f>
        <v>1.1372</v>
      </c>
      <c r="AD30" s="2180">
        <f>ROUND(AVERAGE(I30:I$40)/100,4)</f>
        <v>2.0899999999999998E-2</v>
      </c>
      <c r="AE30" s="2180">
        <f>ROUND(AVERAGE(J30:J$40)/100,4)</f>
        <v>1.49E-2</v>
      </c>
      <c r="AF30" s="2180">
        <f t="shared" si="1"/>
        <v>1.49E-2</v>
      </c>
      <c r="AG30" s="2180">
        <f>ROUND(AVERAGE(K30:K$40)/100,4)</f>
        <v>2.3099999999999999E-2</v>
      </c>
      <c r="AH30" s="2180">
        <f>ROUND(AVERAGE(L30:L$40)/100,4)</f>
        <v>1.2999999999999999E-2</v>
      </c>
    </row>
    <row r="31" spans="1:34">
      <c r="A31" s="2192" t="s">
        <v>116</v>
      </c>
      <c r="B31" s="2193">
        <f t="shared" si="245"/>
        <v>360.06949782209392</v>
      </c>
      <c r="C31" s="2193">
        <f t="shared" si="245"/>
        <v>289.84672674747821</v>
      </c>
      <c r="D31" s="2193">
        <f t="shared" si="246"/>
        <v>289.84672674747821</v>
      </c>
      <c r="E31" s="2193">
        <f t="shared" si="247"/>
        <v>501.06543001181495</v>
      </c>
      <c r="F31" s="2193">
        <f t="shared" si="247"/>
        <v>256.82882500744967</v>
      </c>
      <c r="G31" s="3848"/>
      <c r="H31" s="2205">
        <v>2</v>
      </c>
      <c r="I31" s="2205">
        <v>3.85</v>
      </c>
      <c r="J31" s="2205">
        <v>1.95</v>
      </c>
      <c r="K31" s="2205">
        <v>4.4800000000000004</v>
      </c>
      <c r="L31" s="2206">
        <v>1.41</v>
      </c>
      <c r="N31" s="2195">
        <f t="shared" si="248"/>
        <v>3.85E-2</v>
      </c>
      <c r="O31" s="2180">
        <f t="shared" si="243"/>
        <v>1.95E-2</v>
      </c>
      <c r="P31" s="2180">
        <f t="shared" si="243"/>
        <v>4.4800000000000006E-2</v>
      </c>
      <c r="Q31" s="2180">
        <f t="shared" si="243"/>
        <v>1.41E-2</v>
      </c>
      <c r="R31" s="2196"/>
      <c r="S31" s="2195"/>
      <c r="T31" s="2180"/>
      <c r="U31" s="2180"/>
      <c r="V31" s="2180"/>
      <c r="X31" s="2179">
        <f>ROUND(SUMPRODUCT(PRODUCT(1+N31:N$39)),4)</f>
        <v>1.1702999999999999</v>
      </c>
      <c r="Y31" s="2179">
        <f>ROUND(SUMPRODUCT(PRODUCT(1+O31:O$39)),4)</f>
        <v>1.1269</v>
      </c>
      <c r="Z31" s="2179">
        <f t="shared" si="0"/>
        <v>1.1269</v>
      </c>
      <c r="AA31" s="2179">
        <f>ROUND(SUMPRODUCT(PRODUCT(1+P31:P$39)),4)</f>
        <v>1.1858</v>
      </c>
      <c r="AB31" s="2179">
        <f>ROUND(SUMPRODUCT(PRODUCT(1+Q31:Q$39)),4)</f>
        <v>1.1152</v>
      </c>
      <c r="AD31" s="2180">
        <f>ROUND(AVERAGE(I31:I$40)/100,4)</f>
        <v>1.89E-2</v>
      </c>
      <c r="AE31" s="2180">
        <f>ROUND(AVERAGE(J31:J$40)/100,4)</f>
        <v>1.44E-2</v>
      </c>
      <c r="AF31" s="2180">
        <f t="shared" si="1"/>
        <v>1.44E-2</v>
      </c>
      <c r="AG31" s="2180">
        <f>ROUND(AVERAGE(K31:K$40)/100,4)</f>
        <v>2.06E-2</v>
      </c>
      <c r="AH31" s="2180">
        <f>ROUND(AVERAGE(L31:L$40)/100,4)</f>
        <v>1.23E-2</v>
      </c>
    </row>
    <row r="32" spans="1:34" ht="13.5" thickBot="1">
      <c r="A32" s="2192" t="s">
        <v>125</v>
      </c>
      <c r="B32" s="2193">
        <f t="shared" si="245"/>
        <v>346.720748986128</v>
      </c>
      <c r="C32" s="2193">
        <f t="shared" si="245"/>
        <v>284.30282172386285</v>
      </c>
      <c r="D32" s="2193">
        <f t="shared" si="246"/>
        <v>284.30282172386285</v>
      </c>
      <c r="E32" s="2193">
        <f t="shared" si="247"/>
        <v>479.58023546306947</v>
      </c>
      <c r="F32" s="2193">
        <f t="shared" si="247"/>
        <v>253.25788877571213</v>
      </c>
      <c r="G32" s="3849"/>
      <c r="H32" s="2194">
        <v>1</v>
      </c>
      <c r="I32" s="2194">
        <v>4.09</v>
      </c>
      <c r="J32" s="2194">
        <v>2.93</v>
      </c>
      <c r="K32" s="2194">
        <v>4.54</v>
      </c>
      <c r="L32" s="2200">
        <v>1.48</v>
      </c>
      <c r="N32" s="2195">
        <f t="shared" si="248"/>
        <v>4.0899999999999999E-2</v>
      </c>
      <c r="O32" s="2180">
        <f t="shared" si="243"/>
        <v>2.9300000000000003E-2</v>
      </c>
      <c r="P32" s="2180">
        <f t="shared" si="243"/>
        <v>4.5400000000000003E-2</v>
      </c>
      <c r="Q32" s="2180">
        <f t="shared" si="243"/>
        <v>1.4800000000000001E-2</v>
      </c>
      <c r="R32" s="2196"/>
      <c r="S32" s="2211">
        <f>B32/B33-1</f>
        <v>4.1203450408792808E-2</v>
      </c>
      <c r="T32" s="2212">
        <f>C32/C33-1</f>
        <v>2.6363977342465095E-2</v>
      </c>
      <c r="U32" s="2212">
        <f>E32/E33-1</f>
        <v>4.4837114298626357E-2</v>
      </c>
      <c r="V32" s="2212">
        <f>F32/F33-1</f>
        <v>1.7099954922538574E-2</v>
      </c>
      <c r="X32" s="2179">
        <f>ROUND(SUMPRODUCT(PRODUCT(1+N32:N$39)),4)</f>
        <v>1.1269</v>
      </c>
      <c r="Y32" s="2179">
        <f>ROUND(SUMPRODUCT(PRODUCT(1+O32:O$39)),4)</f>
        <v>1.1052999999999999</v>
      </c>
      <c r="Z32" s="2179">
        <f t="shared" si="0"/>
        <v>1.1052999999999999</v>
      </c>
      <c r="AA32" s="2179">
        <f>ROUND(SUMPRODUCT(PRODUCT(1+P32:P$39)),4)</f>
        <v>1.1349</v>
      </c>
      <c r="AB32" s="2179">
        <f>ROUND(SUMPRODUCT(PRODUCT(1+Q32:Q$39)),4)</f>
        <v>1.0996999999999999</v>
      </c>
      <c r="AD32" s="2180">
        <f>ROUND(AVERAGE(I32:I$40)/100,4)</f>
        <v>1.67E-2</v>
      </c>
      <c r="AE32" s="2180">
        <f>ROUND(AVERAGE(J32:J$40)/100,4)</f>
        <v>1.38E-2</v>
      </c>
      <c r="AF32" s="2180">
        <f t="shared" si="1"/>
        <v>1.38E-2</v>
      </c>
      <c r="AG32" s="2180">
        <f>ROUND(AVERAGE(K32:K$40)/100,4)</f>
        <v>1.7899999999999999E-2</v>
      </c>
      <c r="AH32" s="2180">
        <f>ROUND(AVERAGE(L32:L$40)/100,4)</f>
        <v>1.21E-2</v>
      </c>
    </row>
    <row r="33" spans="1:34" ht="13.5" thickBot="1">
      <c r="A33" s="2192" t="s">
        <v>124</v>
      </c>
      <c r="B33" s="2207">
        <v>333</v>
      </c>
      <c r="C33" s="2207">
        <v>277</v>
      </c>
      <c r="D33" s="2207">
        <f t="shared" si="246"/>
        <v>277</v>
      </c>
      <c r="E33" s="2207">
        <v>459</v>
      </c>
      <c r="F33" s="2208">
        <v>249</v>
      </c>
      <c r="G33" s="3847">
        <v>2015</v>
      </c>
      <c r="H33" s="2213">
        <v>4</v>
      </c>
      <c r="I33" s="2213">
        <v>1.63</v>
      </c>
      <c r="J33" s="2213">
        <v>1.1100000000000001</v>
      </c>
      <c r="K33" s="2213">
        <v>1.77</v>
      </c>
      <c r="L33" s="2214">
        <v>1.89</v>
      </c>
      <c r="N33" s="2215">
        <f t="shared" si="248"/>
        <v>1.6299999999999999E-2</v>
      </c>
      <c r="O33" s="2216">
        <f t="shared" si="243"/>
        <v>1.11E-2</v>
      </c>
      <c r="P33" s="2216">
        <f t="shared" si="243"/>
        <v>1.77E-2</v>
      </c>
      <c r="Q33" s="2216">
        <f t="shared" si="243"/>
        <v>1.89E-2</v>
      </c>
      <c r="R33" s="2196"/>
      <c r="X33" s="2179">
        <f>ROUND(SUMPRODUCT(PRODUCT(1+N33:N$39)),4)</f>
        <v>1.0826</v>
      </c>
      <c r="Y33" s="2179">
        <f>ROUND(SUMPRODUCT(PRODUCT(1+O33:O$39)),4)</f>
        <v>1.0738000000000001</v>
      </c>
      <c r="Z33" s="2179">
        <f t="shared" si="0"/>
        <v>1.0738000000000001</v>
      </c>
      <c r="AA33" s="2179">
        <f>ROUND(SUMPRODUCT(PRODUCT(1+P33:P$39)),4)</f>
        <v>1.0855999999999999</v>
      </c>
      <c r="AB33" s="2179">
        <f>ROUND(SUMPRODUCT(PRODUCT(1+Q33:Q$39)),4)</f>
        <v>1.0837000000000001</v>
      </c>
      <c r="AD33" s="2180">
        <f>ROUND(AVERAGE(I33:I$40)/100,4)</f>
        <v>1.37E-2</v>
      </c>
      <c r="AE33" s="2180">
        <f>ROUND(AVERAGE(J33:J$40)/100,4)</f>
        <v>1.1900000000000001E-2</v>
      </c>
      <c r="AF33" s="2180">
        <f t="shared" si="1"/>
        <v>1.1900000000000001E-2</v>
      </c>
      <c r="AG33" s="2180">
        <f>ROUND(AVERAGE(K33:K$40)/100,4)</f>
        <v>1.4500000000000001E-2</v>
      </c>
      <c r="AH33" s="2180">
        <f>ROUND(AVERAGE(L33:L$40)/100,4)</f>
        <v>1.18E-2</v>
      </c>
    </row>
    <row r="34" spans="1:34">
      <c r="A34" s="2192" t="s">
        <v>123</v>
      </c>
      <c r="B34" s="2193">
        <f t="shared" ref="B34:C36" si="249">B33/(1+N33)</f>
        <v>327.65915576109415</v>
      </c>
      <c r="C34" s="2193">
        <f t="shared" si="249"/>
        <v>273.95905449510434</v>
      </c>
      <c r="D34" s="2193">
        <f t="shared" si="246"/>
        <v>273.95905449510434</v>
      </c>
      <c r="E34" s="2193">
        <f t="shared" ref="E34:F36" si="250">E33/(1+P33)</f>
        <v>451.01699911565294</v>
      </c>
      <c r="F34" s="2193">
        <f t="shared" si="250"/>
        <v>244.38119540681129</v>
      </c>
      <c r="G34" s="3848"/>
      <c r="H34" s="2218">
        <v>3</v>
      </c>
      <c r="I34" s="2218">
        <v>1.65</v>
      </c>
      <c r="J34" s="2218">
        <v>0.92</v>
      </c>
      <c r="K34" s="2218">
        <v>1.88</v>
      </c>
      <c r="L34" s="2219">
        <v>1.26</v>
      </c>
      <c r="N34" s="2195">
        <f t="shared" si="248"/>
        <v>1.6500000000000001E-2</v>
      </c>
      <c r="O34" s="2220">
        <f t="shared" si="243"/>
        <v>9.1999999999999998E-3</v>
      </c>
      <c r="P34" s="2220">
        <f t="shared" si="243"/>
        <v>1.8799999999999997E-2</v>
      </c>
      <c r="Q34" s="2220">
        <f t="shared" si="243"/>
        <v>1.26E-2</v>
      </c>
      <c r="R34" s="2196"/>
      <c r="S34" s="2195"/>
      <c r="T34" s="2180"/>
      <c r="U34" s="2180"/>
      <c r="V34" s="2180"/>
      <c r="X34" s="2179">
        <f>ROUND(SUMPRODUCT(PRODUCT(1+N34:N$39)),4)</f>
        <v>1.0651999999999999</v>
      </c>
      <c r="Y34" s="2179">
        <f>ROUND(SUMPRODUCT(PRODUCT(1+O34:O$39)),4)</f>
        <v>1.0621</v>
      </c>
      <c r="Z34" s="2179">
        <f t="shared" si="0"/>
        <v>1.0621</v>
      </c>
      <c r="AA34" s="2179">
        <f>ROUND(SUMPRODUCT(PRODUCT(1+P34:P$39)),4)</f>
        <v>1.0668</v>
      </c>
      <c r="AB34" s="2179">
        <f>ROUND(SUMPRODUCT(PRODUCT(1+Q34:Q$39)),4)</f>
        <v>1.0636000000000001</v>
      </c>
      <c r="AD34" s="2180">
        <f>ROUND(AVERAGE(I34:I$40)/100,4)</f>
        <v>1.3299999999999999E-2</v>
      </c>
      <c r="AE34" s="2180">
        <f>ROUND(AVERAGE(J34:J$40)/100,4)</f>
        <v>1.2E-2</v>
      </c>
      <c r="AF34" s="2180">
        <f t="shared" si="1"/>
        <v>1.2E-2</v>
      </c>
      <c r="AG34" s="2180">
        <f>ROUND(AVERAGE(K34:K$40)/100,4)</f>
        <v>1.4E-2</v>
      </c>
      <c r="AH34" s="2180">
        <f>ROUND(AVERAGE(L34:L$40)/100,4)</f>
        <v>1.0800000000000001E-2</v>
      </c>
    </row>
    <row r="35" spans="1:34">
      <c r="A35" s="2192" t="s">
        <v>122</v>
      </c>
      <c r="B35" s="2193">
        <f t="shared" si="249"/>
        <v>322.34053690220776</v>
      </c>
      <c r="C35" s="2193">
        <f t="shared" si="249"/>
        <v>271.46160770422546</v>
      </c>
      <c r="D35" s="2193">
        <f t="shared" si="246"/>
        <v>271.46160770422546</v>
      </c>
      <c r="E35" s="2193">
        <f t="shared" si="250"/>
        <v>442.69434542172456</v>
      </c>
      <c r="F35" s="2193">
        <f t="shared" si="250"/>
        <v>241.34030753190925</v>
      </c>
      <c r="G35" s="3848"/>
      <c r="H35" s="2205">
        <v>2</v>
      </c>
      <c r="I35" s="2205">
        <v>0.77</v>
      </c>
      <c r="J35" s="2205">
        <v>0.69</v>
      </c>
      <c r="K35" s="2205">
        <v>0.8</v>
      </c>
      <c r="L35" s="2206">
        <v>0.88</v>
      </c>
      <c r="N35" s="2195">
        <f t="shared" si="248"/>
        <v>7.7000000000000002E-3</v>
      </c>
      <c r="O35" s="2220">
        <f t="shared" si="243"/>
        <v>6.8999999999999999E-3</v>
      </c>
      <c r="P35" s="2220">
        <f t="shared" si="243"/>
        <v>8.0000000000000002E-3</v>
      </c>
      <c r="Q35" s="2220">
        <f t="shared" si="243"/>
        <v>8.8000000000000005E-3</v>
      </c>
      <c r="R35" s="2196"/>
      <c r="S35" s="2195"/>
      <c r="T35" s="2180"/>
      <c r="U35" s="2180"/>
      <c r="V35" s="2180"/>
      <c r="X35" s="2179">
        <f>ROUND(SUMPRODUCT(PRODUCT(1+N35:N$39)),4)</f>
        <v>1.048</v>
      </c>
      <c r="Y35" s="2179">
        <f>ROUND(SUMPRODUCT(PRODUCT(1+O35:O$39)),4)</f>
        <v>1.0524</v>
      </c>
      <c r="Z35" s="2179">
        <f t="shared" si="0"/>
        <v>1.0524</v>
      </c>
      <c r="AA35" s="2179">
        <f>ROUND(SUMPRODUCT(PRODUCT(1+P35:P$39)),4)</f>
        <v>1.0470999999999999</v>
      </c>
      <c r="AB35" s="2179">
        <f>ROUND(SUMPRODUCT(PRODUCT(1+Q35:Q$39)),4)</f>
        <v>1.0504</v>
      </c>
      <c r="AD35" s="2180">
        <f>ROUND(AVERAGE(I35:I$40)/100,4)</f>
        <v>1.2800000000000001E-2</v>
      </c>
      <c r="AE35" s="2180">
        <f>ROUND(AVERAGE(J35:J$40)/100,4)</f>
        <v>1.2500000000000001E-2</v>
      </c>
      <c r="AF35" s="2180">
        <f t="shared" si="1"/>
        <v>1.2500000000000001E-2</v>
      </c>
      <c r="AG35" s="2180">
        <f>ROUND(AVERAGE(K35:K$40)/100,4)</f>
        <v>1.32E-2</v>
      </c>
      <c r="AH35" s="2180">
        <f>ROUND(AVERAGE(L35:L$40)/100,4)</f>
        <v>1.0500000000000001E-2</v>
      </c>
    </row>
    <row r="36" spans="1:34">
      <c r="A36" s="2192" t="s">
        <v>121</v>
      </c>
      <c r="B36" s="2193">
        <f t="shared" si="249"/>
        <v>319.87748030386797</v>
      </c>
      <c r="C36" s="2193">
        <f t="shared" si="249"/>
        <v>269.60135833173649</v>
      </c>
      <c r="D36" s="2193">
        <f t="shared" si="246"/>
        <v>269.60135833173649</v>
      </c>
      <c r="E36" s="2193">
        <f t="shared" si="250"/>
        <v>439.18089823583784</v>
      </c>
      <c r="F36" s="2193">
        <f t="shared" si="250"/>
        <v>239.23503918706311</v>
      </c>
      <c r="G36" s="3849"/>
      <c r="H36" s="2194">
        <v>1</v>
      </c>
      <c r="I36" s="2194">
        <v>0.51</v>
      </c>
      <c r="J36" s="2194">
        <v>0.54</v>
      </c>
      <c r="K36" s="2194">
        <v>0.48</v>
      </c>
      <c r="L36" s="2200">
        <v>0.93</v>
      </c>
      <c r="N36" s="2211">
        <f t="shared" si="248"/>
        <v>5.1000000000000004E-3</v>
      </c>
      <c r="O36" s="2212">
        <f t="shared" si="243"/>
        <v>5.4000000000000003E-3</v>
      </c>
      <c r="P36" s="2212">
        <f t="shared" si="243"/>
        <v>4.7999999999999996E-3</v>
      </c>
      <c r="Q36" s="2212">
        <f t="shared" si="243"/>
        <v>9.300000000000001E-3</v>
      </c>
      <c r="R36" s="2196"/>
      <c r="S36" s="2211">
        <f>B36/B37-1</f>
        <v>5.9040261127922822E-3</v>
      </c>
      <c r="T36" s="2212">
        <f>C36/C37-1</f>
        <v>5.9752176557332781E-3</v>
      </c>
      <c r="U36" s="2212">
        <f>E36/E37-1</f>
        <v>4.9906138119859556E-3</v>
      </c>
      <c r="V36" s="2212">
        <f>F36/F37-1</f>
        <v>9.4305450930933787E-3</v>
      </c>
      <c r="X36" s="2179">
        <f>ROUND(SUMPRODUCT(PRODUCT(1+N36:N$39)),4)</f>
        <v>1.0399</v>
      </c>
      <c r="Y36" s="2179">
        <f>ROUND(SUMPRODUCT(PRODUCT(1+O36:O$39)),4)</f>
        <v>1.0451999999999999</v>
      </c>
      <c r="Z36" s="2179">
        <f t="shared" si="0"/>
        <v>1.0451999999999999</v>
      </c>
      <c r="AA36" s="2179">
        <f>ROUND(SUMPRODUCT(PRODUCT(1+P36:P$39)),4)</f>
        <v>1.0387999999999999</v>
      </c>
      <c r="AB36" s="2179">
        <f>ROUND(SUMPRODUCT(PRODUCT(1+Q36:Q$39)),4)</f>
        <v>1.0411999999999999</v>
      </c>
      <c r="AD36" s="2180">
        <f>ROUND(AVERAGE(I36:I$40)/100,4)</f>
        <v>1.38E-2</v>
      </c>
      <c r="AE36" s="2180">
        <f>ROUND(AVERAGE(J36:J$40)/100,4)</f>
        <v>1.3599999999999999E-2</v>
      </c>
      <c r="AF36" s="2180">
        <f t="shared" si="1"/>
        <v>1.3599999999999999E-2</v>
      </c>
      <c r="AG36" s="2180">
        <f>ROUND(AVERAGE(K36:K$40)/100,4)</f>
        <v>1.4200000000000001E-2</v>
      </c>
      <c r="AH36" s="2180">
        <f>ROUND(AVERAGE(L36:L$40)/100,4)</f>
        <v>1.0800000000000001E-2</v>
      </c>
    </row>
    <row r="37" spans="1:34" ht="13.5" thickBot="1">
      <c r="A37" s="2192" t="s">
        <v>120</v>
      </c>
      <c r="B37" s="2221">
        <v>318</v>
      </c>
      <c r="C37" s="2221">
        <v>268</v>
      </c>
      <c r="D37" s="2221">
        <f t="shared" si="246"/>
        <v>268</v>
      </c>
      <c r="E37" s="2221">
        <v>437</v>
      </c>
      <c r="F37" s="2222">
        <v>237</v>
      </c>
      <c r="G37" s="3847">
        <v>2014</v>
      </c>
      <c r="H37" s="2213">
        <v>4</v>
      </c>
      <c r="I37" s="2213">
        <v>0.21</v>
      </c>
      <c r="J37" s="2213">
        <v>0.41</v>
      </c>
      <c r="K37" s="2213">
        <v>0.12</v>
      </c>
      <c r="L37" s="2214">
        <v>0.89</v>
      </c>
      <c r="N37" s="2195">
        <f t="shared" si="248"/>
        <v>2.0999999999999999E-3</v>
      </c>
      <c r="O37" s="2180">
        <f t="shared" si="243"/>
        <v>4.0999999999999995E-3</v>
      </c>
      <c r="P37" s="2180">
        <f t="shared" si="243"/>
        <v>1.1999999999999999E-3</v>
      </c>
      <c r="Q37" s="2180">
        <f t="shared" si="243"/>
        <v>8.8999999999999999E-3</v>
      </c>
      <c r="R37" s="2196"/>
      <c r="S37" s="2209"/>
      <c r="T37" s="2210"/>
      <c r="U37" s="2210"/>
      <c r="V37" s="2210"/>
      <c r="X37" s="2179">
        <f>ROUND(SUMPRODUCT(PRODUCT(1+N37:N$39)),4)</f>
        <v>1.0347</v>
      </c>
      <c r="Y37" s="2179">
        <f>ROUND(SUMPRODUCT(PRODUCT(1+O37:O$39)),4)</f>
        <v>1.0395000000000001</v>
      </c>
      <c r="Z37" s="2179">
        <f t="shared" si="0"/>
        <v>1.0395000000000001</v>
      </c>
      <c r="AA37" s="2179">
        <f>ROUND(SUMPRODUCT(PRODUCT(1+P37:P$39)),4)</f>
        <v>1.0338000000000001</v>
      </c>
      <c r="AB37" s="2179">
        <f>ROUND(SUMPRODUCT(PRODUCT(1+Q37:Q$39)),4)</f>
        <v>1.0316000000000001</v>
      </c>
      <c r="AD37" s="2180">
        <f>ROUND(AVERAGE(I37:I$40)/100,4)</f>
        <v>1.6E-2</v>
      </c>
      <c r="AE37" s="2180">
        <f>ROUND(AVERAGE(J37:J$40)/100,4)</f>
        <v>1.5599999999999999E-2</v>
      </c>
      <c r="AF37" s="2180">
        <f t="shared" si="1"/>
        <v>1.5599999999999999E-2</v>
      </c>
      <c r="AG37" s="2180">
        <f>ROUND(AVERAGE(K37:K$40)/100,4)</f>
        <v>1.66E-2</v>
      </c>
      <c r="AH37" s="2180">
        <f>ROUND(AVERAGE(L37:L$40)/100,4)</f>
        <v>1.12E-2</v>
      </c>
    </row>
    <row r="38" spans="1:34">
      <c r="A38" s="2192" t="s">
        <v>119</v>
      </c>
      <c r="B38" s="2193">
        <f t="shared" ref="B38:C40" si="251">B37/(1+N37)</f>
        <v>317.33359944117353</v>
      </c>
      <c r="C38" s="2193">
        <f t="shared" si="251"/>
        <v>266.90568668459315</v>
      </c>
      <c r="D38" s="2193">
        <f t="shared" si="246"/>
        <v>266.90568668459315</v>
      </c>
      <c r="E38" s="2193">
        <f t="shared" ref="E38:F40" si="252">E37/(1+P37)</f>
        <v>436.47622852576905</v>
      </c>
      <c r="F38" s="2193">
        <f t="shared" si="252"/>
        <v>234.90930716622066</v>
      </c>
      <c r="G38" s="3848"/>
      <c r="H38" s="2223">
        <v>3</v>
      </c>
      <c r="I38" s="2223">
        <v>0.83</v>
      </c>
      <c r="J38" s="2223">
        <v>1.47</v>
      </c>
      <c r="K38" s="2223">
        <v>0.65</v>
      </c>
      <c r="L38" s="2224">
        <v>0.72</v>
      </c>
      <c r="N38" s="2195">
        <f t="shared" si="248"/>
        <v>8.3000000000000001E-3</v>
      </c>
      <c r="O38" s="2180">
        <f t="shared" si="243"/>
        <v>1.47E-2</v>
      </c>
      <c r="P38" s="2180">
        <f t="shared" si="243"/>
        <v>6.5000000000000006E-3</v>
      </c>
      <c r="Q38" s="2180">
        <f t="shared" si="243"/>
        <v>7.1999999999999998E-3</v>
      </c>
      <c r="R38" s="2196"/>
      <c r="S38" s="2195"/>
      <c r="T38" s="2180"/>
      <c r="U38" s="2180"/>
      <c r="V38" s="2180"/>
      <c r="X38" s="2179">
        <f>ROUND(SUMPRODUCT(PRODUCT(1+N38:N$39)),4)</f>
        <v>1.0325</v>
      </c>
      <c r="Y38" s="2179">
        <f>ROUND(SUMPRODUCT(PRODUCT(1+O38:O$39)),4)</f>
        <v>1.0353000000000001</v>
      </c>
      <c r="Z38" s="2179">
        <f t="shared" ref="Z38:Z39" si="253">Y38</f>
        <v>1.0353000000000001</v>
      </c>
      <c r="AA38" s="2179">
        <f>ROUND(SUMPRODUCT(PRODUCT(1+P38:P$39)),4)</f>
        <v>1.0326</v>
      </c>
      <c r="AB38" s="2179">
        <f>ROUND(SUMPRODUCT(PRODUCT(1+Q38:Q$39)),4)</f>
        <v>1.0225</v>
      </c>
      <c r="AD38" s="2180">
        <f>ROUND(AVERAGE(I38:I$40)/100,4)</f>
        <v>2.07E-2</v>
      </c>
      <c r="AE38" s="2180">
        <f>ROUND(AVERAGE(J38:J$40)/100,4)</f>
        <v>1.95E-2</v>
      </c>
      <c r="AF38" s="2180">
        <f t="shared" si="1"/>
        <v>1.95E-2</v>
      </c>
      <c r="AG38" s="2180">
        <f>ROUND(AVERAGE(K38:K$40)/100,4)</f>
        <v>2.1700000000000001E-2</v>
      </c>
      <c r="AH38" s="2180">
        <f>ROUND(AVERAGE(L38:L$40)/100,4)</f>
        <v>1.2E-2</v>
      </c>
    </row>
    <row r="39" spans="1:34" ht="13.5" thickBot="1">
      <c r="A39" s="2192" t="s">
        <v>118</v>
      </c>
      <c r="B39" s="2193">
        <f t="shared" si="251"/>
        <v>314.72141172386546</v>
      </c>
      <c r="C39" s="2193">
        <f t="shared" si="251"/>
        <v>263.03901319069001</v>
      </c>
      <c r="D39" s="2193">
        <f t="shared" si="246"/>
        <v>263.03901319069001</v>
      </c>
      <c r="E39" s="2193">
        <f t="shared" si="252"/>
        <v>433.65745506782821</v>
      </c>
      <c r="F39" s="2193">
        <f t="shared" si="252"/>
        <v>233.23005080045735</v>
      </c>
      <c r="G39" s="3848"/>
      <c r="H39" s="2213">
        <v>2</v>
      </c>
      <c r="I39" s="2213">
        <v>2.4</v>
      </c>
      <c r="J39" s="2213">
        <v>2.0299999999999998</v>
      </c>
      <c r="K39" s="2213">
        <v>2.59</v>
      </c>
      <c r="L39" s="2214">
        <v>1.52</v>
      </c>
      <c r="N39" s="2195">
        <f t="shared" si="248"/>
        <v>2.4E-2</v>
      </c>
      <c r="O39" s="2180">
        <f t="shared" si="243"/>
        <v>2.0299999999999999E-2</v>
      </c>
      <c r="P39" s="2180">
        <f t="shared" si="243"/>
        <v>2.5899999999999999E-2</v>
      </c>
      <c r="Q39" s="2180">
        <f t="shared" si="243"/>
        <v>1.52E-2</v>
      </c>
      <c r="R39" s="2196"/>
      <c r="S39" s="2195"/>
      <c r="T39" s="2180"/>
      <c r="U39" s="2180"/>
      <c r="V39" s="2180"/>
      <c r="X39" s="2179">
        <f>1+N39</f>
        <v>1.024</v>
      </c>
      <c r="Y39" s="2179">
        <f>1+O39</f>
        <v>1.0203</v>
      </c>
      <c r="Z39" s="2179">
        <f t="shared" si="253"/>
        <v>1.0203</v>
      </c>
      <c r="AA39" s="2179">
        <f>1+P39</f>
        <v>1.0259</v>
      </c>
      <c r="AB39" s="2179">
        <f>1+Q39</f>
        <v>1.0152000000000001</v>
      </c>
      <c r="AD39" s="2180">
        <f>ROUND(AVERAGE(I39:I$40)/100,4)</f>
        <v>2.69E-2</v>
      </c>
      <c r="AE39" s="2180">
        <f>ROUND(AVERAGE(J39:J$40)/100,4)</f>
        <v>2.1899999999999999E-2</v>
      </c>
      <c r="AF39" s="2180">
        <f t="shared" ref="AF39" si="254">AE39</f>
        <v>2.1899999999999999E-2</v>
      </c>
      <c r="AG39" s="2180">
        <f>ROUND(AVERAGE(K39:K$40)/100,4)</f>
        <v>2.9399999999999999E-2</v>
      </c>
      <c r="AH39" s="2180">
        <f>ROUND(AVERAGE(L39:L$40)/100,4)</f>
        <v>1.44E-2</v>
      </c>
    </row>
    <row r="40" spans="1:34" s="2229" customFormat="1" ht="13.5" thickBot="1">
      <c r="A40" s="2225" t="s">
        <v>117</v>
      </c>
      <c r="B40" s="2226">
        <f t="shared" si="251"/>
        <v>307.34512863658733</v>
      </c>
      <c r="C40" s="2226">
        <f t="shared" si="251"/>
        <v>257.80556031626975</v>
      </c>
      <c r="D40" s="2226">
        <f t="shared" si="246"/>
        <v>257.80556031626975</v>
      </c>
      <c r="E40" s="2226">
        <f t="shared" si="252"/>
        <v>422.70928459677179</v>
      </c>
      <c r="F40" s="2226">
        <f t="shared" si="252"/>
        <v>229.73803270336617</v>
      </c>
      <c r="G40" s="3849"/>
      <c r="H40" s="2227">
        <v>1</v>
      </c>
      <c r="I40" s="2227">
        <v>2.97</v>
      </c>
      <c r="J40" s="2227">
        <v>2.34</v>
      </c>
      <c r="K40" s="2227">
        <v>3.28</v>
      </c>
      <c r="L40" s="2228">
        <v>1.36</v>
      </c>
      <c r="N40" s="2230">
        <f t="shared" si="248"/>
        <v>2.9700000000000001E-2</v>
      </c>
      <c r="O40" s="2231">
        <f t="shared" si="243"/>
        <v>2.3399999999999997E-2</v>
      </c>
      <c r="P40" s="2231">
        <f t="shared" si="243"/>
        <v>3.2799999999999996E-2</v>
      </c>
      <c r="Q40" s="2231">
        <f t="shared" si="243"/>
        <v>1.3600000000000001E-2</v>
      </c>
      <c r="R40" s="2232"/>
      <c r="S40" s="2233">
        <f>B40/B41-1</f>
        <v>2.7910129219355539E-2</v>
      </c>
      <c r="T40" s="2234">
        <f>C40/C41-1</f>
        <v>2.3037937762975247E-2</v>
      </c>
      <c r="U40" s="2234">
        <f>E40/E41-1</f>
        <v>3.3519033243940788E-2</v>
      </c>
      <c r="V40" s="2234">
        <f>F40/F41-1</f>
        <v>1.2061818076502862E-2</v>
      </c>
      <c r="W40" s="2235" t="s">
        <v>464</v>
      </c>
      <c r="X40" s="2236">
        <v>1</v>
      </c>
      <c r="Y40" s="2236">
        <v>1</v>
      </c>
      <c r="Z40" s="2236">
        <v>1</v>
      </c>
      <c r="AA40" s="2236">
        <v>1</v>
      </c>
      <c r="AB40" s="2236">
        <v>1</v>
      </c>
      <c r="AD40" s="2231">
        <f>I40/100</f>
        <v>2.9700000000000001E-2</v>
      </c>
      <c r="AE40" s="2231">
        <f>J40/100</f>
        <v>2.3399999999999997E-2</v>
      </c>
      <c r="AF40" s="2231">
        <f>AE40</f>
        <v>2.3399999999999997E-2</v>
      </c>
      <c r="AG40" s="2231">
        <f>K40/100</f>
        <v>3.2799999999999996E-2</v>
      </c>
      <c r="AH40" s="2231">
        <f>L40/100</f>
        <v>1.3600000000000001E-2</v>
      </c>
    </row>
    <row r="41" spans="1:34" ht="13.5" thickBot="1">
      <c r="A41" s="2192" t="s">
        <v>465</v>
      </c>
      <c r="B41" s="2207">
        <v>299</v>
      </c>
      <c r="C41" s="2207">
        <v>252</v>
      </c>
      <c r="D41" s="2207">
        <f t="shared" si="246"/>
        <v>252</v>
      </c>
      <c r="E41" s="2207">
        <v>409</v>
      </c>
      <c r="F41" s="2208">
        <v>227</v>
      </c>
      <c r="G41" s="3854">
        <v>2013</v>
      </c>
      <c r="H41" s="2237">
        <v>4</v>
      </c>
      <c r="I41" s="2237">
        <v>1.83</v>
      </c>
      <c r="J41" s="2237">
        <v>1.68</v>
      </c>
      <c r="K41" s="2237">
        <v>1.97</v>
      </c>
      <c r="L41" s="2238">
        <v>0.87</v>
      </c>
      <c r="N41" s="2215">
        <f t="shared" si="248"/>
        <v>1.83E-2</v>
      </c>
      <c r="O41" s="2216">
        <f t="shared" si="243"/>
        <v>1.6799999999999999E-2</v>
      </c>
      <c r="P41" s="2216">
        <f t="shared" si="243"/>
        <v>1.9699999999999999E-2</v>
      </c>
      <c r="Q41" s="2216">
        <f t="shared" si="243"/>
        <v>8.6999999999999994E-3</v>
      </c>
      <c r="R41" s="2196"/>
      <c r="S41" s="2209"/>
      <c r="T41" s="2210"/>
      <c r="U41" s="2210"/>
      <c r="V41" s="2210"/>
      <c r="X41" s="2210"/>
      <c r="Y41" s="2210"/>
      <c r="Z41" s="2210"/>
    </row>
    <row r="42" spans="1:34">
      <c r="A42" s="2192" t="s">
        <v>466</v>
      </c>
      <c r="B42" s="2193">
        <f t="shared" ref="B42:C44" si="255">B41/(1+N41)</f>
        <v>293.62663262299913</v>
      </c>
      <c r="C42" s="2193">
        <f t="shared" si="255"/>
        <v>247.83634933123525</v>
      </c>
      <c r="D42" s="2193">
        <f t="shared" si="246"/>
        <v>247.83634933123525</v>
      </c>
      <c r="E42" s="2193">
        <f t="shared" ref="E42:F44" si="256">E41/(1+P41)</f>
        <v>401.09836226341076</v>
      </c>
      <c r="F42" s="2193">
        <f t="shared" si="256"/>
        <v>225.04213343908003</v>
      </c>
      <c r="G42" s="3855"/>
      <c r="H42" s="2218">
        <v>3</v>
      </c>
      <c r="I42" s="2218">
        <v>1.86</v>
      </c>
      <c r="J42" s="2218">
        <v>1.72</v>
      </c>
      <c r="K42" s="2218">
        <v>1.98</v>
      </c>
      <c r="L42" s="2219">
        <v>0.88</v>
      </c>
      <c r="N42" s="2195">
        <f t="shared" si="248"/>
        <v>1.8600000000000002E-2</v>
      </c>
      <c r="O42" s="2220">
        <f t="shared" si="243"/>
        <v>1.72E-2</v>
      </c>
      <c r="P42" s="2220">
        <f t="shared" si="243"/>
        <v>1.9799999999999998E-2</v>
      </c>
      <c r="Q42" s="2220">
        <f t="shared" si="243"/>
        <v>8.8000000000000005E-3</v>
      </c>
      <c r="R42" s="2196"/>
      <c r="S42" s="2195"/>
      <c r="T42" s="2180"/>
      <c r="U42" s="2180"/>
      <c r="V42" s="2180"/>
    </row>
    <row r="43" spans="1:34">
      <c r="A43" s="2192" t="s">
        <v>467</v>
      </c>
      <c r="B43" s="2193">
        <f t="shared" si="255"/>
        <v>288.2649053828776</v>
      </c>
      <c r="C43" s="2193">
        <f t="shared" si="255"/>
        <v>243.64564425013293</v>
      </c>
      <c r="D43" s="2193">
        <f t="shared" si="246"/>
        <v>243.64564425013293</v>
      </c>
      <c r="E43" s="2193">
        <f t="shared" si="256"/>
        <v>393.31080825986544</v>
      </c>
      <c r="F43" s="2193">
        <f t="shared" si="256"/>
        <v>223.07903790551154</v>
      </c>
      <c r="G43" s="3855"/>
      <c r="H43" s="2205">
        <v>2</v>
      </c>
      <c r="I43" s="2205">
        <v>2.04</v>
      </c>
      <c r="J43" s="2205">
        <v>2.33</v>
      </c>
      <c r="K43" s="2205">
        <v>2.0699999999999998</v>
      </c>
      <c r="L43" s="2206">
        <v>0.69</v>
      </c>
      <c r="N43" s="2195">
        <f t="shared" si="248"/>
        <v>2.0400000000000001E-2</v>
      </c>
      <c r="O43" s="2220">
        <f t="shared" si="243"/>
        <v>2.3300000000000001E-2</v>
      </c>
      <c r="P43" s="2220">
        <f t="shared" si="243"/>
        <v>2.07E-2</v>
      </c>
      <c r="Q43" s="2220">
        <f t="shared" si="243"/>
        <v>6.8999999999999999E-3</v>
      </c>
      <c r="R43" s="2196"/>
      <c r="S43" s="2195"/>
      <c r="T43" s="2180"/>
      <c r="U43" s="2180"/>
      <c r="V43" s="2180"/>
      <c r="X43" s="2239"/>
      <c r="Y43" s="2240"/>
    </row>
    <row r="44" spans="1:34">
      <c r="A44" s="2192" t="s">
        <v>468</v>
      </c>
      <c r="B44" s="2193">
        <f t="shared" si="255"/>
        <v>282.50186729015837</v>
      </c>
      <c r="C44" s="2193">
        <f t="shared" si="255"/>
        <v>238.09796174155468</v>
      </c>
      <c r="D44" s="2193">
        <f t="shared" si="246"/>
        <v>238.09796174155468</v>
      </c>
      <c r="E44" s="2193">
        <f t="shared" si="256"/>
        <v>385.33438646014054</v>
      </c>
      <c r="F44" s="2193">
        <f t="shared" si="256"/>
        <v>221.55034055567739</v>
      </c>
      <c r="G44" s="3856"/>
      <c r="H44" s="2194">
        <v>1</v>
      </c>
      <c r="I44" s="2194">
        <v>1.67</v>
      </c>
      <c r="J44" s="2194">
        <v>1.31</v>
      </c>
      <c r="K44" s="2194">
        <v>1.85</v>
      </c>
      <c r="L44" s="2200">
        <v>0.96</v>
      </c>
      <c r="N44" s="2211">
        <f t="shared" si="248"/>
        <v>1.67E-2</v>
      </c>
      <c r="O44" s="2212">
        <f t="shared" si="248"/>
        <v>1.3100000000000001E-2</v>
      </c>
      <c r="P44" s="2212">
        <f t="shared" si="248"/>
        <v>1.8500000000000003E-2</v>
      </c>
      <c r="Q44" s="2212">
        <f t="shared" si="248"/>
        <v>9.5999999999999992E-3</v>
      </c>
      <c r="R44" s="2196"/>
      <c r="S44" s="2211">
        <f>B44/B45-1</f>
        <v>1.6193767230785472E-2</v>
      </c>
      <c r="T44" s="2212">
        <f>C44/C45-1</f>
        <v>1.7512657015190891E-2</v>
      </c>
      <c r="U44" s="2212">
        <f>E44/E45-1</f>
        <v>1.6713420739157048E-2</v>
      </c>
      <c r="V44" s="2212">
        <f>F44/F45-1</f>
        <v>7.0470025258062563E-3</v>
      </c>
      <c r="X44" s="2241"/>
      <c r="Y44" s="2180"/>
      <c r="Z44" s="2180"/>
    </row>
    <row r="45" spans="1:34" ht="13.5" thickBot="1">
      <c r="A45" s="2192" t="s">
        <v>469</v>
      </c>
      <c r="B45" s="2242">
        <v>278</v>
      </c>
      <c r="C45" s="2242">
        <v>234</v>
      </c>
      <c r="D45" s="2242">
        <f t="shared" si="246"/>
        <v>234</v>
      </c>
      <c r="E45" s="2242">
        <v>379</v>
      </c>
      <c r="F45" s="2243">
        <v>220</v>
      </c>
      <c r="G45" s="3847">
        <v>2012</v>
      </c>
      <c r="H45" s="2213">
        <v>4</v>
      </c>
      <c r="I45" s="2213">
        <v>0.91</v>
      </c>
      <c r="J45" s="2213">
        <v>0.68</v>
      </c>
      <c r="K45" s="2213">
        <v>0.98</v>
      </c>
      <c r="L45" s="2214">
        <v>0.9</v>
      </c>
      <c r="N45" s="2195">
        <f t="shared" si="248"/>
        <v>9.1000000000000004E-3</v>
      </c>
      <c r="O45" s="2180">
        <f t="shared" si="248"/>
        <v>6.8000000000000005E-3</v>
      </c>
      <c r="P45" s="2180">
        <f t="shared" si="248"/>
        <v>9.7999999999999997E-3</v>
      </c>
      <c r="Q45" s="2180">
        <f t="shared" si="248"/>
        <v>9.0000000000000011E-3</v>
      </c>
      <c r="R45" s="2196"/>
      <c r="S45" s="2209"/>
      <c r="T45" s="2210"/>
      <c r="U45" s="2210"/>
      <c r="V45" s="2210"/>
      <c r="X45" s="2210"/>
      <c r="Y45" s="2210"/>
      <c r="Z45" s="2210"/>
    </row>
    <row r="46" spans="1:34">
      <c r="A46" s="2192" t="s">
        <v>470</v>
      </c>
      <c r="B46" s="2193">
        <f>B45/(1+N45)</f>
        <v>275.49301357645425</v>
      </c>
      <c r="C46" s="2193">
        <f>C45/(1+O45)</f>
        <v>232.41954707985698</v>
      </c>
      <c r="D46" s="2193">
        <f t="shared" si="246"/>
        <v>232.41954707985698</v>
      </c>
      <c r="E46" s="2193">
        <f t="shared" ref="E46:F48" si="257">E45/(1+P45)</f>
        <v>375.32184591008121</v>
      </c>
      <c r="F46" s="2193">
        <f t="shared" si="257"/>
        <v>218.03766105054513</v>
      </c>
      <c r="G46" s="3848"/>
      <c r="H46" s="2218">
        <v>3</v>
      </c>
      <c r="I46" s="2218">
        <v>0.09</v>
      </c>
      <c r="J46" s="2218">
        <v>0.28999999999999998</v>
      </c>
      <c r="K46" s="2218">
        <v>-0.01</v>
      </c>
      <c r="L46" s="2219">
        <v>0.57999999999999996</v>
      </c>
      <c r="N46" s="2195">
        <f t="shared" si="248"/>
        <v>8.9999999999999998E-4</v>
      </c>
      <c r="O46" s="2180">
        <f t="shared" si="248"/>
        <v>2.8999999999999998E-3</v>
      </c>
      <c r="P46" s="2180">
        <f t="shared" si="248"/>
        <v>-1E-4</v>
      </c>
      <c r="Q46" s="2180">
        <f t="shared" si="248"/>
        <v>5.7999999999999996E-3</v>
      </c>
      <c r="R46" s="2196"/>
      <c r="S46" s="2195"/>
      <c r="T46" s="2180"/>
      <c r="U46" s="2180"/>
      <c r="V46" s="2180"/>
    </row>
    <row r="47" spans="1:34">
      <c r="A47" s="2192" t="s">
        <v>471</v>
      </c>
      <c r="B47" s="2193">
        <f>B46/(1+N46)</f>
        <v>275.24529281292263</v>
      </c>
      <c r="C47" s="2193">
        <f>C46/(1+O46)</f>
        <v>231.74747938962707</v>
      </c>
      <c r="D47" s="2193">
        <f t="shared" si="246"/>
        <v>231.74747938962707</v>
      </c>
      <c r="E47" s="2193">
        <f t="shared" si="257"/>
        <v>375.35938184826603</v>
      </c>
      <c r="F47" s="2193">
        <f t="shared" si="257"/>
        <v>216.78033510692495</v>
      </c>
      <c r="G47" s="3848"/>
      <c r="H47" s="2205">
        <v>2</v>
      </c>
      <c r="I47" s="2205">
        <v>0.02</v>
      </c>
      <c r="J47" s="2205">
        <v>0.12</v>
      </c>
      <c r="K47" s="2205">
        <v>-0.08</v>
      </c>
      <c r="L47" s="2206">
        <v>1.24</v>
      </c>
      <c r="N47" s="2195">
        <f t="shared" si="248"/>
        <v>2.0000000000000001E-4</v>
      </c>
      <c r="O47" s="2180">
        <f t="shared" si="248"/>
        <v>1.1999999999999999E-3</v>
      </c>
      <c r="P47" s="2180">
        <f t="shared" si="248"/>
        <v>-8.0000000000000004E-4</v>
      </c>
      <c r="Q47" s="2180">
        <f t="shared" si="248"/>
        <v>1.24E-2</v>
      </c>
      <c r="R47" s="2196"/>
      <c r="S47" s="2195"/>
      <c r="T47" s="2180"/>
      <c r="U47" s="2180"/>
      <c r="V47" s="2180"/>
    </row>
    <row r="48" spans="1:34" ht="13.5" thickBot="1">
      <c r="A48" s="2192" t="s">
        <v>472</v>
      </c>
      <c r="B48" s="2193">
        <f>B47/(1+N47)</f>
        <v>275.19025476197027</v>
      </c>
      <c r="C48" s="2244">
        <v>232</v>
      </c>
      <c r="D48" s="2244">
        <f t="shared" si="246"/>
        <v>232</v>
      </c>
      <c r="E48" s="2193">
        <f t="shared" si="257"/>
        <v>375.65990977608692</v>
      </c>
      <c r="F48" s="2193">
        <f t="shared" si="257"/>
        <v>214.12518283971252</v>
      </c>
      <c r="G48" s="3849"/>
      <c r="H48" s="2194">
        <v>1</v>
      </c>
      <c r="I48" s="2194">
        <v>0.02</v>
      </c>
      <c r="J48" s="2194">
        <v>0.13</v>
      </c>
      <c r="K48" s="2194">
        <v>-0.04</v>
      </c>
      <c r="L48" s="2200">
        <v>0.46</v>
      </c>
      <c r="N48" s="2195">
        <f t="shared" si="248"/>
        <v>2.0000000000000001E-4</v>
      </c>
      <c r="O48" s="2180">
        <f t="shared" si="248"/>
        <v>1.2999999999999999E-3</v>
      </c>
      <c r="P48" s="2180">
        <f t="shared" si="248"/>
        <v>-4.0000000000000002E-4</v>
      </c>
      <c r="Q48" s="2180">
        <f t="shared" si="248"/>
        <v>4.5999999999999999E-3</v>
      </c>
      <c r="R48" s="2196"/>
      <c r="S48" s="2211">
        <f>B48/B49-1</f>
        <v>6.9183549807361189E-4</v>
      </c>
      <c r="T48" s="2212">
        <f>C48/C49-1</f>
        <v>0</v>
      </c>
      <c r="U48" s="2212">
        <f>E48/E49-1</f>
        <v>-9.0449527636460303E-4</v>
      </c>
      <c r="V48" s="2212">
        <f>F48/F49-1</f>
        <v>5.2825485432512753E-3</v>
      </c>
      <c r="X48" s="2180"/>
      <c r="Y48" s="2180"/>
      <c r="Z48" s="2180"/>
    </row>
    <row r="49" spans="1:26" ht="13.5" thickBot="1">
      <c r="A49" s="2192" t="s">
        <v>473</v>
      </c>
      <c r="B49" s="2207">
        <v>275</v>
      </c>
      <c r="C49" s="2207">
        <v>232</v>
      </c>
      <c r="D49" s="2207">
        <f t="shared" si="246"/>
        <v>232</v>
      </c>
      <c r="E49" s="2207">
        <v>376</v>
      </c>
      <c r="F49" s="2208">
        <v>213</v>
      </c>
      <c r="G49" s="3847">
        <v>2011</v>
      </c>
      <c r="H49" s="2213">
        <v>4</v>
      </c>
      <c r="I49" s="2213">
        <v>-0.2</v>
      </c>
      <c r="J49" s="2213">
        <v>0.04</v>
      </c>
      <c r="K49" s="2213">
        <v>-0.34</v>
      </c>
      <c r="L49" s="2214">
        <v>0.46</v>
      </c>
      <c r="N49" s="2215">
        <f t="shared" si="248"/>
        <v>-2E-3</v>
      </c>
      <c r="O49" s="2216">
        <f t="shared" si="248"/>
        <v>4.0000000000000002E-4</v>
      </c>
      <c r="P49" s="2216">
        <f t="shared" si="248"/>
        <v>-3.4000000000000002E-3</v>
      </c>
      <c r="Q49" s="2216">
        <f t="shared" si="248"/>
        <v>4.5999999999999999E-3</v>
      </c>
      <c r="R49" s="2196"/>
      <c r="S49" s="2209"/>
      <c r="T49" s="2210"/>
      <c r="U49" s="2210"/>
      <c r="V49" s="2210"/>
      <c r="X49" s="2210"/>
      <c r="Y49" s="2210"/>
      <c r="Z49" s="2210"/>
    </row>
    <row r="50" spans="1:26">
      <c r="A50" s="2192" t="s">
        <v>474</v>
      </c>
      <c r="B50" s="2193">
        <f t="shared" ref="B50:C52" si="258">B49/(1+N49)</f>
        <v>275.55110220440883</v>
      </c>
      <c r="C50" s="2193">
        <f t="shared" si="258"/>
        <v>231.90723710515795</v>
      </c>
      <c r="D50" s="2193">
        <f t="shared" si="246"/>
        <v>231.90723710515795</v>
      </c>
      <c r="E50" s="2193">
        <f t="shared" ref="E50:F52" si="259">E49/(1+P49)</f>
        <v>377.28276138872161</v>
      </c>
      <c r="F50" s="2193">
        <f t="shared" si="259"/>
        <v>212.02468644236512</v>
      </c>
      <c r="G50" s="3848">
        <v>2011</v>
      </c>
      <c r="H50" s="2218">
        <v>3</v>
      </c>
      <c r="I50" s="2218">
        <v>0.13</v>
      </c>
      <c r="J50" s="2218">
        <v>0.75</v>
      </c>
      <c r="K50" s="2218">
        <v>-0.08</v>
      </c>
      <c r="L50" s="2219">
        <v>0.53</v>
      </c>
      <c r="N50" s="2195">
        <f t="shared" si="248"/>
        <v>1.2999999999999999E-3</v>
      </c>
      <c r="O50" s="2220">
        <f t="shared" si="248"/>
        <v>7.4999999999999997E-3</v>
      </c>
      <c r="P50" s="2220">
        <f t="shared" si="248"/>
        <v>-8.0000000000000004E-4</v>
      </c>
      <c r="Q50" s="2220">
        <f t="shared" si="248"/>
        <v>5.3E-3</v>
      </c>
      <c r="R50" s="2196"/>
      <c r="S50" s="2195"/>
      <c r="T50" s="2180"/>
      <c r="U50" s="2180"/>
      <c r="V50" s="2180"/>
    </row>
    <row r="51" spans="1:26">
      <c r="A51" s="2192" t="s">
        <v>475</v>
      </c>
      <c r="B51" s="2193">
        <f t="shared" si="258"/>
        <v>275.19335084830601</v>
      </c>
      <c r="C51" s="2193">
        <f t="shared" si="258"/>
        <v>230.18088050139744</v>
      </c>
      <c r="D51" s="2193">
        <f t="shared" si="246"/>
        <v>230.18088050139744</v>
      </c>
      <c r="E51" s="2193">
        <f t="shared" si="259"/>
        <v>377.58482925212331</v>
      </c>
      <c r="F51" s="2193">
        <f t="shared" si="259"/>
        <v>210.90687997847917</v>
      </c>
      <c r="G51" s="3848">
        <v>2011</v>
      </c>
      <c r="H51" s="2205">
        <v>2</v>
      </c>
      <c r="I51" s="2205">
        <v>-0.4</v>
      </c>
      <c r="J51" s="2205">
        <v>0.17</v>
      </c>
      <c r="K51" s="2205">
        <v>-0.57999999999999996</v>
      </c>
      <c r="L51" s="2206">
        <v>-0.2</v>
      </c>
      <c r="N51" s="2195">
        <f t="shared" si="248"/>
        <v>-4.0000000000000001E-3</v>
      </c>
      <c r="O51" s="2220">
        <f t="shared" si="248"/>
        <v>1.7000000000000001E-3</v>
      </c>
      <c r="P51" s="2220">
        <f t="shared" si="248"/>
        <v>-5.7999999999999996E-3</v>
      </c>
      <c r="Q51" s="2220">
        <f t="shared" si="248"/>
        <v>-2E-3</v>
      </c>
      <c r="R51" s="2196"/>
      <c r="S51" s="2195"/>
      <c r="T51" s="2180"/>
      <c r="U51" s="2180"/>
      <c r="V51" s="2180"/>
    </row>
    <row r="52" spans="1:26" ht="13.5" thickBot="1">
      <c r="A52" s="2192" t="s">
        <v>476</v>
      </c>
      <c r="B52" s="2193">
        <f t="shared" si="258"/>
        <v>276.29854502841971</v>
      </c>
      <c r="C52" s="2193">
        <f t="shared" si="258"/>
        <v>229.79023709833027</v>
      </c>
      <c r="D52" s="2193">
        <f t="shared" si="246"/>
        <v>229.79023709833027</v>
      </c>
      <c r="E52" s="2193">
        <f t="shared" si="259"/>
        <v>379.78759731655936</v>
      </c>
      <c r="F52" s="2193">
        <f t="shared" si="259"/>
        <v>211.32953905659235</v>
      </c>
      <c r="G52" s="3849">
        <v>2011</v>
      </c>
      <c r="H52" s="2194">
        <v>1</v>
      </c>
      <c r="I52" s="2194">
        <v>2.65</v>
      </c>
      <c r="J52" s="2194">
        <v>3.76</v>
      </c>
      <c r="K52" s="2194">
        <v>1.89</v>
      </c>
      <c r="L52" s="2200">
        <v>7.95</v>
      </c>
      <c r="N52" s="2211">
        <f t="shared" si="248"/>
        <v>2.6499999999999999E-2</v>
      </c>
      <c r="O52" s="2212">
        <f t="shared" si="248"/>
        <v>3.7599999999999995E-2</v>
      </c>
      <c r="P52" s="2212">
        <f t="shared" si="248"/>
        <v>1.89E-2</v>
      </c>
      <c r="Q52" s="2212">
        <f t="shared" si="248"/>
        <v>7.9500000000000001E-2</v>
      </c>
      <c r="R52" s="2196"/>
      <c r="S52" s="2211">
        <f>B52/B53-1</f>
        <v>2.713213765211786E-2</v>
      </c>
      <c r="T52" s="2212">
        <f>C52/C53-1</f>
        <v>3.9774828499231862E-2</v>
      </c>
      <c r="U52" s="2212">
        <f>E52/E53-1</f>
        <v>1.8197311840641772E-2</v>
      </c>
      <c r="V52" s="2212">
        <f>F52/F53-1</f>
        <v>7.8211933962205826E-2</v>
      </c>
      <c r="X52" s="2180"/>
      <c r="Y52" s="2180"/>
      <c r="Z52" s="2180"/>
    </row>
    <row r="53" spans="1:26" ht="13.5" thickBot="1">
      <c r="A53" s="2192" t="s">
        <v>477</v>
      </c>
      <c r="B53" s="2207">
        <v>269</v>
      </c>
      <c r="C53" s="2207">
        <v>221</v>
      </c>
      <c r="D53" s="2207">
        <f t="shared" si="246"/>
        <v>221</v>
      </c>
      <c r="E53" s="2207">
        <v>373</v>
      </c>
      <c r="F53" s="2208">
        <v>196</v>
      </c>
      <c r="G53" s="3847">
        <v>2010</v>
      </c>
      <c r="H53" s="2213">
        <v>4</v>
      </c>
      <c r="I53" s="2213">
        <v>5.72</v>
      </c>
      <c r="J53" s="2213">
        <v>6.57</v>
      </c>
      <c r="K53" s="2213">
        <v>5.72</v>
      </c>
      <c r="L53" s="2214">
        <v>2.72</v>
      </c>
      <c r="N53" s="2195">
        <f t="shared" si="248"/>
        <v>5.7200000000000001E-2</v>
      </c>
      <c r="O53" s="2180">
        <f t="shared" si="248"/>
        <v>6.5700000000000008E-2</v>
      </c>
      <c r="P53" s="2180">
        <f t="shared" si="248"/>
        <v>5.7200000000000001E-2</v>
      </c>
      <c r="Q53" s="2180">
        <f t="shared" si="248"/>
        <v>2.7200000000000002E-2</v>
      </c>
      <c r="R53" s="2196"/>
      <c r="S53" s="2209"/>
      <c r="T53" s="2210"/>
      <c r="U53" s="2210"/>
      <c r="V53" s="2210"/>
      <c r="X53" s="2210"/>
      <c r="Y53" s="2210"/>
      <c r="Z53" s="2210"/>
    </row>
    <row r="54" spans="1:26">
      <c r="A54" s="2192" t="s">
        <v>478</v>
      </c>
      <c r="B54" s="2193">
        <f t="shared" ref="B54:C56" si="260">B53/(1+N53)</f>
        <v>254.44570563753314</v>
      </c>
      <c r="C54" s="2193">
        <f t="shared" si="260"/>
        <v>207.37543398705074</v>
      </c>
      <c r="D54" s="2193">
        <f t="shared" si="246"/>
        <v>207.37543398705074</v>
      </c>
      <c r="E54" s="2193">
        <f t="shared" ref="E54:F56" si="261">E53/(1+P53)</f>
        <v>352.81876655315932</v>
      </c>
      <c r="F54" s="2193">
        <f t="shared" si="261"/>
        <v>190.809968847352</v>
      </c>
      <c r="G54" s="3848">
        <v>2010</v>
      </c>
      <c r="H54" s="2218">
        <v>3</v>
      </c>
      <c r="I54" s="2218">
        <v>4.7300000000000004</v>
      </c>
      <c r="J54" s="2218">
        <v>3.9</v>
      </c>
      <c r="K54" s="2218">
        <v>5.03</v>
      </c>
      <c r="L54" s="2219">
        <v>4.21</v>
      </c>
      <c r="N54" s="2195">
        <f t="shared" si="248"/>
        <v>4.7300000000000002E-2</v>
      </c>
      <c r="O54" s="2180">
        <f t="shared" si="248"/>
        <v>3.9E-2</v>
      </c>
      <c r="P54" s="2180">
        <f t="shared" si="248"/>
        <v>5.0300000000000004E-2</v>
      </c>
      <c r="Q54" s="2180">
        <f t="shared" si="248"/>
        <v>4.2099999999999999E-2</v>
      </c>
      <c r="R54" s="2196"/>
      <c r="S54" s="2195"/>
      <c r="T54" s="2180"/>
      <c r="U54" s="2180"/>
      <c r="V54" s="2180"/>
    </row>
    <row r="55" spans="1:26">
      <c r="A55" s="2192" t="s">
        <v>479</v>
      </c>
      <c r="B55" s="2193">
        <f t="shared" si="260"/>
        <v>242.95398227588385</v>
      </c>
      <c r="C55" s="2193">
        <f t="shared" si="260"/>
        <v>199.59137053614126</v>
      </c>
      <c r="D55" s="2193">
        <f t="shared" si="246"/>
        <v>199.59137053614126</v>
      </c>
      <c r="E55" s="2193">
        <f t="shared" si="261"/>
        <v>335.92189522342125</v>
      </c>
      <c r="F55" s="2193">
        <f t="shared" si="261"/>
        <v>183.10139991109489</v>
      </c>
      <c r="G55" s="3848">
        <v>2010</v>
      </c>
      <c r="H55" s="2205">
        <v>2</v>
      </c>
      <c r="I55" s="2205">
        <v>4.6900000000000004</v>
      </c>
      <c r="J55" s="2205">
        <v>3.55</v>
      </c>
      <c r="K55" s="2205">
        <v>5.07</v>
      </c>
      <c r="L55" s="2206">
        <v>4.2300000000000004</v>
      </c>
      <c r="N55" s="2195">
        <f t="shared" si="248"/>
        <v>4.6900000000000004E-2</v>
      </c>
      <c r="O55" s="2180">
        <f t="shared" si="248"/>
        <v>3.5499999999999997E-2</v>
      </c>
      <c r="P55" s="2180">
        <f t="shared" si="248"/>
        <v>5.0700000000000002E-2</v>
      </c>
      <c r="Q55" s="2180">
        <f t="shared" si="248"/>
        <v>4.2300000000000004E-2</v>
      </c>
      <c r="R55" s="2196"/>
      <c r="S55" s="2195"/>
      <c r="T55" s="2180"/>
      <c r="U55" s="2180"/>
      <c r="V55" s="2180"/>
    </row>
    <row r="56" spans="1:26" ht="13.5" thickBot="1">
      <c r="A56" s="2192" t="s">
        <v>480</v>
      </c>
      <c r="B56" s="2193">
        <f t="shared" si="260"/>
        <v>232.06990378821649</v>
      </c>
      <c r="C56" s="2193">
        <f t="shared" si="260"/>
        <v>192.74878854286936</v>
      </c>
      <c r="D56" s="2193">
        <f t="shared" si="246"/>
        <v>192.74878854286936</v>
      </c>
      <c r="E56" s="2193">
        <f t="shared" si="261"/>
        <v>319.71247284992984</v>
      </c>
      <c r="F56" s="2193">
        <f t="shared" si="261"/>
        <v>175.67053622862409</v>
      </c>
      <c r="G56" s="3849">
        <v>2010</v>
      </c>
      <c r="H56" s="2194">
        <v>1</v>
      </c>
      <c r="I56" s="2194">
        <v>5.4</v>
      </c>
      <c r="J56" s="2194">
        <v>3.2</v>
      </c>
      <c r="K56" s="2194">
        <v>6.16</v>
      </c>
      <c r="L56" s="2200">
        <v>4.51</v>
      </c>
      <c r="N56" s="2195">
        <f t="shared" si="248"/>
        <v>5.4000000000000006E-2</v>
      </c>
      <c r="O56" s="2180">
        <f t="shared" si="248"/>
        <v>3.2000000000000001E-2</v>
      </c>
      <c r="P56" s="2180">
        <f t="shared" si="248"/>
        <v>6.1600000000000002E-2</v>
      </c>
      <c r="Q56" s="2180">
        <f t="shared" si="248"/>
        <v>4.5100000000000001E-2</v>
      </c>
      <c r="R56" s="2196"/>
      <c r="S56" s="2211">
        <f>B56/B57-1</f>
        <v>5.4863199037347599E-2</v>
      </c>
      <c r="T56" s="2212">
        <f>C56/C57-1</f>
        <v>3.0742184721226584E-2</v>
      </c>
      <c r="U56" s="2212">
        <f>E56/E57-1</f>
        <v>6.2167683886810154E-2</v>
      </c>
      <c r="V56" s="2212">
        <f>F56/F57-1</f>
        <v>4.5657953741810031E-2</v>
      </c>
      <c r="X56" s="2180"/>
      <c r="Y56" s="2180"/>
      <c r="Z56" s="2180"/>
    </row>
    <row r="57" spans="1:26" ht="13.5" thickBot="1">
      <c r="A57" s="2192" t="s">
        <v>481</v>
      </c>
      <c r="B57" s="2207">
        <v>220</v>
      </c>
      <c r="C57" s="2207">
        <v>187</v>
      </c>
      <c r="D57" s="2207">
        <f t="shared" si="246"/>
        <v>187</v>
      </c>
      <c r="E57" s="2207">
        <v>301</v>
      </c>
      <c r="F57" s="2208">
        <v>168</v>
      </c>
      <c r="G57" s="3847">
        <v>2009</v>
      </c>
      <c r="H57" s="2213">
        <v>4</v>
      </c>
      <c r="I57" s="2213">
        <v>2.2999999999999998</v>
      </c>
      <c r="J57" s="2213">
        <v>1.04</v>
      </c>
      <c r="K57" s="2213">
        <v>2.84</v>
      </c>
      <c r="L57" s="2214">
        <v>0.67</v>
      </c>
      <c r="N57" s="2215">
        <f t="shared" si="248"/>
        <v>2.3E-2</v>
      </c>
      <c r="O57" s="2216">
        <f t="shared" si="248"/>
        <v>1.04E-2</v>
      </c>
      <c r="P57" s="2216">
        <f t="shared" si="248"/>
        <v>2.8399999999999998E-2</v>
      </c>
      <c r="Q57" s="2216">
        <f t="shared" si="248"/>
        <v>6.7000000000000002E-3</v>
      </c>
      <c r="R57" s="2196"/>
      <c r="S57" s="2209"/>
      <c r="T57" s="2210"/>
      <c r="U57" s="2210"/>
      <c r="V57" s="2210"/>
      <c r="X57" s="2210"/>
      <c r="Y57" s="2210"/>
      <c r="Z57" s="2210"/>
    </row>
    <row r="58" spans="1:26">
      <c r="A58" s="2192" t="s">
        <v>482</v>
      </c>
      <c r="B58" s="2193">
        <f t="shared" ref="B58:C60" si="262">B57/(1+N57)</f>
        <v>215.05376344086022</v>
      </c>
      <c r="C58" s="2193">
        <f t="shared" si="262"/>
        <v>185.0752177355503</v>
      </c>
      <c r="D58" s="2193">
        <f t="shared" si="246"/>
        <v>185.0752177355503</v>
      </c>
      <c r="E58" s="2193">
        <f t="shared" ref="E58:F60" si="263">E57/(1+P57)</f>
        <v>292.68767016725008</v>
      </c>
      <c r="F58" s="2193">
        <f t="shared" si="263"/>
        <v>166.88189132810174</v>
      </c>
      <c r="G58" s="3848">
        <v>2009</v>
      </c>
      <c r="H58" s="2218">
        <v>3</v>
      </c>
      <c r="I58" s="2218">
        <v>2.1</v>
      </c>
      <c r="J58" s="2218">
        <v>1.86</v>
      </c>
      <c r="K58" s="2218">
        <v>2.29</v>
      </c>
      <c r="L58" s="2219">
        <v>0.85</v>
      </c>
      <c r="N58" s="2195">
        <f t="shared" si="248"/>
        <v>2.1000000000000001E-2</v>
      </c>
      <c r="O58" s="2220">
        <f t="shared" si="248"/>
        <v>1.8600000000000002E-2</v>
      </c>
      <c r="P58" s="2220">
        <f t="shared" si="248"/>
        <v>2.29E-2</v>
      </c>
      <c r="Q58" s="2220">
        <f t="shared" si="248"/>
        <v>8.5000000000000006E-3</v>
      </c>
      <c r="R58" s="2196"/>
      <c r="S58" s="2195"/>
      <c r="T58" s="2180"/>
      <c r="U58" s="2180"/>
      <c r="V58" s="2180"/>
    </row>
    <row r="59" spans="1:26">
      <c r="A59" s="2192" t="s">
        <v>483</v>
      </c>
      <c r="B59" s="2193">
        <f t="shared" si="262"/>
        <v>210.630522469011</v>
      </c>
      <c r="C59" s="2193">
        <f t="shared" si="262"/>
        <v>181.69567812247232</v>
      </c>
      <c r="D59" s="2193">
        <f t="shared" si="246"/>
        <v>181.69567812247232</v>
      </c>
      <c r="E59" s="2193">
        <f t="shared" si="263"/>
        <v>286.13517466736738</v>
      </c>
      <c r="F59" s="2193">
        <f t="shared" si="263"/>
        <v>165.47535084591149</v>
      </c>
      <c r="G59" s="3848">
        <v>2009</v>
      </c>
      <c r="H59" s="2205">
        <v>2</v>
      </c>
      <c r="I59" s="2205">
        <v>0.86</v>
      </c>
      <c r="J59" s="2205">
        <v>-1.1299999999999999</v>
      </c>
      <c r="K59" s="2205">
        <v>1.79</v>
      </c>
      <c r="L59" s="2206">
        <v>-2.0699999999999998</v>
      </c>
      <c r="N59" s="2195">
        <f t="shared" si="248"/>
        <v>8.6E-3</v>
      </c>
      <c r="O59" s="2220">
        <f t="shared" si="248"/>
        <v>-1.1299999999999999E-2</v>
      </c>
      <c r="P59" s="2220">
        <f t="shared" si="248"/>
        <v>1.7899999999999999E-2</v>
      </c>
      <c r="Q59" s="2220">
        <f t="shared" si="248"/>
        <v>-2.07E-2</v>
      </c>
      <c r="R59" s="2196"/>
      <c r="S59" s="2195"/>
      <c r="T59" s="2180"/>
      <c r="U59" s="2180"/>
      <c r="V59" s="2180"/>
    </row>
    <row r="60" spans="1:26">
      <c r="A60" s="2192" t="s">
        <v>484</v>
      </c>
      <c r="B60" s="2193">
        <f t="shared" si="262"/>
        <v>208.83454537875372</v>
      </c>
      <c r="C60" s="2193">
        <f t="shared" si="262"/>
        <v>183.77230517090351</v>
      </c>
      <c r="D60" s="2193">
        <f t="shared" si="246"/>
        <v>183.77230517090351</v>
      </c>
      <c r="E60" s="2193">
        <f t="shared" si="263"/>
        <v>281.10342338870947</v>
      </c>
      <c r="F60" s="2193">
        <f t="shared" si="263"/>
        <v>168.97309388942256</v>
      </c>
      <c r="G60" s="3849">
        <v>2009</v>
      </c>
      <c r="H60" s="2194">
        <v>1</v>
      </c>
      <c r="I60" s="2194">
        <v>-2.64</v>
      </c>
      <c r="J60" s="2194">
        <v>-2.5299999999999998</v>
      </c>
      <c r="K60" s="2194">
        <v>-3.02</v>
      </c>
      <c r="L60" s="2200">
        <v>1.52</v>
      </c>
      <c r="N60" s="2211">
        <f t="shared" si="248"/>
        <v>-2.64E-2</v>
      </c>
      <c r="O60" s="2212">
        <f t="shared" si="248"/>
        <v>-2.53E-2</v>
      </c>
      <c r="P60" s="2212">
        <f t="shared" si="248"/>
        <v>-3.0200000000000001E-2</v>
      </c>
      <c r="Q60" s="2212">
        <f t="shared" si="248"/>
        <v>1.52E-2</v>
      </c>
      <c r="R60" s="2196"/>
      <c r="S60" s="2211">
        <f>B60/B61-1</f>
        <v>-2.4137638417038754E-2</v>
      </c>
      <c r="T60" s="2212">
        <f>C60/C61-1</f>
        <v>-2.248773845264096E-2</v>
      </c>
      <c r="U60" s="2212">
        <f>E60/E61-1</f>
        <v>-2.7323794502735366E-2</v>
      </c>
      <c r="V60" s="2212">
        <f>F60/F61-1</f>
        <v>1.7910204153148035E-2</v>
      </c>
      <c r="X60" s="2180"/>
      <c r="Y60" s="2180"/>
      <c r="Z60" s="2180"/>
    </row>
    <row r="61" spans="1:26" ht="13.5" thickBot="1">
      <c r="A61" s="2192" t="s">
        <v>485</v>
      </c>
      <c r="B61" s="2242">
        <v>214</v>
      </c>
      <c r="C61" s="2242">
        <v>188</v>
      </c>
      <c r="D61" s="2242">
        <f t="shared" si="246"/>
        <v>188</v>
      </c>
      <c r="E61" s="2242">
        <v>289</v>
      </c>
      <c r="F61" s="2243">
        <v>166</v>
      </c>
      <c r="G61" s="3847">
        <v>2008</v>
      </c>
      <c r="H61" s="2213">
        <v>4</v>
      </c>
      <c r="I61" s="2213">
        <v>1.73</v>
      </c>
      <c r="J61" s="2213">
        <v>0.03</v>
      </c>
      <c r="K61" s="2213">
        <v>2.59</v>
      </c>
      <c r="L61" s="2214">
        <v>-1.66</v>
      </c>
      <c r="N61" s="2195">
        <f t="shared" si="248"/>
        <v>1.7299999999999999E-2</v>
      </c>
      <c r="O61" s="2180">
        <f t="shared" si="248"/>
        <v>2.9999999999999997E-4</v>
      </c>
      <c r="P61" s="2180">
        <f t="shared" si="248"/>
        <v>2.5899999999999999E-2</v>
      </c>
      <c r="Q61" s="2180">
        <f t="shared" si="248"/>
        <v>-1.66E-2</v>
      </c>
      <c r="R61" s="2196"/>
      <c r="S61" s="2209"/>
      <c r="T61" s="2210"/>
      <c r="U61" s="2210"/>
      <c r="V61" s="2210"/>
      <c r="X61" s="2210"/>
      <c r="Y61" s="2210"/>
      <c r="Z61" s="2210"/>
    </row>
    <row r="62" spans="1:26">
      <c r="A62" s="2192" t="s">
        <v>486</v>
      </c>
      <c r="B62" s="2193">
        <f t="shared" ref="B62:C64" si="264">B61/(1+N61)</f>
        <v>210.36075887152265</v>
      </c>
      <c r="C62" s="2193">
        <f t="shared" si="264"/>
        <v>187.94361691492554</v>
      </c>
      <c r="D62" s="2193">
        <f t="shared" si="246"/>
        <v>187.94361691492554</v>
      </c>
      <c r="E62" s="2193">
        <f t="shared" ref="E62:F64" si="265">E61/(1+P61)</f>
        <v>281.70386977288234</v>
      </c>
      <c r="F62" s="2193">
        <f t="shared" si="265"/>
        <v>168.80211511083994</v>
      </c>
      <c r="G62" s="3848">
        <v>2008</v>
      </c>
      <c r="H62" s="2218">
        <v>3</v>
      </c>
      <c r="I62" s="2218">
        <v>1.96</v>
      </c>
      <c r="J62" s="2218">
        <v>2.36</v>
      </c>
      <c r="K62" s="2218">
        <v>1.82</v>
      </c>
      <c r="L62" s="2219">
        <v>2.2200000000000002</v>
      </c>
      <c r="N62" s="2195">
        <f t="shared" si="248"/>
        <v>1.9599999999999999E-2</v>
      </c>
      <c r="O62" s="2180">
        <f t="shared" si="248"/>
        <v>2.3599999999999999E-2</v>
      </c>
      <c r="P62" s="2180">
        <f t="shared" si="248"/>
        <v>1.8200000000000001E-2</v>
      </c>
      <c r="Q62" s="2180">
        <f t="shared" si="248"/>
        <v>2.2200000000000001E-2</v>
      </c>
      <c r="R62" s="2196"/>
      <c r="S62" s="2195"/>
      <c r="T62" s="2180"/>
      <c r="U62" s="2180"/>
      <c r="V62" s="2180"/>
    </row>
    <row r="63" spans="1:26">
      <c r="A63" s="2192" t="s">
        <v>487</v>
      </c>
      <c r="B63" s="2193">
        <f t="shared" si="264"/>
        <v>206.31694671589116</v>
      </c>
      <c r="C63" s="2193">
        <f t="shared" si="264"/>
        <v>183.61041121036101</v>
      </c>
      <c r="D63" s="2193">
        <f t="shared" si="246"/>
        <v>183.61041121036101</v>
      </c>
      <c r="E63" s="2193">
        <f t="shared" si="265"/>
        <v>276.66850301795557</v>
      </c>
      <c r="F63" s="2193">
        <f t="shared" si="265"/>
        <v>165.1360938278614</v>
      </c>
      <c r="G63" s="3848">
        <v>2008</v>
      </c>
      <c r="H63" s="2205">
        <v>2</v>
      </c>
      <c r="I63" s="2205">
        <v>4.93</v>
      </c>
      <c r="J63" s="2205">
        <v>7.38</v>
      </c>
      <c r="K63" s="2205">
        <v>3.98</v>
      </c>
      <c r="L63" s="2206">
        <v>6.86</v>
      </c>
      <c r="N63" s="2195">
        <f t="shared" si="248"/>
        <v>4.9299999999999997E-2</v>
      </c>
      <c r="O63" s="2180">
        <f t="shared" si="248"/>
        <v>7.3800000000000004E-2</v>
      </c>
      <c r="P63" s="2180">
        <f t="shared" si="248"/>
        <v>3.9800000000000002E-2</v>
      </c>
      <c r="Q63" s="2180">
        <f t="shared" si="248"/>
        <v>6.8600000000000008E-2</v>
      </c>
      <c r="R63" s="2196"/>
      <c r="S63" s="2195"/>
      <c r="T63" s="2180"/>
      <c r="U63" s="2180"/>
      <c r="V63" s="2180"/>
    </row>
    <row r="64" spans="1:26" s="2248" customFormat="1" ht="13.5" thickBot="1">
      <c r="A64" s="2192" t="s">
        <v>488</v>
      </c>
      <c r="B64" s="2245">
        <f t="shared" si="264"/>
        <v>196.62341248059772</v>
      </c>
      <c r="C64" s="2245">
        <f t="shared" si="264"/>
        <v>170.99125648199012</v>
      </c>
      <c r="D64" s="2245">
        <f t="shared" si="246"/>
        <v>170.99125648199012</v>
      </c>
      <c r="E64" s="2245">
        <f t="shared" si="265"/>
        <v>266.07857570490052</v>
      </c>
      <c r="F64" s="2245">
        <f t="shared" si="265"/>
        <v>154.53499328828505</v>
      </c>
      <c r="G64" s="3849">
        <v>2008</v>
      </c>
      <c r="H64" s="2246">
        <v>1</v>
      </c>
      <c r="I64" s="2246">
        <v>4.1399999999999997</v>
      </c>
      <c r="J64" s="2246">
        <v>3.45</v>
      </c>
      <c r="K64" s="2246">
        <v>4.95</v>
      </c>
      <c r="L64" s="2247">
        <v>4.82</v>
      </c>
      <c r="N64" s="2249">
        <f t="shared" si="248"/>
        <v>4.1399999999999999E-2</v>
      </c>
      <c r="O64" s="2250">
        <f t="shared" si="248"/>
        <v>3.4500000000000003E-2</v>
      </c>
      <c r="P64" s="2250">
        <f t="shared" si="248"/>
        <v>4.9500000000000002E-2</v>
      </c>
      <c r="Q64" s="2250">
        <f t="shared" si="248"/>
        <v>4.82E-2</v>
      </c>
      <c r="R64" s="2251"/>
      <c r="S64" s="2249">
        <f>B64/B65-1</f>
        <v>4.5869215322328349E-2</v>
      </c>
      <c r="T64" s="2250">
        <f>C64/C65-1</f>
        <v>3.6310645345394743E-2</v>
      </c>
      <c r="U64" s="2250">
        <f>E64/E65-1</f>
        <v>4.7553447657088688E-2</v>
      </c>
      <c r="V64" s="2250">
        <f>F64/F65-1</f>
        <v>4.4155360055980086E-2</v>
      </c>
      <c r="X64" s="2250"/>
      <c r="Y64" s="2250"/>
      <c r="Z64" s="2250"/>
    </row>
    <row r="65" spans="1:26" ht="13.5" thickBot="1">
      <c r="A65" s="2192" t="s">
        <v>489</v>
      </c>
      <c r="B65" s="2207">
        <v>188</v>
      </c>
      <c r="C65" s="2207">
        <v>165</v>
      </c>
      <c r="D65" s="2207">
        <f t="shared" si="246"/>
        <v>165</v>
      </c>
      <c r="E65" s="2207">
        <v>254</v>
      </c>
      <c r="F65" s="2208">
        <v>148</v>
      </c>
      <c r="G65" s="3847">
        <v>2007</v>
      </c>
      <c r="H65" s="2252">
        <v>4</v>
      </c>
      <c r="I65" s="2252">
        <v>5.51</v>
      </c>
      <c r="J65" s="2252">
        <v>4.8899999999999997</v>
      </c>
      <c r="K65" s="2252">
        <v>6.43</v>
      </c>
      <c r="L65" s="2253">
        <v>5.36</v>
      </c>
      <c r="N65" s="2254">
        <f t="shared" ref="N65:O68" si="266">B65/B66-1</f>
        <v>4.1339718365245526E-2</v>
      </c>
      <c r="O65" s="2255">
        <f t="shared" si="266"/>
        <v>4.0324492593776018E-2</v>
      </c>
      <c r="P65" s="2255">
        <f t="shared" ref="P65:Q68" si="267">E65/E66-1</f>
        <v>6.1625555347990968E-2</v>
      </c>
      <c r="Q65" s="2255">
        <f t="shared" si="267"/>
        <v>4.6757569250590603E-2</v>
      </c>
      <c r="R65" s="2196"/>
      <c r="S65" s="2209"/>
      <c r="T65" s="2210"/>
      <c r="U65" s="2210"/>
      <c r="V65" s="2210"/>
      <c r="X65" s="2210"/>
      <c r="Y65" s="2210"/>
      <c r="Z65" s="2210"/>
    </row>
    <row r="66" spans="1:26">
      <c r="A66" s="2192" t="s">
        <v>490</v>
      </c>
      <c r="B66" s="2193">
        <f t="shared" ref="B66:C68" si="268">B67+(B$65-B$69)*I66/SUM(I$65:I$68)</f>
        <v>180.5366651097618</v>
      </c>
      <c r="C66" s="2193">
        <f t="shared" si="268"/>
        <v>158.60435967302453</v>
      </c>
      <c r="D66" s="2193">
        <f t="shared" si="246"/>
        <v>158.60435967302453</v>
      </c>
      <c r="E66" s="2193">
        <f t="shared" ref="E66:F68" si="269">E67+(E$65-E$69)*K66/SUM(K$65:K$68)</f>
        <v>239.25573260785075</v>
      </c>
      <c r="F66" s="2193">
        <f t="shared" si="269"/>
        <v>141.38899430740037</v>
      </c>
      <c r="G66" s="3848">
        <v>2007</v>
      </c>
      <c r="H66" s="2218">
        <v>3</v>
      </c>
      <c r="I66" s="2218">
        <v>8.65</v>
      </c>
      <c r="J66" s="2218">
        <v>8.06</v>
      </c>
      <c r="K66" s="2218">
        <v>9.94</v>
      </c>
      <c r="L66" s="2219">
        <v>5.8</v>
      </c>
      <c r="N66" s="2254">
        <f t="shared" si="266"/>
        <v>6.940217571740015E-2</v>
      </c>
      <c r="O66" s="2255">
        <f t="shared" si="266"/>
        <v>7.1197482471153428E-2</v>
      </c>
      <c r="P66" s="2255">
        <f t="shared" si="267"/>
        <v>0.10529679922579582</v>
      </c>
      <c r="Q66" s="2255">
        <f t="shared" si="267"/>
        <v>5.3292245059512133E-2</v>
      </c>
      <c r="R66" s="2196"/>
      <c r="S66" s="2195"/>
      <c r="T66" s="2180"/>
      <c r="U66" s="2180"/>
      <c r="V66" s="2180"/>
      <c r="X66" s="2256"/>
      <c r="Y66" s="2256"/>
      <c r="Z66" s="2256"/>
    </row>
    <row r="67" spans="1:26">
      <c r="A67" s="2192" t="s">
        <v>491</v>
      </c>
      <c r="B67" s="2193">
        <f t="shared" si="268"/>
        <v>168.82017748715555</v>
      </c>
      <c r="C67" s="2193">
        <f t="shared" si="268"/>
        <v>148.06267029972753</v>
      </c>
      <c r="D67" s="2193">
        <f t="shared" si="246"/>
        <v>148.06267029972753</v>
      </c>
      <c r="E67" s="2193">
        <f t="shared" si="269"/>
        <v>216.46288379323747</v>
      </c>
      <c r="F67" s="2193">
        <f t="shared" si="269"/>
        <v>134.23529411764704</v>
      </c>
      <c r="G67" s="3848">
        <v>2007</v>
      </c>
      <c r="H67" s="2205">
        <v>2</v>
      </c>
      <c r="I67" s="2205">
        <v>3.67</v>
      </c>
      <c r="J67" s="2205">
        <v>2.3199999999999998</v>
      </c>
      <c r="K67" s="2205">
        <v>5.0199999999999996</v>
      </c>
      <c r="L67" s="2206">
        <v>6.71</v>
      </c>
      <c r="N67" s="2254">
        <f t="shared" si="266"/>
        <v>3.0339138143848032E-2</v>
      </c>
      <c r="O67" s="2255">
        <f t="shared" si="266"/>
        <v>2.0922341588790472E-2</v>
      </c>
      <c r="P67" s="2255">
        <f t="shared" si="267"/>
        <v>5.6164796592717003E-2</v>
      </c>
      <c r="Q67" s="2255">
        <f t="shared" si="267"/>
        <v>6.5704536723887319E-2</v>
      </c>
      <c r="R67" s="2196"/>
      <c r="S67" s="2195"/>
      <c r="T67" s="2180"/>
      <c r="U67" s="2180"/>
      <c r="V67" s="2180"/>
      <c r="X67" s="2256"/>
      <c r="Y67" s="2256"/>
      <c r="Z67" s="2256"/>
    </row>
    <row r="68" spans="1:26">
      <c r="A68" s="2192" t="s">
        <v>492</v>
      </c>
      <c r="B68" s="2193">
        <f t="shared" si="268"/>
        <v>163.84913591779542</v>
      </c>
      <c r="C68" s="2193">
        <f t="shared" si="268"/>
        <v>145.0283378746594</v>
      </c>
      <c r="D68" s="2193">
        <f t="shared" si="246"/>
        <v>145.0283378746594</v>
      </c>
      <c r="E68" s="2193">
        <f t="shared" si="269"/>
        <v>204.95180722891567</v>
      </c>
      <c r="F68" s="2193">
        <f t="shared" si="269"/>
        <v>125.95920303605313</v>
      </c>
      <c r="G68" s="3849">
        <v>2007</v>
      </c>
      <c r="H68" s="2194">
        <v>1</v>
      </c>
      <c r="I68" s="2194">
        <v>3.58</v>
      </c>
      <c r="J68" s="2194">
        <v>3.08</v>
      </c>
      <c r="K68" s="2194">
        <v>4.34</v>
      </c>
      <c r="L68" s="2200">
        <v>3.21</v>
      </c>
      <c r="N68" s="2257">
        <f t="shared" si="266"/>
        <v>3.0497710174814063E-2</v>
      </c>
      <c r="O68" s="2258">
        <f t="shared" si="266"/>
        <v>2.8569772160704998E-2</v>
      </c>
      <c r="P68" s="2258">
        <f t="shared" si="267"/>
        <v>5.1034908866234296E-2</v>
      </c>
      <c r="Q68" s="2258">
        <f t="shared" si="267"/>
        <v>3.245248390207478E-2</v>
      </c>
      <c r="R68" s="2196"/>
      <c r="S68" s="2211">
        <f>B68/B69-1</f>
        <v>3.0497710174814063E-2</v>
      </c>
      <c r="T68" s="2212">
        <f>C68/C69-1</f>
        <v>2.8569772160704998E-2</v>
      </c>
      <c r="U68" s="2212">
        <f>E68/E69-1</f>
        <v>5.1034908866234296E-2</v>
      </c>
      <c r="V68" s="2212">
        <f>F68/F69-1</f>
        <v>3.245248390207478E-2</v>
      </c>
      <c r="X68" s="2256"/>
      <c r="Y68" s="2256"/>
      <c r="Z68" s="2256"/>
    </row>
    <row r="69" spans="1:26" ht="13.5" thickBot="1">
      <c r="A69" s="2192" t="s">
        <v>493</v>
      </c>
      <c r="B69" s="2221">
        <v>159</v>
      </c>
      <c r="C69" s="2221">
        <v>141</v>
      </c>
      <c r="D69" s="2221">
        <f t="shared" si="246"/>
        <v>141</v>
      </c>
      <c r="E69" s="2221">
        <v>195</v>
      </c>
      <c r="F69" s="2222">
        <v>122</v>
      </c>
      <c r="G69" s="3847">
        <v>2006</v>
      </c>
      <c r="H69" s="2213">
        <v>4</v>
      </c>
      <c r="I69" s="2213">
        <v>3.79</v>
      </c>
      <c r="J69" s="2213">
        <v>2.21</v>
      </c>
      <c r="K69" s="2213">
        <v>5.65</v>
      </c>
      <c r="L69" s="2214">
        <v>5.41</v>
      </c>
      <c r="N69" s="2254">
        <f t="shared" ref="N69:O72" si="270">I69/SUM(I$69:I$72)*(B$69/B$73-1)</f>
        <v>7.245466462748526E-2</v>
      </c>
      <c r="O69" s="2255">
        <f t="shared" si="270"/>
        <v>2.3237230038062766E-2</v>
      </c>
      <c r="P69" s="2255">
        <f t="shared" ref="P69:Q72" si="271">K69/SUM(K$69:K$72)*(E$69/E$73-1)</f>
        <v>0.16146893866323722</v>
      </c>
      <c r="Q69" s="2255">
        <f t="shared" si="271"/>
        <v>5.0755230321793784E-2</v>
      </c>
      <c r="R69" s="2196"/>
      <c r="S69" s="2209"/>
      <c r="T69" s="2210"/>
      <c r="U69" s="2210"/>
      <c r="V69" s="2210"/>
      <c r="X69" s="2256"/>
      <c r="Y69" s="2256"/>
      <c r="Z69" s="2256"/>
    </row>
    <row r="70" spans="1:26">
      <c r="A70" s="2192" t="s">
        <v>494</v>
      </c>
      <c r="B70" s="2193">
        <f t="shared" ref="B70:C72" si="272">B71+(B$69-B$73)*I70/SUM(I$69:I$72)</f>
        <v>149.00125628140702</v>
      </c>
      <c r="C70" s="2193">
        <f t="shared" si="272"/>
        <v>137.95592286501378</v>
      </c>
      <c r="D70" s="2193">
        <f t="shared" si="246"/>
        <v>137.95592286501378</v>
      </c>
      <c r="E70" s="2193">
        <f t="shared" ref="E70:F72" si="273">E71+(E$69-E$73)*K70/SUM(K$69:K$72)</f>
        <v>169.97231450719823</v>
      </c>
      <c r="F70" s="2193">
        <f t="shared" si="273"/>
        <v>116.21390374331551</v>
      </c>
      <c r="G70" s="3848">
        <v>2006</v>
      </c>
      <c r="H70" s="2218">
        <v>3</v>
      </c>
      <c r="I70" s="2218">
        <v>0.92</v>
      </c>
      <c r="J70" s="2218">
        <v>1.08</v>
      </c>
      <c r="K70" s="2218">
        <v>0.73</v>
      </c>
      <c r="L70" s="2219">
        <v>1.08</v>
      </c>
      <c r="N70" s="2254">
        <f t="shared" si="270"/>
        <v>1.7587939698492462E-2</v>
      </c>
      <c r="O70" s="2255">
        <f t="shared" si="270"/>
        <v>1.1355750425840628E-2</v>
      </c>
      <c r="P70" s="2255">
        <f t="shared" si="271"/>
        <v>2.0862358446754544E-2</v>
      </c>
      <c r="Q70" s="2255">
        <f t="shared" si="271"/>
        <v>1.0132282578103011E-2</v>
      </c>
      <c r="R70" s="2196"/>
      <c r="S70" s="2195"/>
      <c r="T70" s="2180"/>
      <c r="U70" s="2180"/>
      <c r="V70" s="2180"/>
      <c r="X70" s="2256"/>
      <c r="Y70" s="2256"/>
      <c r="Z70" s="2256"/>
    </row>
    <row r="71" spans="1:26">
      <c r="A71" s="2192" t="s">
        <v>495</v>
      </c>
      <c r="B71" s="2193">
        <f t="shared" si="272"/>
        <v>146.57412060301507</v>
      </c>
      <c r="C71" s="2193">
        <f t="shared" si="272"/>
        <v>136.46831955922866</v>
      </c>
      <c r="D71" s="2193">
        <f t="shared" si="246"/>
        <v>136.46831955922866</v>
      </c>
      <c r="E71" s="2193">
        <f t="shared" si="273"/>
        <v>166.73864894795128</v>
      </c>
      <c r="F71" s="2193">
        <f t="shared" si="273"/>
        <v>115.05882352941177</v>
      </c>
      <c r="G71" s="3848">
        <v>2006</v>
      </c>
      <c r="H71" s="2205">
        <v>2</v>
      </c>
      <c r="I71" s="2205">
        <v>0.96</v>
      </c>
      <c r="J71" s="2205">
        <v>0.25</v>
      </c>
      <c r="K71" s="2205">
        <v>1.9</v>
      </c>
      <c r="L71" s="2206">
        <v>0.95</v>
      </c>
      <c r="N71" s="2254">
        <f t="shared" si="270"/>
        <v>1.8352632728861701E-2</v>
      </c>
      <c r="O71" s="2255">
        <f t="shared" si="270"/>
        <v>2.6286459319075526E-3</v>
      </c>
      <c r="P71" s="2255">
        <f t="shared" si="271"/>
        <v>5.4299289107991269E-2</v>
      </c>
      <c r="Q71" s="2255">
        <f t="shared" si="271"/>
        <v>8.9126559714794995E-3</v>
      </c>
      <c r="R71" s="2196"/>
      <c r="S71" s="2195"/>
      <c r="T71" s="2180"/>
      <c r="U71" s="2180"/>
      <c r="V71" s="2180"/>
      <c r="X71" s="2256"/>
      <c r="Y71" s="2256"/>
      <c r="Z71" s="2256"/>
    </row>
    <row r="72" spans="1:26">
      <c r="A72" s="2192" t="s">
        <v>496</v>
      </c>
      <c r="B72" s="2193">
        <f t="shared" si="272"/>
        <v>144.04145728643215</v>
      </c>
      <c r="C72" s="2193">
        <f t="shared" si="272"/>
        <v>136.12396694214877</v>
      </c>
      <c r="D72" s="2193">
        <f t="shared" si="246"/>
        <v>136.12396694214877</v>
      </c>
      <c r="E72" s="2193">
        <f t="shared" si="273"/>
        <v>158.32225913621264</v>
      </c>
      <c r="F72" s="2193">
        <f t="shared" si="273"/>
        <v>114.04278074866311</v>
      </c>
      <c r="G72" s="3849">
        <v>2006</v>
      </c>
      <c r="H72" s="2194">
        <v>1</v>
      </c>
      <c r="I72" s="2194">
        <v>2.29</v>
      </c>
      <c r="J72" s="2194">
        <v>3.72</v>
      </c>
      <c r="K72" s="2194">
        <v>0.75</v>
      </c>
      <c r="L72" s="2200">
        <v>0.04</v>
      </c>
      <c r="N72" s="2257">
        <f t="shared" si="270"/>
        <v>4.3778675988638847E-2</v>
      </c>
      <c r="O72" s="2258">
        <f t="shared" si="270"/>
        <v>3.9114251466784385E-2</v>
      </c>
      <c r="P72" s="2258">
        <f t="shared" si="271"/>
        <v>2.1433929911049188E-2</v>
      </c>
      <c r="Q72" s="2258">
        <f t="shared" si="271"/>
        <v>3.7526972511492629E-4</v>
      </c>
      <c r="R72" s="2196"/>
      <c r="S72" s="2211">
        <f>B72/B73-1</f>
        <v>4.3778675988638716E-2</v>
      </c>
      <c r="T72" s="2212">
        <f>C72/C73-1</f>
        <v>3.91142514667846E-2</v>
      </c>
      <c r="U72" s="2212">
        <f>E72/E73-1</f>
        <v>2.143392991104931E-2</v>
      </c>
      <c r="V72" s="2212">
        <f>F72/F73-1</f>
        <v>3.7526972511492396E-4</v>
      </c>
      <c r="X72" s="2256"/>
      <c r="Y72" s="2256"/>
      <c r="Z72" s="2256"/>
    </row>
    <row r="73" spans="1:26" ht="13.5" thickBot="1">
      <c r="A73" s="2192" t="s">
        <v>497</v>
      </c>
      <c r="B73" s="2221">
        <v>138</v>
      </c>
      <c r="C73" s="2221">
        <v>131</v>
      </c>
      <c r="D73" s="2221">
        <f t="shared" si="246"/>
        <v>131</v>
      </c>
      <c r="E73" s="2221">
        <v>155</v>
      </c>
      <c r="F73" s="2222">
        <v>114</v>
      </c>
      <c r="G73" s="3847">
        <v>2005</v>
      </c>
      <c r="H73" s="2213">
        <v>4</v>
      </c>
      <c r="I73" s="2213">
        <v>3.29</v>
      </c>
      <c r="J73" s="2213">
        <v>1.44</v>
      </c>
      <c r="K73" s="2213">
        <v>0.66</v>
      </c>
      <c r="L73" s="2214">
        <v>7.78</v>
      </c>
      <c r="N73" s="2254">
        <f t="shared" ref="N73:O76" si="274">I73/SUM(I$73:I$76)*(B$73/B$77-1)</f>
        <v>9.9404603216919935E-2</v>
      </c>
      <c r="O73" s="2255">
        <f t="shared" si="274"/>
        <v>4.7636550760861554E-2</v>
      </c>
      <c r="P73" s="2255">
        <f t="shared" ref="P73:Q76" si="275">K73/SUM(K$73:K$76)*(E$73/E$77-1)</f>
        <v>8.3756345177664976E-2</v>
      </c>
      <c r="Q73" s="2255">
        <f t="shared" si="275"/>
        <v>5.2148766661559584E-2</v>
      </c>
      <c r="R73" s="2196"/>
      <c r="S73" s="2209"/>
      <c r="T73" s="2210"/>
      <c r="U73" s="2210"/>
      <c r="V73" s="2210"/>
      <c r="X73" s="2256"/>
      <c r="Y73" s="2256"/>
      <c r="Z73" s="2256"/>
    </row>
    <row r="74" spans="1:26">
      <c r="A74" s="2192" t="s">
        <v>498</v>
      </c>
      <c r="B74" s="2193">
        <f t="shared" ref="B74:C76" si="276">B75+(B$73-B$77)*I74/SUM(I$73:I$76)</f>
        <v>125.9720430107527</v>
      </c>
      <c r="C74" s="2193">
        <f t="shared" si="276"/>
        <v>125.1883408071749</v>
      </c>
      <c r="D74" s="2193">
        <f t="shared" si="246"/>
        <v>125.1883408071749</v>
      </c>
      <c r="E74" s="2193">
        <f t="shared" ref="E74:F76" si="277">E75+(E$73-E$77)*K74/SUM(K$73:K$76)</f>
        <v>144.61421319796952</v>
      </c>
      <c r="F74" s="2193">
        <f t="shared" si="277"/>
        <v>108.42008196721311</v>
      </c>
      <c r="G74" s="3848">
        <v>2005</v>
      </c>
      <c r="H74" s="2218">
        <v>3</v>
      </c>
      <c r="I74" s="2218">
        <v>0.46</v>
      </c>
      <c r="J74" s="2218">
        <v>0.32</v>
      </c>
      <c r="K74" s="2218">
        <v>0.42</v>
      </c>
      <c r="L74" s="2219">
        <v>0.64</v>
      </c>
      <c r="N74" s="2254">
        <f t="shared" si="274"/>
        <v>1.3898515951301874E-2</v>
      </c>
      <c r="O74" s="2255">
        <f t="shared" si="274"/>
        <v>1.0585900169080346E-2</v>
      </c>
      <c r="P74" s="2255">
        <f t="shared" si="275"/>
        <v>5.3299492385786795E-2</v>
      </c>
      <c r="Q74" s="2255">
        <f t="shared" si="275"/>
        <v>4.2898728359123568E-3</v>
      </c>
      <c r="R74" s="2196"/>
      <c r="S74" s="2195"/>
      <c r="T74" s="2180"/>
      <c r="U74" s="2180"/>
      <c r="V74" s="2180"/>
      <c r="X74" s="2256"/>
      <c r="Y74" s="2256"/>
      <c r="Z74" s="2256"/>
    </row>
    <row r="75" spans="1:26">
      <c r="A75" s="2192" t="s">
        <v>499</v>
      </c>
      <c r="B75" s="2193">
        <f t="shared" si="276"/>
        <v>124.29032258064517</v>
      </c>
      <c r="C75" s="2193">
        <f t="shared" si="276"/>
        <v>123.8968609865471</v>
      </c>
      <c r="D75" s="2193">
        <f t="shared" si="246"/>
        <v>123.8968609865471</v>
      </c>
      <c r="E75" s="2193">
        <f t="shared" si="277"/>
        <v>138.00507614213197</v>
      </c>
      <c r="F75" s="2193">
        <f t="shared" si="277"/>
        <v>107.96106557377048</v>
      </c>
      <c r="G75" s="3848">
        <v>2005</v>
      </c>
      <c r="H75" s="2205">
        <v>2</v>
      </c>
      <c r="I75" s="2205">
        <v>0.47</v>
      </c>
      <c r="J75" s="2205">
        <v>0.1</v>
      </c>
      <c r="K75" s="2205">
        <v>0.52</v>
      </c>
      <c r="L75" s="2206">
        <v>0.79</v>
      </c>
      <c r="N75" s="2254">
        <f t="shared" si="274"/>
        <v>1.420065760241713E-2</v>
      </c>
      <c r="O75" s="2255">
        <f t="shared" si="274"/>
        <v>3.3080938028376083E-3</v>
      </c>
      <c r="P75" s="2255">
        <f t="shared" si="275"/>
        <v>6.598984771573603E-2</v>
      </c>
      <c r="Q75" s="2255">
        <f t="shared" si="275"/>
        <v>5.2953117818293153E-3</v>
      </c>
      <c r="R75" s="2196"/>
      <c r="S75" s="2195"/>
      <c r="T75" s="2180"/>
      <c r="U75" s="2180"/>
      <c r="V75" s="2180"/>
      <c r="X75" s="2256"/>
      <c r="Y75" s="2256"/>
      <c r="Z75" s="2256"/>
    </row>
    <row r="76" spans="1:26">
      <c r="A76" s="2192" t="s">
        <v>500</v>
      </c>
      <c r="B76" s="2193">
        <f t="shared" si="276"/>
        <v>122.57204301075269</v>
      </c>
      <c r="C76" s="2193">
        <f t="shared" si="276"/>
        <v>123.4932735426009</v>
      </c>
      <c r="D76" s="2193">
        <f t="shared" si="246"/>
        <v>123.4932735426009</v>
      </c>
      <c r="E76" s="2193">
        <f t="shared" si="277"/>
        <v>129.82233502538071</v>
      </c>
      <c r="F76" s="2193">
        <f t="shared" si="277"/>
        <v>107.39446721311475</v>
      </c>
      <c r="G76" s="3849">
        <v>2005</v>
      </c>
      <c r="H76" s="2194">
        <v>1</v>
      </c>
      <c r="I76" s="2194">
        <v>0.43</v>
      </c>
      <c r="J76" s="2194">
        <v>0.37</v>
      </c>
      <c r="K76" s="2194">
        <v>0.37</v>
      </c>
      <c r="L76" s="2200">
        <v>0.55000000000000004</v>
      </c>
      <c r="N76" s="2257">
        <f t="shared" si="274"/>
        <v>1.2992090997956099E-2</v>
      </c>
      <c r="O76" s="2258">
        <f t="shared" si="274"/>
        <v>1.2239947070499151E-2</v>
      </c>
      <c r="P76" s="2258">
        <f t="shared" si="275"/>
        <v>4.6954314720812178E-2</v>
      </c>
      <c r="Q76" s="2258">
        <f t="shared" si="275"/>
        <v>3.6866094683621815E-3</v>
      </c>
      <c r="R76" s="2196"/>
      <c r="S76" s="2211">
        <f>B76/B77-1</f>
        <v>1.2992090997956174E-2</v>
      </c>
      <c r="T76" s="2212">
        <f>C76/C77-1</f>
        <v>1.2239947070499246E-2</v>
      </c>
      <c r="U76" s="2212">
        <f>E76/E77-1</f>
        <v>4.695431472081224E-2</v>
      </c>
      <c r="V76" s="2212">
        <f>F76/F77-1</f>
        <v>3.6866094683620787E-3</v>
      </c>
      <c r="X76" s="2256"/>
      <c r="Y76" s="2256"/>
      <c r="Z76" s="2256"/>
    </row>
    <row r="77" spans="1:26" ht="13.5" thickBot="1">
      <c r="A77" s="2192" t="s">
        <v>501</v>
      </c>
      <c r="B77" s="2242">
        <v>121</v>
      </c>
      <c r="C77" s="2242">
        <v>122</v>
      </c>
      <c r="D77" s="2242">
        <f t="shared" si="246"/>
        <v>122</v>
      </c>
      <c r="E77" s="2242">
        <v>124</v>
      </c>
      <c r="F77" s="2243">
        <v>107</v>
      </c>
      <c r="G77" s="3847">
        <v>2004</v>
      </c>
      <c r="H77" s="2213">
        <v>4</v>
      </c>
      <c r="I77" s="2213">
        <v>0.33</v>
      </c>
      <c r="J77" s="2213">
        <v>0.5</v>
      </c>
      <c r="K77" s="2213">
        <v>0.5</v>
      </c>
      <c r="L77" s="2214">
        <v>0</v>
      </c>
      <c r="N77" s="2254">
        <f t="shared" ref="N77:O80" si="278">I77/SUM(I$77:I$80)*(B$77/B$81-1)</f>
        <v>1.3391770148526898E-2</v>
      </c>
      <c r="O77" s="2255">
        <f t="shared" si="278"/>
        <v>1.063264221158958E-2</v>
      </c>
      <c r="P77" s="2255">
        <f t="shared" ref="P77:Q80" si="279">K77/SUM(K$77:K$80)*(E$77/E$81-1)</f>
        <v>2.2244466688911134E-2</v>
      </c>
      <c r="Q77" s="2255">
        <f t="shared" si="279"/>
        <v>0</v>
      </c>
      <c r="R77" s="2196"/>
      <c r="S77" s="2209"/>
      <c r="T77" s="2210"/>
      <c r="U77" s="2210"/>
      <c r="V77" s="2210"/>
      <c r="X77" s="2256"/>
      <c r="Y77" s="2256"/>
      <c r="Z77" s="2256"/>
    </row>
    <row r="78" spans="1:26">
      <c r="A78" s="2192" t="s">
        <v>502</v>
      </c>
      <c r="B78" s="2193">
        <f t="shared" ref="B78:C80" si="280">B79+(B$77-B$81)*I78/SUM(I$77:I$80)</f>
        <v>119.51351351351352</v>
      </c>
      <c r="C78" s="2193">
        <f t="shared" si="280"/>
        <v>120.7878787878788</v>
      </c>
      <c r="D78" s="2193">
        <f t="shared" si="246"/>
        <v>120.7878787878788</v>
      </c>
      <c r="E78" s="2193">
        <f t="shared" ref="E78:F80" si="281">E79+(E$77-E$81)*K78/SUM(K$77:K$80)</f>
        <v>121.5975975975976</v>
      </c>
      <c r="F78" s="2193">
        <f t="shared" si="281"/>
        <v>107</v>
      </c>
      <c r="G78" s="3848">
        <v>2004</v>
      </c>
      <c r="H78" s="2218">
        <v>3</v>
      </c>
      <c r="I78" s="2218">
        <v>0.56000000000000005</v>
      </c>
      <c r="J78" s="2218">
        <v>0.8</v>
      </c>
      <c r="K78" s="2218">
        <v>0.83</v>
      </c>
      <c r="L78" s="2219">
        <v>0.06</v>
      </c>
      <c r="N78" s="2254">
        <f t="shared" si="278"/>
        <v>2.2725428130833527E-2</v>
      </c>
      <c r="O78" s="2255">
        <f t="shared" si="278"/>
        <v>1.7012227538543329E-2</v>
      </c>
      <c r="P78" s="2255">
        <f t="shared" si="279"/>
        <v>3.6925814703592477E-2</v>
      </c>
      <c r="Q78" s="2255">
        <f t="shared" si="279"/>
        <v>2.8846153846153744E-2</v>
      </c>
      <c r="R78" s="2196"/>
      <c r="S78" s="2195"/>
      <c r="T78" s="2180"/>
      <c r="U78" s="2180"/>
      <c r="V78" s="2180"/>
      <c r="X78" s="2256"/>
      <c r="Y78" s="2256"/>
      <c r="Z78" s="2256"/>
    </row>
    <row r="79" spans="1:26">
      <c r="A79" s="2192" t="s">
        <v>503</v>
      </c>
      <c r="B79" s="2193">
        <f t="shared" si="280"/>
        <v>116.99099099099099</v>
      </c>
      <c r="C79" s="2193">
        <f t="shared" si="280"/>
        <v>118.84848484848486</v>
      </c>
      <c r="D79" s="2193">
        <f t="shared" si="246"/>
        <v>118.84848484848486</v>
      </c>
      <c r="E79" s="2193">
        <f t="shared" si="281"/>
        <v>117.60960960960961</v>
      </c>
      <c r="F79" s="2193">
        <f t="shared" si="281"/>
        <v>104</v>
      </c>
      <c r="G79" s="3848">
        <v>2004</v>
      </c>
      <c r="H79" s="2205">
        <v>2</v>
      </c>
      <c r="I79" s="2205">
        <v>1</v>
      </c>
      <c r="J79" s="2205">
        <v>1.5</v>
      </c>
      <c r="K79" s="2205">
        <v>1.5</v>
      </c>
      <c r="L79" s="2206">
        <v>0</v>
      </c>
      <c r="N79" s="2254">
        <f t="shared" si="278"/>
        <v>4.0581121662202721E-2</v>
      </c>
      <c r="O79" s="2255">
        <f t="shared" si="278"/>
        <v>3.1897926634768738E-2</v>
      </c>
      <c r="P79" s="2255">
        <f t="shared" si="279"/>
        <v>6.6733400066733395E-2</v>
      </c>
      <c r="Q79" s="2255">
        <f t="shared" si="279"/>
        <v>0</v>
      </c>
      <c r="R79" s="2196"/>
      <c r="S79" s="2195"/>
      <c r="T79" s="2180"/>
      <c r="U79" s="2180"/>
      <c r="V79" s="2180"/>
      <c r="X79" s="2256"/>
      <c r="Y79" s="2256"/>
      <c r="Z79" s="2256"/>
    </row>
    <row r="80" spans="1:26" s="2248" customFormat="1" ht="13.5" thickBot="1">
      <c r="A80" s="2192" t="s">
        <v>504</v>
      </c>
      <c r="B80" s="2245">
        <f t="shared" si="280"/>
        <v>112.48648648648648</v>
      </c>
      <c r="C80" s="2245">
        <f t="shared" si="280"/>
        <v>115.21212121212122</v>
      </c>
      <c r="D80" s="2245">
        <f t="shared" si="246"/>
        <v>115.21212121212122</v>
      </c>
      <c r="E80" s="2245">
        <f t="shared" si="281"/>
        <v>110.4024024024024</v>
      </c>
      <c r="F80" s="2245">
        <f t="shared" si="281"/>
        <v>104</v>
      </c>
      <c r="G80" s="3849">
        <v>2004</v>
      </c>
      <c r="H80" s="2246">
        <v>1</v>
      </c>
      <c r="I80" s="2246">
        <v>0.33</v>
      </c>
      <c r="J80" s="2246">
        <v>0.5</v>
      </c>
      <c r="K80" s="2246">
        <v>0.5</v>
      </c>
      <c r="L80" s="2247">
        <v>0</v>
      </c>
      <c r="N80" s="2259">
        <f t="shared" si="278"/>
        <v>1.3391770148526898E-2</v>
      </c>
      <c r="O80" s="2260">
        <f t="shared" si="278"/>
        <v>1.063264221158958E-2</v>
      </c>
      <c r="P80" s="2260">
        <f t="shared" si="279"/>
        <v>2.2244466688911134E-2</v>
      </c>
      <c r="Q80" s="2260">
        <f t="shared" si="279"/>
        <v>0</v>
      </c>
      <c r="R80" s="2251"/>
      <c r="S80" s="2249">
        <f>B80/B81-1</f>
        <v>1.3391770148526883E-2</v>
      </c>
      <c r="T80" s="2250">
        <f>C80/C81-1</f>
        <v>1.063264221158966E-2</v>
      </c>
      <c r="U80" s="2250">
        <f>E80/E81-1</f>
        <v>2.2244466688911224E-2</v>
      </c>
      <c r="V80" s="2250">
        <f>F80/F81-1</f>
        <v>0</v>
      </c>
      <c r="X80" s="2261"/>
      <c r="Y80" s="2261"/>
      <c r="Z80" s="2261"/>
    </row>
    <row r="81" spans="1:26" ht="13.5" thickBot="1">
      <c r="A81" s="2192" t="s">
        <v>505</v>
      </c>
      <c r="B81" s="2262">
        <v>111</v>
      </c>
      <c r="C81" s="2262">
        <v>114</v>
      </c>
      <c r="D81" s="2262">
        <f t="shared" si="246"/>
        <v>114</v>
      </c>
      <c r="E81" s="2262">
        <v>108</v>
      </c>
      <c r="F81" s="2263">
        <v>104</v>
      </c>
      <c r="G81" s="3847">
        <v>2003</v>
      </c>
      <c r="H81" s="2252">
        <v>4</v>
      </c>
      <c r="I81" s="2264"/>
      <c r="J81" s="2264"/>
      <c r="K81" s="2264"/>
      <c r="L81" s="2264"/>
      <c r="N81" s="2265"/>
      <c r="O81" s="2264"/>
      <c r="P81" s="2264"/>
      <c r="Q81" s="2264"/>
      <c r="S81" s="2265"/>
      <c r="T81" s="2264"/>
      <c r="U81" s="2264"/>
      <c r="V81" s="2264"/>
      <c r="X81" s="2256"/>
      <c r="Y81" s="2256"/>
      <c r="Z81" s="2256"/>
    </row>
    <row r="82" spans="1:26">
      <c r="A82" s="2192" t="s">
        <v>506</v>
      </c>
      <c r="B82" s="2266">
        <f t="shared" ref="B82:C84" si="282">B83+(B$81-B$85)/4</f>
        <v>109.75</v>
      </c>
      <c r="C82" s="2266">
        <f t="shared" si="282"/>
        <v>112.25</v>
      </c>
      <c r="D82" s="2266">
        <f t="shared" si="246"/>
        <v>112.25</v>
      </c>
      <c r="E82" s="2266">
        <f t="shared" ref="E82:F84" si="283">E83+(E$81-E$85)/4</f>
        <v>107.25</v>
      </c>
      <c r="F82" s="2266">
        <f t="shared" si="283"/>
        <v>103.5</v>
      </c>
      <c r="G82" s="3848">
        <v>2003</v>
      </c>
      <c r="H82" s="2218">
        <v>3</v>
      </c>
      <c r="I82" s="2264"/>
      <c r="J82" s="2264"/>
      <c r="K82" s="2264"/>
      <c r="L82" s="2264"/>
      <c r="X82" s="2256"/>
      <c r="Y82" s="2256"/>
      <c r="Z82" s="2256"/>
    </row>
    <row r="83" spans="1:26">
      <c r="A83" s="2192" t="s">
        <v>507</v>
      </c>
      <c r="B83" s="2266">
        <f t="shared" si="282"/>
        <v>108.5</v>
      </c>
      <c r="C83" s="2266">
        <f t="shared" si="282"/>
        <v>110.5</v>
      </c>
      <c r="D83" s="2266">
        <f t="shared" si="246"/>
        <v>110.5</v>
      </c>
      <c r="E83" s="2266">
        <f t="shared" si="283"/>
        <v>106.5</v>
      </c>
      <c r="F83" s="2266">
        <f t="shared" si="283"/>
        <v>103</v>
      </c>
      <c r="G83" s="3848">
        <v>2003</v>
      </c>
      <c r="H83" s="2205">
        <v>2</v>
      </c>
      <c r="I83" s="2264"/>
      <c r="J83" s="2264"/>
      <c r="K83" s="2264"/>
      <c r="L83" s="2264"/>
      <c r="X83" s="2256"/>
      <c r="Y83" s="2256"/>
      <c r="Z83" s="2256"/>
    </row>
    <row r="84" spans="1:26" ht="13.5" thickBot="1">
      <c r="A84" s="2192" t="s">
        <v>508</v>
      </c>
      <c r="B84" s="2266">
        <f t="shared" si="282"/>
        <v>107.25</v>
      </c>
      <c r="C84" s="2266">
        <f t="shared" si="282"/>
        <v>108.75</v>
      </c>
      <c r="D84" s="2266">
        <f t="shared" si="246"/>
        <v>108.75</v>
      </c>
      <c r="E84" s="2266">
        <f t="shared" si="283"/>
        <v>105.75</v>
      </c>
      <c r="F84" s="2266">
        <f t="shared" si="283"/>
        <v>102.5</v>
      </c>
      <c r="G84" s="3849">
        <v>2003</v>
      </c>
      <c r="H84" s="2267">
        <v>1</v>
      </c>
      <c r="I84" s="2264"/>
      <c r="J84" s="2264"/>
      <c r="K84" s="2264"/>
      <c r="L84" s="2264"/>
      <c r="S84" s="2195"/>
      <c r="T84" s="2180"/>
      <c r="U84" s="2180"/>
      <c r="X84" s="2256"/>
      <c r="Y84" s="2256"/>
      <c r="Z84" s="2256"/>
    </row>
    <row r="85" spans="1:26" ht="13.5" thickBot="1">
      <c r="A85" s="2192" t="s">
        <v>509</v>
      </c>
      <c r="B85" s="2268">
        <v>106</v>
      </c>
      <c r="C85" s="2268">
        <v>107</v>
      </c>
      <c r="D85" s="2268">
        <f t="shared" si="246"/>
        <v>107</v>
      </c>
      <c r="E85" s="2268">
        <v>105</v>
      </c>
      <c r="F85" s="2269">
        <v>102</v>
      </c>
      <c r="G85" s="3847">
        <v>2002</v>
      </c>
      <c r="H85" s="2213">
        <v>4</v>
      </c>
      <c r="I85" s="2264"/>
      <c r="J85" s="2264"/>
      <c r="K85" s="2264"/>
      <c r="L85" s="2264"/>
      <c r="N85" s="2265"/>
      <c r="O85" s="2264"/>
      <c r="P85" s="2264"/>
      <c r="Q85" s="2264"/>
      <c r="S85" s="2265"/>
      <c r="T85" s="2264"/>
      <c r="U85" s="2264"/>
      <c r="V85" s="2264"/>
      <c r="X85" s="2256"/>
      <c r="Y85" s="2256"/>
      <c r="Z85" s="2256"/>
    </row>
    <row r="86" spans="1:26">
      <c r="A86" s="2192" t="s">
        <v>510</v>
      </c>
      <c r="B86" s="2266">
        <f t="shared" ref="B86:C88" si="284">B87+(B$85-B$89)/4</f>
        <v>105</v>
      </c>
      <c r="C86" s="2266">
        <f t="shared" si="284"/>
        <v>106</v>
      </c>
      <c r="D86" s="2266">
        <f t="shared" si="246"/>
        <v>106</v>
      </c>
      <c r="E86" s="2266">
        <f t="shared" ref="E86:F88" si="285">E87+(E$85-E$89)/4</f>
        <v>104.5</v>
      </c>
      <c r="F86" s="2266">
        <f t="shared" si="285"/>
        <v>101.5</v>
      </c>
      <c r="G86" s="3848">
        <v>2002</v>
      </c>
      <c r="H86" s="2218">
        <v>3</v>
      </c>
      <c r="I86" s="2264"/>
      <c r="J86" s="2264"/>
      <c r="K86" s="2264"/>
      <c r="L86" s="2264"/>
      <c r="X86" s="2256"/>
      <c r="Y86" s="2256"/>
      <c r="Z86" s="2256"/>
    </row>
    <row r="87" spans="1:26">
      <c r="A87" s="2192" t="s">
        <v>511</v>
      </c>
      <c r="B87" s="2266">
        <f t="shared" si="284"/>
        <v>104</v>
      </c>
      <c r="C87" s="2266">
        <f t="shared" si="284"/>
        <v>105</v>
      </c>
      <c r="D87" s="2266">
        <f t="shared" si="246"/>
        <v>105</v>
      </c>
      <c r="E87" s="2266">
        <f t="shared" si="285"/>
        <v>104</v>
      </c>
      <c r="F87" s="2266">
        <f t="shared" si="285"/>
        <v>101</v>
      </c>
      <c r="G87" s="3848">
        <v>2002</v>
      </c>
      <c r="H87" s="2205">
        <v>2</v>
      </c>
      <c r="I87" s="2264"/>
      <c r="J87" s="2264"/>
      <c r="K87" s="2264"/>
      <c r="L87" s="2264"/>
      <c r="X87" s="2256"/>
      <c r="Y87" s="2256"/>
      <c r="Z87" s="2256"/>
    </row>
    <row r="88" spans="1:26" s="2229" customFormat="1" ht="13.5" thickBot="1">
      <c r="A88" s="2225" t="s">
        <v>512</v>
      </c>
      <c r="B88" s="2232">
        <f t="shared" si="284"/>
        <v>103</v>
      </c>
      <c r="C88" s="2232">
        <f t="shared" si="284"/>
        <v>104</v>
      </c>
      <c r="D88" s="2232">
        <f t="shared" si="246"/>
        <v>104</v>
      </c>
      <c r="E88" s="2232">
        <f t="shared" si="285"/>
        <v>103.5</v>
      </c>
      <c r="F88" s="2232">
        <f t="shared" si="285"/>
        <v>100.5</v>
      </c>
      <c r="G88" s="3849">
        <v>2002</v>
      </c>
      <c r="H88" s="2270">
        <v>1</v>
      </c>
      <c r="I88" s="2271"/>
      <c r="J88" s="2271"/>
      <c r="K88" s="2271"/>
      <c r="L88" s="2271"/>
      <c r="N88" s="2272"/>
      <c r="S88" s="2272"/>
      <c r="X88" s="2273"/>
      <c r="Y88" s="2273"/>
      <c r="Z88" s="2273"/>
    </row>
    <row r="89" spans="1:26" ht="13.5" thickBot="1">
      <c r="B89" s="2274">
        <v>102</v>
      </c>
      <c r="C89" s="2275">
        <v>103</v>
      </c>
      <c r="D89" s="2275">
        <f t="shared" si="246"/>
        <v>103</v>
      </c>
      <c r="E89" s="2275">
        <v>103</v>
      </c>
      <c r="F89" s="2276">
        <v>100</v>
      </c>
      <c r="I89" s="2264"/>
      <c r="J89" s="2264"/>
      <c r="K89" s="2264"/>
      <c r="L89" s="2264"/>
      <c r="N89" s="2265"/>
      <c r="O89" s="2264"/>
      <c r="P89" s="2264"/>
      <c r="Q89" s="2264"/>
      <c r="S89" s="2265"/>
      <c r="T89" s="2264"/>
      <c r="U89" s="2264"/>
      <c r="V89" s="2264"/>
      <c r="X89" s="2210"/>
      <c r="Y89" s="2210"/>
      <c r="Z89" s="2210"/>
    </row>
    <row r="91" spans="1:26" s="2278" customFormat="1">
      <c r="A91" s="2277" t="s">
        <v>513</v>
      </c>
      <c r="G91" s="2279"/>
      <c r="N91" s="2279"/>
      <c r="S91" s="2279"/>
    </row>
    <row r="92" spans="1:26" s="2278" customFormat="1">
      <c r="A92" s="2278" t="s">
        <v>514</v>
      </c>
      <c r="G92" s="2279"/>
      <c r="N92" s="2279"/>
      <c r="S92" s="2279"/>
    </row>
    <row r="93" spans="1:26" s="2278" customFormat="1">
      <c r="A93" s="2278" t="s">
        <v>515</v>
      </c>
      <c r="G93" s="2279"/>
      <c r="I93" s="2280"/>
      <c r="J93" s="2280"/>
      <c r="K93" s="2280"/>
      <c r="L93" s="2280"/>
      <c r="N93" s="2281"/>
      <c r="O93" s="2280"/>
      <c r="P93" s="2280"/>
      <c r="Q93" s="2280"/>
      <c r="S93" s="2281"/>
      <c r="T93" s="2280"/>
      <c r="U93" s="2280"/>
      <c r="V93" s="2280"/>
    </row>
    <row r="94" spans="1:26" s="2278" customFormat="1">
      <c r="A94" s="2278" t="s">
        <v>516</v>
      </c>
      <c r="G94" s="2279"/>
      <c r="N94" s="2279"/>
      <c r="S94" s="2279"/>
    </row>
    <row r="101" spans="7:22" ht="13.5" thickBot="1"/>
    <row r="102" spans="7:22">
      <c r="G102" s="2179"/>
      <c r="S102" s="2282" t="s">
        <v>517</v>
      </c>
      <c r="T102" s="2283" t="s">
        <v>518</v>
      </c>
      <c r="U102" s="2283" t="s">
        <v>519</v>
      </c>
      <c r="V102" s="2283" t="s">
        <v>520</v>
      </c>
    </row>
    <row r="103" spans="7:22">
      <c r="G103" s="2179"/>
      <c r="N103" s="2209"/>
      <c r="O103" s="2210"/>
      <c r="P103" s="2210"/>
      <c r="Q103" s="2210"/>
      <c r="S103" s="2284">
        <v>2006</v>
      </c>
      <c r="T103" s="2285">
        <v>15.1</v>
      </c>
      <c r="U103" s="2285">
        <v>7.43</v>
      </c>
      <c r="V103" s="2285">
        <v>26.26</v>
      </c>
    </row>
    <row r="104" spans="7:22">
      <c r="G104" s="2179"/>
      <c r="N104" s="2209"/>
      <c r="O104" s="2210"/>
      <c r="P104" s="2210"/>
      <c r="Q104" s="2210"/>
      <c r="S104" s="2286">
        <v>2005</v>
      </c>
      <c r="T104" s="2287">
        <v>13.9</v>
      </c>
      <c r="U104" s="2287">
        <v>7.49</v>
      </c>
      <c r="V104" s="2287">
        <v>24.92</v>
      </c>
    </row>
    <row r="105" spans="7:22">
      <c r="G105" s="2179"/>
      <c r="N105" s="2209"/>
      <c r="O105" s="2210"/>
      <c r="P105" s="2210"/>
      <c r="Q105" s="2210"/>
      <c r="S105" s="2284">
        <v>2004</v>
      </c>
      <c r="T105" s="2285">
        <v>9.48</v>
      </c>
      <c r="U105" s="2285">
        <v>7.2</v>
      </c>
      <c r="V105" s="2285">
        <v>14.68</v>
      </c>
    </row>
    <row r="106" spans="7:22">
      <c r="G106" s="2179"/>
      <c r="N106" s="2209"/>
      <c r="O106" s="2210"/>
      <c r="P106" s="2210"/>
      <c r="Q106" s="2210"/>
      <c r="S106" s="2286">
        <v>2003</v>
      </c>
      <c r="T106" s="2287">
        <v>4.5</v>
      </c>
      <c r="U106" s="2287">
        <v>6.12</v>
      </c>
      <c r="V106" s="2287">
        <v>2.34</v>
      </c>
    </row>
    <row r="107" spans="7:22" ht="13.5" thickBot="1">
      <c r="G107" s="2179"/>
      <c r="N107" s="2209"/>
      <c r="O107" s="2210"/>
      <c r="P107" s="2210"/>
      <c r="Q107" s="2210"/>
      <c r="S107" s="2288">
        <v>2002</v>
      </c>
      <c r="T107" s="2289">
        <v>3.59</v>
      </c>
      <c r="U107" s="2289">
        <v>4.54</v>
      </c>
      <c r="V107" s="2289">
        <v>2.5499999999999998</v>
      </c>
    </row>
    <row r="108" spans="7:22">
      <c r="G108" s="2179"/>
      <c r="N108" s="2209"/>
      <c r="O108" s="2210"/>
      <c r="P108" s="2210"/>
      <c r="Q108" s="2210"/>
    </row>
    <row r="109" spans="7:22">
      <c r="G109" s="2179"/>
      <c r="N109" s="2209"/>
      <c r="O109" s="2210"/>
      <c r="P109" s="2210"/>
      <c r="Q109" s="2210"/>
    </row>
    <row r="110" spans="7:22">
      <c r="G110" s="2179"/>
      <c r="N110" s="2209"/>
      <c r="O110" s="2210"/>
      <c r="P110" s="2210"/>
      <c r="Q110" s="2210"/>
    </row>
    <row r="111" spans="7:22">
      <c r="G111" s="2179"/>
      <c r="N111" s="2209"/>
      <c r="O111" s="2210"/>
      <c r="P111" s="2210"/>
      <c r="Q111" s="2210"/>
    </row>
    <row r="112" spans="7:22">
      <c r="G112" s="2179"/>
      <c r="N112" s="2209"/>
      <c r="O112" s="2210"/>
      <c r="P112" s="2210"/>
      <c r="Q112" s="2210"/>
    </row>
    <row r="113" spans="7:19">
      <c r="G113" s="2179"/>
      <c r="N113" s="2209"/>
      <c r="O113" s="2210"/>
      <c r="P113" s="2210"/>
      <c r="Q113" s="2210"/>
    </row>
    <row r="114" spans="7:19">
      <c r="G114" s="2179"/>
      <c r="N114" s="2209"/>
      <c r="O114" s="2210"/>
      <c r="P114" s="2210"/>
      <c r="Q114" s="2210"/>
    </row>
    <row r="115" spans="7:19">
      <c r="G115" s="2179"/>
      <c r="N115" s="2209"/>
      <c r="O115" s="2210"/>
      <c r="P115" s="2210"/>
      <c r="Q115" s="2210"/>
    </row>
    <row r="116" spans="7:19">
      <c r="G116" s="2179"/>
      <c r="N116" s="2209"/>
      <c r="O116" s="2210"/>
      <c r="P116" s="2210"/>
      <c r="Q116" s="2210"/>
    </row>
    <row r="117" spans="7:19">
      <c r="G117" s="2179"/>
      <c r="N117" s="2209"/>
      <c r="O117" s="2210"/>
      <c r="P117" s="2210"/>
      <c r="Q117" s="2210"/>
    </row>
    <row r="118" spans="7:19">
      <c r="G118" s="2179"/>
      <c r="N118" s="2209"/>
      <c r="O118" s="2210"/>
      <c r="P118" s="2210"/>
      <c r="Q118" s="2210"/>
      <c r="S118" s="2179"/>
    </row>
    <row r="119" spans="7:19">
      <c r="G119" s="2179"/>
      <c r="N119" s="2209"/>
      <c r="O119" s="2210"/>
      <c r="P119" s="2210"/>
      <c r="Q119" s="2210"/>
      <c r="S119" s="2179"/>
    </row>
    <row r="120" spans="7:19">
      <c r="G120" s="2179"/>
      <c r="N120" s="2209"/>
      <c r="O120" s="2210"/>
      <c r="P120" s="2210"/>
      <c r="Q120" s="2210"/>
      <c r="S120" s="2179"/>
    </row>
    <row r="121" spans="7:19">
      <c r="G121" s="2179"/>
      <c r="N121" s="2209"/>
      <c r="O121" s="2210"/>
      <c r="P121" s="2210"/>
      <c r="Q121" s="2210"/>
      <c r="S121" s="2179"/>
    </row>
    <row r="122" spans="7:19">
      <c r="G122" s="2179"/>
      <c r="N122" s="2209"/>
      <c r="O122" s="2210"/>
      <c r="P122" s="2210"/>
      <c r="Q122" s="2210"/>
      <c r="S122" s="2179"/>
    </row>
    <row r="123" spans="7:19">
      <c r="G123" s="2179"/>
      <c r="N123" s="2209"/>
      <c r="O123" s="2210"/>
      <c r="P123" s="2210"/>
      <c r="Q123" s="2210"/>
      <c r="S123" s="217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9" customWidth="1"/>
    <col min="2" max="2" width="13.25" style="1235" customWidth="1"/>
    <col min="3" max="3" width="15.625" style="1235" customWidth="1"/>
    <col min="4" max="4" width="9.375" style="1235" bestFit="1" customWidth="1"/>
    <col min="5" max="5" width="13.5" style="1235" customWidth="1"/>
    <col min="6" max="6" width="9" style="1235"/>
    <col min="7" max="7" width="9.375" style="1235" bestFit="1" customWidth="1"/>
    <col min="8" max="8" width="12.25" style="1235" customWidth="1"/>
    <col min="9" max="9" width="9" style="1235"/>
    <col min="10" max="10" width="9.375" style="1235" bestFit="1" customWidth="1"/>
    <col min="11" max="11" width="4" style="1229" customWidth="1"/>
    <col min="12" max="12" width="5.125" style="1235" customWidth="1"/>
    <col min="13" max="13" width="13.75" style="1235" customWidth="1"/>
    <col min="14" max="256" width="9" style="1235"/>
    <col min="257" max="257" width="4.875" style="1226" customWidth="1"/>
    <col min="258" max="258" width="13.25" style="1226" customWidth="1"/>
    <col min="259" max="259" width="15.625" style="1226" customWidth="1"/>
    <col min="260" max="260" width="9.375" style="1226" bestFit="1" customWidth="1"/>
    <col min="261" max="261" width="13.5" style="1226" customWidth="1"/>
    <col min="262" max="262" width="9" style="1226"/>
    <col min="263" max="263" width="9.375" style="1226" bestFit="1" customWidth="1"/>
    <col min="264" max="265" width="9" style="1226"/>
    <col min="266" max="266" width="9.375" style="1226" bestFit="1" customWidth="1"/>
    <col min="267" max="267" width="4" style="1226" customWidth="1"/>
    <col min="268" max="268" width="5.125" style="1226" customWidth="1"/>
    <col min="269" max="269" width="13.75" style="1226" customWidth="1"/>
    <col min="270" max="512" width="9" style="1226"/>
    <col min="513" max="513" width="4.875" style="1226" customWidth="1"/>
    <col min="514" max="514" width="13.25" style="1226" customWidth="1"/>
    <col min="515" max="515" width="15.625" style="1226" customWidth="1"/>
    <col min="516" max="516" width="9.375" style="1226" bestFit="1" customWidth="1"/>
    <col min="517" max="517" width="13.5" style="1226" customWidth="1"/>
    <col min="518" max="518" width="9" style="1226"/>
    <col min="519" max="519" width="9.375" style="1226" bestFit="1" customWidth="1"/>
    <col min="520" max="521" width="9" style="1226"/>
    <col min="522" max="522" width="9.375" style="1226" bestFit="1" customWidth="1"/>
    <col min="523" max="523" width="4" style="1226" customWidth="1"/>
    <col min="524" max="524" width="5.125" style="1226" customWidth="1"/>
    <col min="525" max="525" width="13.75" style="1226" customWidth="1"/>
    <col min="526" max="768" width="9" style="1226"/>
    <col min="769" max="769" width="4.875" style="1226" customWidth="1"/>
    <col min="770" max="770" width="13.25" style="1226" customWidth="1"/>
    <col min="771" max="771" width="15.625" style="1226" customWidth="1"/>
    <col min="772" max="772" width="9.375" style="1226" bestFit="1" customWidth="1"/>
    <col min="773" max="773" width="13.5" style="1226" customWidth="1"/>
    <col min="774" max="774" width="9" style="1226"/>
    <col min="775" max="775" width="9.375" style="1226" bestFit="1" customWidth="1"/>
    <col min="776" max="777" width="9" style="1226"/>
    <col min="778" max="778" width="9.375" style="1226" bestFit="1" customWidth="1"/>
    <col min="779" max="779" width="4" style="1226" customWidth="1"/>
    <col min="780" max="780" width="5.125" style="1226" customWidth="1"/>
    <col min="781" max="781" width="13.75" style="1226" customWidth="1"/>
    <col min="782" max="1024" width="9" style="1226"/>
    <col min="1025" max="1025" width="4.875" style="1226" customWidth="1"/>
    <col min="1026" max="1026" width="13.25" style="1226" customWidth="1"/>
    <col min="1027" max="1027" width="15.625" style="1226" customWidth="1"/>
    <col min="1028" max="1028" width="9.375" style="1226" bestFit="1" customWidth="1"/>
    <col min="1029" max="1029" width="13.5" style="1226" customWidth="1"/>
    <col min="1030" max="1030" width="9" style="1226"/>
    <col min="1031" max="1031" width="9.375" style="1226" bestFit="1" customWidth="1"/>
    <col min="1032" max="1033" width="9" style="1226"/>
    <col min="1034" max="1034" width="9.375" style="1226" bestFit="1" customWidth="1"/>
    <col min="1035" max="1035" width="4" style="1226" customWidth="1"/>
    <col min="1036" max="1036" width="5.125" style="1226" customWidth="1"/>
    <col min="1037" max="1037" width="13.75" style="1226" customWidth="1"/>
    <col min="1038" max="1280" width="9" style="1226"/>
    <col min="1281" max="1281" width="4.875" style="1226" customWidth="1"/>
    <col min="1282" max="1282" width="13.25" style="1226" customWidth="1"/>
    <col min="1283" max="1283" width="15.625" style="1226" customWidth="1"/>
    <col min="1284" max="1284" width="9.375" style="1226" bestFit="1" customWidth="1"/>
    <col min="1285" max="1285" width="13.5" style="1226" customWidth="1"/>
    <col min="1286" max="1286" width="9" style="1226"/>
    <col min="1287" max="1287" width="9.375" style="1226" bestFit="1" customWidth="1"/>
    <col min="1288" max="1289" width="9" style="1226"/>
    <col min="1290" max="1290" width="9.375" style="1226" bestFit="1" customWidth="1"/>
    <col min="1291" max="1291" width="4" style="1226" customWidth="1"/>
    <col min="1292" max="1292" width="5.125" style="1226" customWidth="1"/>
    <col min="1293" max="1293" width="13.75" style="1226" customWidth="1"/>
    <col min="1294" max="1536" width="9" style="1226"/>
    <col min="1537" max="1537" width="4.875" style="1226" customWidth="1"/>
    <col min="1538" max="1538" width="13.25" style="1226" customWidth="1"/>
    <col min="1539" max="1539" width="15.625" style="1226" customWidth="1"/>
    <col min="1540" max="1540" width="9.375" style="1226" bestFit="1" customWidth="1"/>
    <col min="1541" max="1541" width="13.5" style="1226" customWidth="1"/>
    <col min="1542" max="1542" width="9" style="1226"/>
    <col min="1543" max="1543" width="9.375" style="1226" bestFit="1" customWidth="1"/>
    <col min="1544" max="1545" width="9" style="1226"/>
    <col min="1546" max="1546" width="9.375" style="1226" bestFit="1" customWidth="1"/>
    <col min="1547" max="1547" width="4" style="1226" customWidth="1"/>
    <col min="1548" max="1548" width="5.125" style="1226" customWidth="1"/>
    <col min="1549" max="1549" width="13.75" style="1226" customWidth="1"/>
    <col min="1550" max="1792" width="9" style="1226"/>
    <col min="1793" max="1793" width="4.875" style="1226" customWidth="1"/>
    <col min="1794" max="1794" width="13.25" style="1226" customWidth="1"/>
    <col min="1795" max="1795" width="15.625" style="1226" customWidth="1"/>
    <col min="1796" max="1796" width="9.375" style="1226" bestFit="1" customWidth="1"/>
    <col min="1797" max="1797" width="13.5" style="1226" customWidth="1"/>
    <col min="1798" max="1798" width="9" style="1226"/>
    <col min="1799" max="1799" width="9.375" style="1226" bestFit="1" customWidth="1"/>
    <col min="1800" max="1801" width="9" style="1226"/>
    <col min="1802" max="1802" width="9.375" style="1226" bestFit="1" customWidth="1"/>
    <col min="1803" max="1803" width="4" style="1226" customWidth="1"/>
    <col min="1804" max="1804" width="5.125" style="1226" customWidth="1"/>
    <col min="1805" max="1805" width="13.75" style="1226" customWidth="1"/>
    <col min="1806" max="2048" width="9" style="1226"/>
    <col min="2049" max="2049" width="4.875" style="1226" customWidth="1"/>
    <col min="2050" max="2050" width="13.25" style="1226" customWidth="1"/>
    <col min="2051" max="2051" width="15.625" style="1226" customWidth="1"/>
    <col min="2052" max="2052" width="9.375" style="1226" bestFit="1" customWidth="1"/>
    <col min="2053" max="2053" width="13.5" style="1226" customWidth="1"/>
    <col min="2054" max="2054" width="9" style="1226"/>
    <col min="2055" max="2055" width="9.375" style="1226" bestFit="1" customWidth="1"/>
    <col min="2056" max="2057" width="9" style="1226"/>
    <col min="2058" max="2058" width="9.375" style="1226" bestFit="1" customWidth="1"/>
    <col min="2059" max="2059" width="4" style="1226" customWidth="1"/>
    <col min="2060" max="2060" width="5.125" style="1226" customWidth="1"/>
    <col min="2061" max="2061" width="13.75" style="1226" customWidth="1"/>
    <col min="2062" max="2304" width="9" style="1226"/>
    <col min="2305" max="2305" width="4.875" style="1226" customWidth="1"/>
    <col min="2306" max="2306" width="13.25" style="1226" customWidth="1"/>
    <col min="2307" max="2307" width="15.625" style="1226" customWidth="1"/>
    <col min="2308" max="2308" width="9.375" style="1226" bestFit="1" customWidth="1"/>
    <col min="2309" max="2309" width="13.5" style="1226" customWidth="1"/>
    <col min="2310" max="2310" width="9" style="1226"/>
    <col min="2311" max="2311" width="9.375" style="1226" bestFit="1" customWidth="1"/>
    <col min="2312" max="2313" width="9" style="1226"/>
    <col min="2314" max="2314" width="9.375" style="1226" bestFit="1" customWidth="1"/>
    <col min="2315" max="2315" width="4" style="1226" customWidth="1"/>
    <col min="2316" max="2316" width="5.125" style="1226" customWidth="1"/>
    <col min="2317" max="2317" width="13.75" style="1226" customWidth="1"/>
    <col min="2318" max="2560" width="9" style="1226"/>
    <col min="2561" max="2561" width="4.875" style="1226" customWidth="1"/>
    <col min="2562" max="2562" width="13.25" style="1226" customWidth="1"/>
    <col min="2563" max="2563" width="15.625" style="1226" customWidth="1"/>
    <col min="2564" max="2564" width="9.375" style="1226" bestFit="1" customWidth="1"/>
    <col min="2565" max="2565" width="13.5" style="1226" customWidth="1"/>
    <col min="2566" max="2566" width="9" style="1226"/>
    <col min="2567" max="2567" width="9.375" style="1226" bestFit="1" customWidth="1"/>
    <col min="2568" max="2569" width="9" style="1226"/>
    <col min="2570" max="2570" width="9.375" style="1226" bestFit="1" customWidth="1"/>
    <col min="2571" max="2571" width="4" style="1226" customWidth="1"/>
    <col min="2572" max="2572" width="5.125" style="1226" customWidth="1"/>
    <col min="2573" max="2573" width="13.75" style="1226" customWidth="1"/>
    <col min="2574" max="2816" width="9" style="1226"/>
    <col min="2817" max="2817" width="4.875" style="1226" customWidth="1"/>
    <col min="2818" max="2818" width="13.25" style="1226" customWidth="1"/>
    <col min="2819" max="2819" width="15.625" style="1226" customWidth="1"/>
    <col min="2820" max="2820" width="9.375" style="1226" bestFit="1" customWidth="1"/>
    <col min="2821" max="2821" width="13.5" style="1226" customWidth="1"/>
    <col min="2822" max="2822" width="9" style="1226"/>
    <col min="2823" max="2823" width="9.375" style="1226" bestFit="1" customWidth="1"/>
    <col min="2824" max="2825" width="9" style="1226"/>
    <col min="2826" max="2826" width="9.375" style="1226" bestFit="1" customWidth="1"/>
    <col min="2827" max="2827" width="4" style="1226" customWidth="1"/>
    <col min="2828" max="2828" width="5.125" style="1226" customWidth="1"/>
    <col min="2829" max="2829" width="13.75" style="1226" customWidth="1"/>
    <col min="2830" max="3072" width="9" style="1226"/>
    <col min="3073" max="3073" width="4.875" style="1226" customWidth="1"/>
    <col min="3074" max="3074" width="13.25" style="1226" customWidth="1"/>
    <col min="3075" max="3075" width="15.625" style="1226" customWidth="1"/>
    <col min="3076" max="3076" width="9.375" style="1226" bestFit="1" customWidth="1"/>
    <col min="3077" max="3077" width="13.5" style="1226" customWidth="1"/>
    <col min="3078" max="3078" width="9" style="1226"/>
    <col min="3079" max="3079" width="9.375" style="1226" bestFit="1" customWidth="1"/>
    <col min="3080" max="3081" width="9" style="1226"/>
    <col min="3082" max="3082" width="9.375" style="1226" bestFit="1" customWidth="1"/>
    <col min="3083" max="3083" width="4" style="1226" customWidth="1"/>
    <col min="3084" max="3084" width="5.125" style="1226" customWidth="1"/>
    <col min="3085" max="3085" width="13.75" style="1226" customWidth="1"/>
    <col min="3086" max="3328" width="9" style="1226"/>
    <col min="3329" max="3329" width="4.875" style="1226" customWidth="1"/>
    <col min="3330" max="3330" width="13.25" style="1226" customWidth="1"/>
    <col min="3331" max="3331" width="15.625" style="1226" customWidth="1"/>
    <col min="3332" max="3332" width="9.375" style="1226" bestFit="1" customWidth="1"/>
    <col min="3333" max="3333" width="13.5" style="1226" customWidth="1"/>
    <col min="3334" max="3334" width="9" style="1226"/>
    <col min="3335" max="3335" width="9.375" style="1226" bestFit="1" customWidth="1"/>
    <col min="3336" max="3337" width="9" style="1226"/>
    <col min="3338" max="3338" width="9.375" style="1226" bestFit="1" customWidth="1"/>
    <col min="3339" max="3339" width="4" style="1226" customWidth="1"/>
    <col min="3340" max="3340" width="5.125" style="1226" customWidth="1"/>
    <col min="3341" max="3341" width="13.75" style="1226" customWidth="1"/>
    <col min="3342" max="3584" width="9" style="1226"/>
    <col min="3585" max="3585" width="4.875" style="1226" customWidth="1"/>
    <col min="3586" max="3586" width="13.25" style="1226" customWidth="1"/>
    <col min="3587" max="3587" width="15.625" style="1226" customWidth="1"/>
    <col min="3588" max="3588" width="9.375" style="1226" bestFit="1" customWidth="1"/>
    <col min="3589" max="3589" width="13.5" style="1226" customWidth="1"/>
    <col min="3590" max="3590" width="9" style="1226"/>
    <col min="3591" max="3591" width="9.375" style="1226" bestFit="1" customWidth="1"/>
    <col min="3592" max="3593" width="9" style="1226"/>
    <col min="3594" max="3594" width="9.375" style="1226" bestFit="1" customWidth="1"/>
    <col min="3595" max="3595" width="4" style="1226" customWidth="1"/>
    <col min="3596" max="3596" width="5.125" style="1226" customWidth="1"/>
    <col min="3597" max="3597" width="13.75" style="1226" customWidth="1"/>
    <col min="3598" max="3840" width="9" style="1226"/>
    <col min="3841" max="3841" width="4.875" style="1226" customWidth="1"/>
    <col min="3842" max="3842" width="13.25" style="1226" customWidth="1"/>
    <col min="3843" max="3843" width="15.625" style="1226" customWidth="1"/>
    <col min="3844" max="3844" width="9.375" style="1226" bestFit="1" customWidth="1"/>
    <col min="3845" max="3845" width="13.5" style="1226" customWidth="1"/>
    <col min="3846" max="3846" width="9" style="1226"/>
    <col min="3847" max="3847" width="9.375" style="1226" bestFit="1" customWidth="1"/>
    <col min="3848" max="3849" width="9" style="1226"/>
    <col min="3850" max="3850" width="9.375" style="1226" bestFit="1" customWidth="1"/>
    <col min="3851" max="3851" width="4" style="1226" customWidth="1"/>
    <col min="3852" max="3852" width="5.125" style="1226" customWidth="1"/>
    <col min="3853" max="3853" width="13.75" style="1226" customWidth="1"/>
    <col min="3854" max="4096" width="9" style="1226"/>
    <col min="4097" max="4097" width="4.875" style="1226" customWidth="1"/>
    <col min="4098" max="4098" width="13.25" style="1226" customWidth="1"/>
    <col min="4099" max="4099" width="15.625" style="1226" customWidth="1"/>
    <col min="4100" max="4100" width="9.375" style="1226" bestFit="1" customWidth="1"/>
    <col min="4101" max="4101" width="13.5" style="1226" customWidth="1"/>
    <col min="4102" max="4102" width="9" style="1226"/>
    <col min="4103" max="4103" width="9.375" style="1226" bestFit="1" customWidth="1"/>
    <col min="4104" max="4105" width="9" style="1226"/>
    <col min="4106" max="4106" width="9.375" style="1226" bestFit="1" customWidth="1"/>
    <col min="4107" max="4107" width="4" style="1226" customWidth="1"/>
    <col min="4108" max="4108" width="5.125" style="1226" customWidth="1"/>
    <col min="4109" max="4109" width="13.75" style="1226" customWidth="1"/>
    <col min="4110" max="4352" width="9" style="1226"/>
    <col min="4353" max="4353" width="4.875" style="1226" customWidth="1"/>
    <col min="4354" max="4354" width="13.25" style="1226" customWidth="1"/>
    <col min="4355" max="4355" width="15.625" style="1226" customWidth="1"/>
    <col min="4356" max="4356" width="9.375" style="1226" bestFit="1" customWidth="1"/>
    <col min="4357" max="4357" width="13.5" style="1226" customWidth="1"/>
    <col min="4358" max="4358" width="9" style="1226"/>
    <col min="4359" max="4359" width="9.375" style="1226" bestFit="1" customWidth="1"/>
    <col min="4360" max="4361" width="9" style="1226"/>
    <col min="4362" max="4362" width="9.375" style="1226" bestFit="1" customWidth="1"/>
    <col min="4363" max="4363" width="4" style="1226" customWidth="1"/>
    <col min="4364" max="4364" width="5.125" style="1226" customWidth="1"/>
    <col min="4365" max="4365" width="13.75" style="1226" customWidth="1"/>
    <col min="4366" max="4608" width="9" style="1226"/>
    <col min="4609" max="4609" width="4.875" style="1226" customWidth="1"/>
    <col min="4610" max="4610" width="13.25" style="1226" customWidth="1"/>
    <col min="4611" max="4611" width="15.625" style="1226" customWidth="1"/>
    <col min="4612" max="4612" width="9.375" style="1226" bestFit="1" customWidth="1"/>
    <col min="4613" max="4613" width="13.5" style="1226" customWidth="1"/>
    <col min="4614" max="4614" width="9" style="1226"/>
    <col min="4615" max="4615" width="9.375" style="1226" bestFit="1" customWidth="1"/>
    <col min="4616" max="4617" width="9" style="1226"/>
    <col min="4618" max="4618" width="9.375" style="1226" bestFit="1" customWidth="1"/>
    <col min="4619" max="4619" width="4" style="1226" customWidth="1"/>
    <col min="4620" max="4620" width="5.125" style="1226" customWidth="1"/>
    <col min="4621" max="4621" width="13.75" style="1226" customWidth="1"/>
    <col min="4622" max="4864" width="9" style="1226"/>
    <col min="4865" max="4865" width="4.875" style="1226" customWidth="1"/>
    <col min="4866" max="4866" width="13.25" style="1226" customWidth="1"/>
    <col min="4867" max="4867" width="15.625" style="1226" customWidth="1"/>
    <col min="4868" max="4868" width="9.375" style="1226" bestFit="1" customWidth="1"/>
    <col min="4869" max="4869" width="13.5" style="1226" customWidth="1"/>
    <col min="4870" max="4870" width="9" style="1226"/>
    <col min="4871" max="4871" width="9.375" style="1226" bestFit="1" customWidth="1"/>
    <col min="4872" max="4873" width="9" style="1226"/>
    <col min="4874" max="4874" width="9.375" style="1226" bestFit="1" customWidth="1"/>
    <col min="4875" max="4875" width="4" style="1226" customWidth="1"/>
    <col min="4876" max="4876" width="5.125" style="1226" customWidth="1"/>
    <col min="4877" max="4877" width="13.75" style="1226" customWidth="1"/>
    <col min="4878" max="5120" width="9" style="1226"/>
    <col min="5121" max="5121" width="4.875" style="1226" customWidth="1"/>
    <col min="5122" max="5122" width="13.25" style="1226" customWidth="1"/>
    <col min="5123" max="5123" width="15.625" style="1226" customWidth="1"/>
    <col min="5124" max="5124" width="9.375" style="1226" bestFit="1" customWidth="1"/>
    <col min="5125" max="5125" width="13.5" style="1226" customWidth="1"/>
    <col min="5126" max="5126" width="9" style="1226"/>
    <col min="5127" max="5127" width="9.375" style="1226" bestFit="1" customWidth="1"/>
    <col min="5128" max="5129" width="9" style="1226"/>
    <col min="5130" max="5130" width="9.375" style="1226" bestFit="1" customWidth="1"/>
    <col min="5131" max="5131" width="4" style="1226" customWidth="1"/>
    <col min="5132" max="5132" width="5.125" style="1226" customWidth="1"/>
    <col min="5133" max="5133" width="13.75" style="1226" customWidth="1"/>
    <col min="5134" max="5376" width="9" style="1226"/>
    <col min="5377" max="5377" width="4.875" style="1226" customWidth="1"/>
    <col min="5378" max="5378" width="13.25" style="1226" customWidth="1"/>
    <col min="5379" max="5379" width="15.625" style="1226" customWidth="1"/>
    <col min="5380" max="5380" width="9.375" style="1226" bestFit="1" customWidth="1"/>
    <col min="5381" max="5381" width="13.5" style="1226" customWidth="1"/>
    <col min="5382" max="5382" width="9" style="1226"/>
    <col min="5383" max="5383" width="9.375" style="1226" bestFit="1" customWidth="1"/>
    <col min="5384" max="5385" width="9" style="1226"/>
    <col min="5386" max="5386" width="9.375" style="1226" bestFit="1" customWidth="1"/>
    <col min="5387" max="5387" width="4" style="1226" customWidth="1"/>
    <col min="5388" max="5388" width="5.125" style="1226" customWidth="1"/>
    <col min="5389" max="5389" width="13.75" style="1226" customWidth="1"/>
    <col min="5390" max="5632" width="9" style="1226"/>
    <col min="5633" max="5633" width="4.875" style="1226" customWidth="1"/>
    <col min="5634" max="5634" width="13.25" style="1226" customWidth="1"/>
    <col min="5635" max="5635" width="15.625" style="1226" customWidth="1"/>
    <col min="5636" max="5636" width="9.375" style="1226" bestFit="1" customWidth="1"/>
    <col min="5637" max="5637" width="13.5" style="1226" customWidth="1"/>
    <col min="5638" max="5638" width="9" style="1226"/>
    <col min="5639" max="5639" width="9.375" style="1226" bestFit="1" customWidth="1"/>
    <col min="5640" max="5641" width="9" style="1226"/>
    <col min="5642" max="5642" width="9.375" style="1226" bestFit="1" customWidth="1"/>
    <col min="5643" max="5643" width="4" style="1226" customWidth="1"/>
    <col min="5644" max="5644" width="5.125" style="1226" customWidth="1"/>
    <col min="5645" max="5645" width="13.75" style="1226" customWidth="1"/>
    <col min="5646" max="5888" width="9" style="1226"/>
    <col min="5889" max="5889" width="4.875" style="1226" customWidth="1"/>
    <col min="5890" max="5890" width="13.25" style="1226" customWidth="1"/>
    <col min="5891" max="5891" width="15.625" style="1226" customWidth="1"/>
    <col min="5892" max="5892" width="9.375" style="1226" bestFit="1" customWidth="1"/>
    <col min="5893" max="5893" width="13.5" style="1226" customWidth="1"/>
    <col min="5894" max="5894" width="9" style="1226"/>
    <col min="5895" max="5895" width="9.375" style="1226" bestFit="1" customWidth="1"/>
    <col min="5896" max="5897" width="9" style="1226"/>
    <col min="5898" max="5898" width="9.375" style="1226" bestFit="1" customWidth="1"/>
    <col min="5899" max="5899" width="4" style="1226" customWidth="1"/>
    <col min="5900" max="5900" width="5.125" style="1226" customWidth="1"/>
    <col min="5901" max="5901" width="13.75" style="1226" customWidth="1"/>
    <col min="5902" max="6144" width="9" style="1226"/>
    <col min="6145" max="6145" width="4.875" style="1226" customWidth="1"/>
    <col min="6146" max="6146" width="13.25" style="1226" customWidth="1"/>
    <col min="6147" max="6147" width="15.625" style="1226" customWidth="1"/>
    <col min="6148" max="6148" width="9.375" style="1226" bestFit="1" customWidth="1"/>
    <col min="6149" max="6149" width="13.5" style="1226" customWidth="1"/>
    <col min="6150" max="6150" width="9" style="1226"/>
    <col min="6151" max="6151" width="9.375" style="1226" bestFit="1" customWidth="1"/>
    <col min="6152" max="6153" width="9" style="1226"/>
    <col min="6154" max="6154" width="9.375" style="1226" bestFit="1" customWidth="1"/>
    <col min="6155" max="6155" width="4" style="1226" customWidth="1"/>
    <col min="6156" max="6156" width="5.125" style="1226" customWidth="1"/>
    <col min="6157" max="6157" width="13.75" style="1226" customWidth="1"/>
    <col min="6158" max="6400" width="9" style="1226"/>
    <col min="6401" max="6401" width="4.875" style="1226" customWidth="1"/>
    <col min="6402" max="6402" width="13.25" style="1226" customWidth="1"/>
    <col min="6403" max="6403" width="15.625" style="1226" customWidth="1"/>
    <col min="6404" max="6404" width="9.375" style="1226" bestFit="1" customWidth="1"/>
    <col min="6405" max="6405" width="13.5" style="1226" customWidth="1"/>
    <col min="6406" max="6406" width="9" style="1226"/>
    <col min="6407" max="6407" width="9.375" style="1226" bestFit="1" customWidth="1"/>
    <col min="6408" max="6409" width="9" style="1226"/>
    <col min="6410" max="6410" width="9.375" style="1226" bestFit="1" customWidth="1"/>
    <col min="6411" max="6411" width="4" style="1226" customWidth="1"/>
    <col min="6412" max="6412" width="5.125" style="1226" customWidth="1"/>
    <col min="6413" max="6413" width="13.75" style="1226" customWidth="1"/>
    <col min="6414" max="6656" width="9" style="1226"/>
    <col min="6657" max="6657" width="4.875" style="1226" customWidth="1"/>
    <col min="6658" max="6658" width="13.25" style="1226" customWidth="1"/>
    <col min="6659" max="6659" width="15.625" style="1226" customWidth="1"/>
    <col min="6660" max="6660" width="9.375" style="1226" bestFit="1" customWidth="1"/>
    <col min="6661" max="6661" width="13.5" style="1226" customWidth="1"/>
    <col min="6662" max="6662" width="9" style="1226"/>
    <col min="6663" max="6663" width="9.375" style="1226" bestFit="1" customWidth="1"/>
    <col min="6664" max="6665" width="9" style="1226"/>
    <col min="6666" max="6666" width="9.375" style="1226" bestFit="1" customWidth="1"/>
    <col min="6667" max="6667" width="4" style="1226" customWidth="1"/>
    <col min="6668" max="6668" width="5.125" style="1226" customWidth="1"/>
    <col min="6669" max="6669" width="13.75" style="1226" customWidth="1"/>
    <col min="6670" max="6912" width="9" style="1226"/>
    <col min="6913" max="6913" width="4.875" style="1226" customWidth="1"/>
    <col min="6914" max="6914" width="13.25" style="1226" customWidth="1"/>
    <col min="6915" max="6915" width="15.625" style="1226" customWidth="1"/>
    <col min="6916" max="6916" width="9.375" style="1226" bestFit="1" customWidth="1"/>
    <col min="6917" max="6917" width="13.5" style="1226" customWidth="1"/>
    <col min="6918" max="6918" width="9" style="1226"/>
    <col min="6919" max="6919" width="9.375" style="1226" bestFit="1" customWidth="1"/>
    <col min="6920" max="6921" width="9" style="1226"/>
    <col min="6922" max="6922" width="9.375" style="1226" bestFit="1" customWidth="1"/>
    <col min="6923" max="6923" width="4" style="1226" customWidth="1"/>
    <col min="6924" max="6924" width="5.125" style="1226" customWidth="1"/>
    <col min="6925" max="6925" width="13.75" style="1226" customWidth="1"/>
    <col min="6926" max="7168" width="9" style="1226"/>
    <col min="7169" max="7169" width="4.875" style="1226" customWidth="1"/>
    <col min="7170" max="7170" width="13.25" style="1226" customWidth="1"/>
    <col min="7171" max="7171" width="15.625" style="1226" customWidth="1"/>
    <col min="7172" max="7172" width="9.375" style="1226" bestFit="1" customWidth="1"/>
    <col min="7173" max="7173" width="13.5" style="1226" customWidth="1"/>
    <col min="7174" max="7174" width="9" style="1226"/>
    <col min="7175" max="7175" width="9.375" style="1226" bestFit="1" customWidth="1"/>
    <col min="7176" max="7177" width="9" style="1226"/>
    <col min="7178" max="7178" width="9.375" style="1226" bestFit="1" customWidth="1"/>
    <col min="7179" max="7179" width="4" style="1226" customWidth="1"/>
    <col min="7180" max="7180" width="5.125" style="1226" customWidth="1"/>
    <col min="7181" max="7181" width="13.75" style="1226" customWidth="1"/>
    <col min="7182" max="7424" width="9" style="1226"/>
    <col min="7425" max="7425" width="4.875" style="1226" customWidth="1"/>
    <col min="7426" max="7426" width="13.25" style="1226" customWidth="1"/>
    <col min="7427" max="7427" width="15.625" style="1226" customWidth="1"/>
    <col min="7428" max="7428" width="9.375" style="1226" bestFit="1" customWidth="1"/>
    <col min="7429" max="7429" width="13.5" style="1226" customWidth="1"/>
    <col min="7430" max="7430" width="9" style="1226"/>
    <col min="7431" max="7431" width="9.375" style="1226" bestFit="1" customWidth="1"/>
    <col min="7432" max="7433" width="9" style="1226"/>
    <col min="7434" max="7434" width="9.375" style="1226" bestFit="1" customWidth="1"/>
    <col min="7435" max="7435" width="4" style="1226" customWidth="1"/>
    <col min="7436" max="7436" width="5.125" style="1226" customWidth="1"/>
    <col min="7437" max="7437" width="13.75" style="1226" customWidth="1"/>
    <col min="7438" max="7680" width="9" style="1226"/>
    <col min="7681" max="7681" width="4.875" style="1226" customWidth="1"/>
    <col min="7682" max="7682" width="13.25" style="1226" customWidth="1"/>
    <col min="7683" max="7683" width="15.625" style="1226" customWidth="1"/>
    <col min="7684" max="7684" width="9.375" style="1226" bestFit="1" customWidth="1"/>
    <col min="7685" max="7685" width="13.5" style="1226" customWidth="1"/>
    <col min="7686" max="7686" width="9" style="1226"/>
    <col min="7687" max="7687" width="9.375" style="1226" bestFit="1" customWidth="1"/>
    <col min="7688" max="7689" width="9" style="1226"/>
    <col min="7690" max="7690" width="9.375" style="1226" bestFit="1" customWidth="1"/>
    <col min="7691" max="7691" width="4" style="1226" customWidth="1"/>
    <col min="7692" max="7692" width="5.125" style="1226" customWidth="1"/>
    <col min="7693" max="7693" width="13.75" style="1226" customWidth="1"/>
    <col min="7694" max="7936" width="9" style="1226"/>
    <col min="7937" max="7937" width="4.875" style="1226" customWidth="1"/>
    <col min="7938" max="7938" width="13.25" style="1226" customWidth="1"/>
    <col min="7939" max="7939" width="15.625" style="1226" customWidth="1"/>
    <col min="7940" max="7940" width="9.375" style="1226" bestFit="1" customWidth="1"/>
    <col min="7941" max="7941" width="13.5" style="1226" customWidth="1"/>
    <col min="7942" max="7942" width="9" style="1226"/>
    <col min="7943" max="7943" width="9.375" style="1226" bestFit="1" customWidth="1"/>
    <col min="7944" max="7945" width="9" style="1226"/>
    <col min="7946" max="7946" width="9.375" style="1226" bestFit="1" customWidth="1"/>
    <col min="7947" max="7947" width="4" style="1226" customWidth="1"/>
    <col min="7948" max="7948" width="5.125" style="1226" customWidth="1"/>
    <col min="7949" max="7949" width="13.75" style="1226" customWidth="1"/>
    <col min="7950" max="8192" width="9" style="1226"/>
    <col min="8193" max="8193" width="4.875" style="1226" customWidth="1"/>
    <col min="8194" max="8194" width="13.25" style="1226" customWidth="1"/>
    <col min="8195" max="8195" width="15.625" style="1226" customWidth="1"/>
    <col min="8196" max="8196" width="9.375" style="1226" bestFit="1" customWidth="1"/>
    <col min="8197" max="8197" width="13.5" style="1226" customWidth="1"/>
    <col min="8198" max="8198" width="9" style="1226"/>
    <col min="8199" max="8199" width="9.375" style="1226" bestFit="1" customWidth="1"/>
    <col min="8200" max="8201" width="9" style="1226"/>
    <col min="8202" max="8202" width="9.375" style="1226" bestFit="1" customWidth="1"/>
    <col min="8203" max="8203" width="4" style="1226" customWidth="1"/>
    <col min="8204" max="8204" width="5.125" style="1226" customWidth="1"/>
    <col min="8205" max="8205" width="13.75" style="1226" customWidth="1"/>
    <col min="8206" max="8448" width="9" style="1226"/>
    <col min="8449" max="8449" width="4.875" style="1226" customWidth="1"/>
    <col min="8450" max="8450" width="13.25" style="1226" customWidth="1"/>
    <col min="8451" max="8451" width="15.625" style="1226" customWidth="1"/>
    <col min="8452" max="8452" width="9.375" style="1226" bestFit="1" customWidth="1"/>
    <col min="8453" max="8453" width="13.5" style="1226" customWidth="1"/>
    <col min="8454" max="8454" width="9" style="1226"/>
    <col min="8455" max="8455" width="9.375" style="1226" bestFit="1" customWidth="1"/>
    <col min="8456" max="8457" width="9" style="1226"/>
    <col min="8458" max="8458" width="9.375" style="1226" bestFit="1" customWidth="1"/>
    <col min="8459" max="8459" width="4" style="1226" customWidth="1"/>
    <col min="8460" max="8460" width="5.125" style="1226" customWidth="1"/>
    <col min="8461" max="8461" width="13.75" style="1226" customWidth="1"/>
    <col min="8462" max="8704" width="9" style="1226"/>
    <col min="8705" max="8705" width="4.875" style="1226" customWidth="1"/>
    <col min="8706" max="8706" width="13.25" style="1226" customWidth="1"/>
    <col min="8707" max="8707" width="15.625" style="1226" customWidth="1"/>
    <col min="8708" max="8708" width="9.375" style="1226" bestFit="1" customWidth="1"/>
    <col min="8709" max="8709" width="13.5" style="1226" customWidth="1"/>
    <col min="8710" max="8710" width="9" style="1226"/>
    <col min="8711" max="8711" width="9.375" style="1226" bestFit="1" customWidth="1"/>
    <col min="8712" max="8713" width="9" style="1226"/>
    <col min="8714" max="8714" width="9.375" style="1226" bestFit="1" customWidth="1"/>
    <col min="8715" max="8715" width="4" style="1226" customWidth="1"/>
    <col min="8716" max="8716" width="5.125" style="1226" customWidth="1"/>
    <col min="8717" max="8717" width="13.75" style="1226" customWidth="1"/>
    <col min="8718" max="8960" width="9" style="1226"/>
    <col min="8961" max="8961" width="4.875" style="1226" customWidth="1"/>
    <col min="8962" max="8962" width="13.25" style="1226" customWidth="1"/>
    <col min="8963" max="8963" width="15.625" style="1226" customWidth="1"/>
    <col min="8964" max="8964" width="9.375" style="1226" bestFit="1" customWidth="1"/>
    <col min="8965" max="8965" width="13.5" style="1226" customWidth="1"/>
    <col min="8966" max="8966" width="9" style="1226"/>
    <col min="8967" max="8967" width="9.375" style="1226" bestFit="1" customWidth="1"/>
    <col min="8968" max="8969" width="9" style="1226"/>
    <col min="8970" max="8970" width="9.375" style="1226" bestFit="1" customWidth="1"/>
    <col min="8971" max="8971" width="4" style="1226" customWidth="1"/>
    <col min="8972" max="8972" width="5.125" style="1226" customWidth="1"/>
    <col min="8973" max="8973" width="13.75" style="1226" customWidth="1"/>
    <col min="8974" max="9216" width="9" style="1226"/>
    <col min="9217" max="9217" width="4.875" style="1226" customWidth="1"/>
    <col min="9218" max="9218" width="13.25" style="1226" customWidth="1"/>
    <col min="9219" max="9219" width="15.625" style="1226" customWidth="1"/>
    <col min="9220" max="9220" width="9.375" style="1226" bestFit="1" customWidth="1"/>
    <col min="9221" max="9221" width="13.5" style="1226" customWidth="1"/>
    <col min="9222" max="9222" width="9" style="1226"/>
    <col min="9223" max="9223" width="9.375" style="1226" bestFit="1" customWidth="1"/>
    <col min="9224" max="9225" width="9" style="1226"/>
    <col min="9226" max="9226" width="9.375" style="1226" bestFit="1" customWidth="1"/>
    <col min="9227" max="9227" width="4" style="1226" customWidth="1"/>
    <col min="9228" max="9228" width="5.125" style="1226" customWidth="1"/>
    <col min="9229" max="9229" width="13.75" style="1226" customWidth="1"/>
    <col min="9230" max="9472" width="9" style="1226"/>
    <col min="9473" max="9473" width="4.875" style="1226" customWidth="1"/>
    <col min="9474" max="9474" width="13.25" style="1226" customWidth="1"/>
    <col min="9475" max="9475" width="15.625" style="1226" customWidth="1"/>
    <col min="9476" max="9476" width="9.375" style="1226" bestFit="1" customWidth="1"/>
    <col min="9477" max="9477" width="13.5" style="1226" customWidth="1"/>
    <col min="9478" max="9478" width="9" style="1226"/>
    <col min="9479" max="9479" width="9.375" style="1226" bestFit="1" customWidth="1"/>
    <col min="9480" max="9481" width="9" style="1226"/>
    <col min="9482" max="9482" width="9.375" style="1226" bestFit="1" customWidth="1"/>
    <col min="9483" max="9483" width="4" style="1226" customWidth="1"/>
    <col min="9484" max="9484" width="5.125" style="1226" customWidth="1"/>
    <col min="9485" max="9485" width="13.75" style="1226" customWidth="1"/>
    <col min="9486" max="9728" width="9" style="1226"/>
    <col min="9729" max="9729" width="4.875" style="1226" customWidth="1"/>
    <col min="9730" max="9730" width="13.25" style="1226" customWidth="1"/>
    <col min="9731" max="9731" width="15.625" style="1226" customWidth="1"/>
    <col min="9732" max="9732" width="9.375" style="1226" bestFit="1" customWidth="1"/>
    <col min="9733" max="9733" width="13.5" style="1226" customWidth="1"/>
    <col min="9734" max="9734" width="9" style="1226"/>
    <col min="9735" max="9735" width="9.375" style="1226" bestFit="1" customWidth="1"/>
    <col min="9736" max="9737" width="9" style="1226"/>
    <col min="9738" max="9738" width="9.375" style="1226" bestFit="1" customWidth="1"/>
    <col min="9739" max="9739" width="4" style="1226" customWidth="1"/>
    <col min="9740" max="9740" width="5.125" style="1226" customWidth="1"/>
    <col min="9741" max="9741" width="13.75" style="1226" customWidth="1"/>
    <col min="9742" max="9984" width="9" style="1226"/>
    <col min="9985" max="9985" width="4.875" style="1226" customWidth="1"/>
    <col min="9986" max="9986" width="13.25" style="1226" customWidth="1"/>
    <col min="9987" max="9987" width="15.625" style="1226" customWidth="1"/>
    <col min="9988" max="9988" width="9.375" style="1226" bestFit="1" customWidth="1"/>
    <col min="9989" max="9989" width="13.5" style="1226" customWidth="1"/>
    <col min="9990" max="9990" width="9" style="1226"/>
    <col min="9991" max="9991" width="9.375" style="1226" bestFit="1" customWidth="1"/>
    <col min="9992" max="9993" width="9" style="1226"/>
    <col min="9994" max="9994" width="9.375" style="1226" bestFit="1" customWidth="1"/>
    <col min="9995" max="9995" width="4" style="1226" customWidth="1"/>
    <col min="9996" max="9996" width="5.125" style="1226" customWidth="1"/>
    <col min="9997" max="9997" width="13.75" style="1226" customWidth="1"/>
    <col min="9998" max="10240" width="9" style="1226"/>
    <col min="10241" max="10241" width="4.875" style="1226" customWidth="1"/>
    <col min="10242" max="10242" width="13.25" style="1226" customWidth="1"/>
    <col min="10243" max="10243" width="15.625" style="1226" customWidth="1"/>
    <col min="10244" max="10244" width="9.375" style="1226" bestFit="1" customWidth="1"/>
    <col min="10245" max="10245" width="13.5" style="1226" customWidth="1"/>
    <col min="10246" max="10246" width="9" style="1226"/>
    <col min="10247" max="10247" width="9.375" style="1226" bestFit="1" customWidth="1"/>
    <col min="10248" max="10249" width="9" style="1226"/>
    <col min="10250" max="10250" width="9.375" style="1226" bestFit="1" customWidth="1"/>
    <col min="10251" max="10251" width="4" style="1226" customWidth="1"/>
    <col min="10252" max="10252" width="5.125" style="1226" customWidth="1"/>
    <col min="10253" max="10253" width="13.75" style="1226" customWidth="1"/>
    <col min="10254" max="10496" width="9" style="1226"/>
    <col min="10497" max="10497" width="4.875" style="1226" customWidth="1"/>
    <col min="10498" max="10498" width="13.25" style="1226" customWidth="1"/>
    <col min="10499" max="10499" width="15.625" style="1226" customWidth="1"/>
    <col min="10500" max="10500" width="9.375" style="1226" bestFit="1" customWidth="1"/>
    <col min="10501" max="10501" width="13.5" style="1226" customWidth="1"/>
    <col min="10502" max="10502" width="9" style="1226"/>
    <col min="10503" max="10503" width="9.375" style="1226" bestFit="1" customWidth="1"/>
    <col min="10504" max="10505" width="9" style="1226"/>
    <col min="10506" max="10506" width="9.375" style="1226" bestFit="1" customWidth="1"/>
    <col min="10507" max="10507" width="4" style="1226" customWidth="1"/>
    <col min="10508" max="10508" width="5.125" style="1226" customWidth="1"/>
    <col min="10509" max="10509" width="13.75" style="1226" customWidth="1"/>
    <col min="10510" max="10752" width="9" style="1226"/>
    <col min="10753" max="10753" width="4.875" style="1226" customWidth="1"/>
    <col min="10754" max="10754" width="13.25" style="1226" customWidth="1"/>
    <col min="10755" max="10755" width="15.625" style="1226" customWidth="1"/>
    <col min="10756" max="10756" width="9.375" style="1226" bestFit="1" customWidth="1"/>
    <col min="10757" max="10757" width="13.5" style="1226" customWidth="1"/>
    <col min="10758" max="10758" width="9" style="1226"/>
    <col min="10759" max="10759" width="9.375" style="1226" bestFit="1" customWidth="1"/>
    <col min="10760" max="10761" width="9" style="1226"/>
    <col min="10762" max="10762" width="9.375" style="1226" bestFit="1" customWidth="1"/>
    <col min="10763" max="10763" width="4" style="1226" customWidth="1"/>
    <col min="10764" max="10764" width="5.125" style="1226" customWidth="1"/>
    <col min="10765" max="10765" width="13.75" style="1226" customWidth="1"/>
    <col min="10766" max="11008" width="9" style="1226"/>
    <col min="11009" max="11009" width="4.875" style="1226" customWidth="1"/>
    <col min="11010" max="11010" width="13.25" style="1226" customWidth="1"/>
    <col min="11011" max="11011" width="15.625" style="1226" customWidth="1"/>
    <col min="11012" max="11012" width="9.375" style="1226" bestFit="1" customWidth="1"/>
    <col min="11013" max="11013" width="13.5" style="1226" customWidth="1"/>
    <col min="11014" max="11014" width="9" style="1226"/>
    <col min="11015" max="11015" width="9.375" style="1226" bestFit="1" customWidth="1"/>
    <col min="11016" max="11017" width="9" style="1226"/>
    <col min="11018" max="11018" width="9.375" style="1226" bestFit="1" customWidth="1"/>
    <col min="11019" max="11019" width="4" style="1226" customWidth="1"/>
    <col min="11020" max="11020" width="5.125" style="1226" customWidth="1"/>
    <col min="11021" max="11021" width="13.75" style="1226" customWidth="1"/>
    <col min="11022" max="11264" width="9" style="1226"/>
    <col min="11265" max="11265" width="4.875" style="1226" customWidth="1"/>
    <col min="11266" max="11266" width="13.25" style="1226" customWidth="1"/>
    <col min="11267" max="11267" width="15.625" style="1226" customWidth="1"/>
    <col min="11268" max="11268" width="9.375" style="1226" bestFit="1" customWidth="1"/>
    <col min="11269" max="11269" width="13.5" style="1226" customWidth="1"/>
    <col min="11270" max="11270" width="9" style="1226"/>
    <col min="11271" max="11271" width="9.375" style="1226" bestFit="1" customWidth="1"/>
    <col min="11272" max="11273" width="9" style="1226"/>
    <col min="11274" max="11274" width="9.375" style="1226" bestFit="1" customWidth="1"/>
    <col min="11275" max="11275" width="4" style="1226" customWidth="1"/>
    <col min="11276" max="11276" width="5.125" style="1226" customWidth="1"/>
    <col min="11277" max="11277" width="13.75" style="1226" customWidth="1"/>
    <col min="11278" max="11520" width="9" style="1226"/>
    <col min="11521" max="11521" width="4.875" style="1226" customWidth="1"/>
    <col min="11522" max="11522" width="13.25" style="1226" customWidth="1"/>
    <col min="11523" max="11523" width="15.625" style="1226" customWidth="1"/>
    <col min="11524" max="11524" width="9.375" style="1226" bestFit="1" customWidth="1"/>
    <col min="11525" max="11525" width="13.5" style="1226" customWidth="1"/>
    <col min="11526" max="11526" width="9" style="1226"/>
    <col min="11527" max="11527" width="9.375" style="1226" bestFit="1" customWidth="1"/>
    <col min="11528" max="11529" width="9" style="1226"/>
    <col min="11530" max="11530" width="9.375" style="1226" bestFit="1" customWidth="1"/>
    <col min="11531" max="11531" width="4" style="1226" customWidth="1"/>
    <col min="11532" max="11532" width="5.125" style="1226" customWidth="1"/>
    <col min="11533" max="11533" width="13.75" style="1226" customWidth="1"/>
    <col min="11534" max="11776" width="9" style="1226"/>
    <col min="11777" max="11777" width="4.875" style="1226" customWidth="1"/>
    <col min="11778" max="11778" width="13.25" style="1226" customWidth="1"/>
    <col min="11779" max="11779" width="15.625" style="1226" customWidth="1"/>
    <col min="11780" max="11780" width="9.375" style="1226" bestFit="1" customWidth="1"/>
    <col min="11781" max="11781" width="13.5" style="1226" customWidth="1"/>
    <col min="11782" max="11782" width="9" style="1226"/>
    <col min="11783" max="11783" width="9.375" style="1226" bestFit="1" customWidth="1"/>
    <col min="11784" max="11785" width="9" style="1226"/>
    <col min="11786" max="11786" width="9.375" style="1226" bestFit="1" customWidth="1"/>
    <col min="11787" max="11787" width="4" style="1226" customWidth="1"/>
    <col min="11788" max="11788" width="5.125" style="1226" customWidth="1"/>
    <col min="11789" max="11789" width="13.75" style="1226" customWidth="1"/>
    <col min="11790" max="12032" width="9" style="1226"/>
    <col min="12033" max="12033" width="4.875" style="1226" customWidth="1"/>
    <col min="12034" max="12034" width="13.25" style="1226" customWidth="1"/>
    <col min="12035" max="12035" width="15.625" style="1226" customWidth="1"/>
    <col min="12036" max="12036" width="9.375" style="1226" bestFit="1" customWidth="1"/>
    <col min="12037" max="12037" width="13.5" style="1226" customWidth="1"/>
    <col min="12038" max="12038" width="9" style="1226"/>
    <col min="12039" max="12039" width="9.375" style="1226" bestFit="1" customWidth="1"/>
    <col min="12040" max="12041" width="9" style="1226"/>
    <col min="12042" max="12042" width="9.375" style="1226" bestFit="1" customWidth="1"/>
    <col min="12043" max="12043" width="4" style="1226" customWidth="1"/>
    <col min="12044" max="12044" width="5.125" style="1226" customWidth="1"/>
    <col min="12045" max="12045" width="13.75" style="1226" customWidth="1"/>
    <col min="12046" max="12288" width="9" style="1226"/>
    <col min="12289" max="12289" width="4.875" style="1226" customWidth="1"/>
    <col min="12290" max="12290" width="13.25" style="1226" customWidth="1"/>
    <col min="12291" max="12291" width="15.625" style="1226" customWidth="1"/>
    <col min="12292" max="12292" width="9.375" style="1226" bestFit="1" customWidth="1"/>
    <col min="12293" max="12293" width="13.5" style="1226" customWidth="1"/>
    <col min="12294" max="12294" width="9" style="1226"/>
    <col min="12295" max="12295" width="9.375" style="1226" bestFit="1" customWidth="1"/>
    <col min="12296" max="12297" width="9" style="1226"/>
    <col min="12298" max="12298" width="9.375" style="1226" bestFit="1" customWidth="1"/>
    <col min="12299" max="12299" width="4" style="1226" customWidth="1"/>
    <col min="12300" max="12300" width="5.125" style="1226" customWidth="1"/>
    <col min="12301" max="12301" width="13.75" style="1226" customWidth="1"/>
    <col min="12302" max="12544" width="9" style="1226"/>
    <col min="12545" max="12545" width="4.875" style="1226" customWidth="1"/>
    <col min="12546" max="12546" width="13.25" style="1226" customWidth="1"/>
    <col min="12547" max="12547" width="15.625" style="1226" customWidth="1"/>
    <col min="12548" max="12548" width="9.375" style="1226" bestFit="1" customWidth="1"/>
    <col min="12549" max="12549" width="13.5" style="1226" customWidth="1"/>
    <col min="12550" max="12550" width="9" style="1226"/>
    <col min="12551" max="12551" width="9.375" style="1226" bestFit="1" customWidth="1"/>
    <col min="12552" max="12553" width="9" style="1226"/>
    <col min="12554" max="12554" width="9.375" style="1226" bestFit="1" customWidth="1"/>
    <col min="12555" max="12555" width="4" style="1226" customWidth="1"/>
    <col min="12556" max="12556" width="5.125" style="1226" customWidth="1"/>
    <col min="12557" max="12557" width="13.75" style="1226" customWidth="1"/>
    <col min="12558" max="12800" width="9" style="1226"/>
    <col min="12801" max="12801" width="4.875" style="1226" customWidth="1"/>
    <col min="12802" max="12802" width="13.25" style="1226" customWidth="1"/>
    <col min="12803" max="12803" width="15.625" style="1226" customWidth="1"/>
    <col min="12804" max="12804" width="9.375" style="1226" bestFit="1" customWidth="1"/>
    <col min="12805" max="12805" width="13.5" style="1226" customWidth="1"/>
    <col min="12806" max="12806" width="9" style="1226"/>
    <col min="12807" max="12807" width="9.375" style="1226" bestFit="1" customWidth="1"/>
    <col min="12808" max="12809" width="9" style="1226"/>
    <col min="12810" max="12810" width="9.375" style="1226" bestFit="1" customWidth="1"/>
    <col min="12811" max="12811" width="4" style="1226" customWidth="1"/>
    <col min="12812" max="12812" width="5.125" style="1226" customWidth="1"/>
    <col min="12813" max="12813" width="13.75" style="1226" customWidth="1"/>
    <col min="12814" max="13056" width="9" style="1226"/>
    <col min="13057" max="13057" width="4.875" style="1226" customWidth="1"/>
    <col min="13058" max="13058" width="13.25" style="1226" customWidth="1"/>
    <col min="13059" max="13059" width="15.625" style="1226" customWidth="1"/>
    <col min="13060" max="13060" width="9.375" style="1226" bestFit="1" customWidth="1"/>
    <col min="13061" max="13061" width="13.5" style="1226" customWidth="1"/>
    <col min="13062" max="13062" width="9" style="1226"/>
    <col min="13063" max="13063" width="9.375" style="1226" bestFit="1" customWidth="1"/>
    <col min="13064" max="13065" width="9" style="1226"/>
    <col min="13066" max="13066" width="9.375" style="1226" bestFit="1" customWidth="1"/>
    <col min="13067" max="13067" width="4" style="1226" customWidth="1"/>
    <col min="13068" max="13068" width="5.125" style="1226" customWidth="1"/>
    <col min="13069" max="13069" width="13.75" style="1226" customWidth="1"/>
    <col min="13070" max="13312" width="9" style="1226"/>
    <col min="13313" max="13313" width="4.875" style="1226" customWidth="1"/>
    <col min="13314" max="13314" width="13.25" style="1226" customWidth="1"/>
    <col min="13315" max="13315" width="15.625" style="1226" customWidth="1"/>
    <col min="13316" max="13316" width="9.375" style="1226" bestFit="1" customWidth="1"/>
    <col min="13317" max="13317" width="13.5" style="1226" customWidth="1"/>
    <col min="13318" max="13318" width="9" style="1226"/>
    <col min="13319" max="13319" width="9.375" style="1226" bestFit="1" customWidth="1"/>
    <col min="13320" max="13321" width="9" style="1226"/>
    <col min="13322" max="13322" width="9.375" style="1226" bestFit="1" customWidth="1"/>
    <col min="13323" max="13323" width="4" style="1226" customWidth="1"/>
    <col min="13324" max="13324" width="5.125" style="1226" customWidth="1"/>
    <col min="13325" max="13325" width="13.75" style="1226" customWidth="1"/>
    <col min="13326" max="13568" width="9" style="1226"/>
    <col min="13569" max="13569" width="4.875" style="1226" customWidth="1"/>
    <col min="13570" max="13570" width="13.25" style="1226" customWidth="1"/>
    <col min="13571" max="13571" width="15.625" style="1226" customWidth="1"/>
    <col min="13572" max="13572" width="9.375" style="1226" bestFit="1" customWidth="1"/>
    <col min="13573" max="13573" width="13.5" style="1226" customWidth="1"/>
    <col min="13574" max="13574" width="9" style="1226"/>
    <col min="13575" max="13575" width="9.375" style="1226" bestFit="1" customWidth="1"/>
    <col min="13576" max="13577" width="9" style="1226"/>
    <col min="13578" max="13578" width="9.375" style="1226" bestFit="1" customWidth="1"/>
    <col min="13579" max="13579" width="4" style="1226" customWidth="1"/>
    <col min="13580" max="13580" width="5.125" style="1226" customWidth="1"/>
    <col min="13581" max="13581" width="13.75" style="1226" customWidth="1"/>
    <col min="13582" max="13824" width="9" style="1226"/>
    <col min="13825" max="13825" width="4.875" style="1226" customWidth="1"/>
    <col min="13826" max="13826" width="13.25" style="1226" customWidth="1"/>
    <col min="13827" max="13827" width="15.625" style="1226" customWidth="1"/>
    <col min="13828" max="13828" width="9.375" style="1226" bestFit="1" customWidth="1"/>
    <col min="13829" max="13829" width="13.5" style="1226" customWidth="1"/>
    <col min="13830" max="13830" width="9" style="1226"/>
    <col min="13831" max="13831" width="9.375" style="1226" bestFit="1" customWidth="1"/>
    <col min="13832" max="13833" width="9" style="1226"/>
    <col min="13834" max="13834" width="9.375" style="1226" bestFit="1" customWidth="1"/>
    <col min="13835" max="13835" width="4" style="1226" customWidth="1"/>
    <col min="13836" max="13836" width="5.125" style="1226" customWidth="1"/>
    <col min="13837" max="13837" width="13.75" style="1226" customWidth="1"/>
    <col min="13838" max="14080" width="9" style="1226"/>
    <col min="14081" max="14081" width="4.875" style="1226" customWidth="1"/>
    <col min="14082" max="14082" width="13.25" style="1226" customWidth="1"/>
    <col min="14083" max="14083" width="15.625" style="1226" customWidth="1"/>
    <col min="14084" max="14084" width="9.375" style="1226" bestFit="1" customWidth="1"/>
    <col min="14085" max="14085" width="13.5" style="1226" customWidth="1"/>
    <col min="14086" max="14086" width="9" style="1226"/>
    <col min="14087" max="14087" width="9.375" style="1226" bestFit="1" customWidth="1"/>
    <col min="14088" max="14089" width="9" style="1226"/>
    <col min="14090" max="14090" width="9.375" style="1226" bestFit="1" customWidth="1"/>
    <col min="14091" max="14091" width="4" style="1226" customWidth="1"/>
    <col min="14092" max="14092" width="5.125" style="1226" customWidth="1"/>
    <col min="14093" max="14093" width="13.75" style="1226" customWidth="1"/>
    <col min="14094" max="14336" width="9" style="1226"/>
    <col min="14337" max="14337" width="4.875" style="1226" customWidth="1"/>
    <col min="14338" max="14338" width="13.25" style="1226" customWidth="1"/>
    <col min="14339" max="14339" width="15.625" style="1226" customWidth="1"/>
    <col min="14340" max="14340" width="9.375" style="1226" bestFit="1" customWidth="1"/>
    <col min="14341" max="14341" width="13.5" style="1226" customWidth="1"/>
    <col min="14342" max="14342" width="9" style="1226"/>
    <col min="14343" max="14343" width="9.375" style="1226" bestFit="1" customWidth="1"/>
    <col min="14344" max="14345" width="9" style="1226"/>
    <col min="14346" max="14346" width="9.375" style="1226" bestFit="1" customWidth="1"/>
    <col min="14347" max="14347" width="4" style="1226" customWidth="1"/>
    <col min="14348" max="14348" width="5.125" style="1226" customWidth="1"/>
    <col min="14349" max="14349" width="13.75" style="1226" customWidth="1"/>
    <col min="14350" max="14592" width="9" style="1226"/>
    <col min="14593" max="14593" width="4.875" style="1226" customWidth="1"/>
    <col min="14594" max="14594" width="13.25" style="1226" customWidth="1"/>
    <col min="14595" max="14595" width="15.625" style="1226" customWidth="1"/>
    <col min="14596" max="14596" width="9.375" style="1226" bestFit="1" customWidth="1"/>
    <col min="14597" max="14597" width="13.5" style="1226" customWidth="1"/>
    <col min="14598" max="14598" width="9" style="1226"/>
    <col min="14599" max="14599" width="9.375" style="1226" bestFit="1" customWidth="1"/>
    <col min="14600" max="14601" width="9" style="1226"/>
    <col min="14602" max="14602" width="9.375" style="1226" bestFit="1" customWidth="1"/>
    <col min="14603" max="14603" width="4" style="1226" customWidth="1"/>
    <col min="14604" max="14604" width="5.125" style="1226" customWidth="1"/>
    <col min="14605" max="14605" width="13.75" style="1226" customWidth="1"/>
    <col min="14606" max="14848" width="9" style="1226"/>
    <col min="14849" max="14849" width="4.875" style="1226" customWidth="1"/>
    <col min="14850" max="14850" width="13.25" style="1226" customWidth="1"/>
    <col min="14851" max="14851" width="15.625" style="1226" customWidth="1"/>
    <col min="14852" max="14852" width="9.375" style="1226" bestFit="1" customWidth="1"/>
    <col min="14853" max="14853" width="13.5" style="1226" customWidth="1"/>
    <col min="14854" max="14854" width="9" style="1226"/>
    <col min="14855" max="14855" width="9.375" style="1226" bestFit="1" customWidth="1"/>
    <col min="14856" max="14857" width="9" style="1226"/>
    <col min="14858" max="14858" width="9.375" style="1226" bestFit="1" customWidth="1"/>
    <col min="14859" max="14859" width="4" style="1226" customWidth="1"/>
    <col min="14860" max="14860" width="5.125" style="1226" customWidth="1"/>
    <col min="14861" max="14861" width="13.75" style="1226" customWidth="1"/>
    <col min="14862" max="15104" width="9" style="1226"/>
    <col min="15105" max="15105" width="4.875" style="1226" customWidth="1"/>
    <col min="15106" max="15106" width="13.25" style="1226" customWidth="1"/>
    <col min="15107" max="15107" width="15.625" style="1226" customWidth="1"/>
    <col min="15108" max="15108" width="9.375" style="1226" bestFit="1" customWidth="1"/>
    <col min="15109" max="15109" width="13.5" style="1226" customWidth="1"/>
    <col min="15110" max="15110" width="9" style="1226"/>
    <col min="15111" max="15111" width="9.375" style="1226" bestFit="1" customWidth="1"/>
    <col min="15112" max="15113" width="9" style="1226"/>
    <col min="15114" max="15114" width="9.375" style="1226" bestFit="1" customWidth="1"/>
    <col min="15115" max="15115" width="4" style="1226" customWidth="1"/>
    <col min="15116" max="15116" width="5.125" style="1226" customWidth="1"/>
    <col min="15117" max="15117" width="13.75" style="1226" customWidth="1"/>
    <col min="15118" max="15360" width="9" style="1226"/>
    <col min="15361" max="15361" width="4.875" style="1226" customWidth="1"/>
    <col min="15362" max="15362" width="13.25" style="1226" customWidth="1"/>
    <col min="15363" max="15363" width="15.625" style="1226" customWidth="1"/>
    <col min="15364" max="15364" width="9.375" style="1226" bestFit="1" customWidth="1"/>
    <col min="15365" max="15365" width="13.5" style="1226" customWidth="1"/>
    <col min="15366" max="15366" width="9" style="1226"/>
    <col min="15367" max="15367" width="9.375" style="1226" bestFit="1" customWidth="1"/>
    <col min="15368" max="15369" width="9" style="1226"/>
    <col min="15370" max="15370" width="9.375" style="1226" bestFit="1" customWidth="1"/>
    <col min="15371" max="15371" width="4" style="1226" customWidth="1"/>
    <col min="15372" max="15372" width="5.125" style="1226" customWidth="1"/>
    <col min="15373" max="15373" width="13.75" style="1226" customWidth="1"/>
    <col min="15374" max="15616" width="9" style="1226"/>
    <col min="15617" max="15617" width="4.875" style="1226" customWidth="1"/>
    <col min="15618" max="15618" width="13.25" style="1226" customWidth="1"/>
    <col min="15619" max="15619" width="15.625" style="1226" customWidth="1"/>
    <col min="15620" max="15620" width="9.375" style="1226" bestFit="1" customWidth="1"/>
    <col min="15621" max="15621" width="13.5" style="1226" customWidth="1"/>
    <col min="15622" max="15622" width="9" style="1226"/>
    <col min="15623" max="15623" width="9.375" style="1226" bestFit="1" customWidth="1"/>
    <col min="15624" max="15625" width="9" style="1226"/>
    <col min="15626" max="15626" width="9.375" style="1226" bestFit="1" customWidth="1"/>
    <col min="15627" max="15627" width="4" style="1226" customWidth="1"/>
    <col min="15628" max="15628" width="5.125" style="1226" customWidth="1"/>
    <col min="15629" max="15629" width="13.75" style="1226" customWidth="1"/>
    <col min="15630" max="15872" width="9" style="1226"/>
    <col min="15873" max="15873" width="4.875" style="1226" customWidth="1"/>
    <col min="15874" max="15874" width="13.25" style="1226" customWidth="1"/>
    <col min="15875" max="15875" width="15.625" style="1226" customWidth="1"/>
    <col min="15876" max="15876" width="9.375" style="1226" bestFit="1" customWidth="1"/>
    <col min="15877" max="15877" width="13.5" style="1226" customWidth="1"/>
    <col min="15878" max="15878" width="9" style="1226"/>
    <col min="15879" max="15879" width="9.375" style="1226" bestFit="1" customWidth="1"/>
    <col min="15880" max="15881" width="9" style="1226"/>
    <col min="15882" max="15882" width="9.375" style="1226" bestFit="1" customWidth="1"/>
    <col min="15883" max="15883" width="4" style="1226" customWidth="1"/>
    <col min="15884" max="15884" width="5.125" style="1226" customWidth="1"/>
    <col min="15885" max="15885" width="13.75" style="1226" customWidth="1"/>
    <col min="15886" max="16128" width="9" style="1226"/>
    <col min="16129" max="16129" width="4.875" style="1226" customWidth="1"/>
    <col min="16130" max="16130" width="13.25" style="1226" customWidth="1"/>
    <col min="16131" max="16131" width="15.625" style="1226" customWidth="1"/>
    <col min="16132" max="16132" width="9.375" style="1226" bestFit="1" customWidth="1"/>
    <col min="16133" max="16133" width="13.5" style="1226" customWidth="1"/>
    <col min="16134" max="16134" width="9" style="1226"/>
    <col min="16135" max="16135" width="9.375" style="1226" bestFit="1" customWidth="1"/>
    <col min="16136" max="16137" width="9" style="1226"/>
    <col min="16138" max="16138" width="9.375" style="1226" bestFit="1" customWidth="1"/>
    <col min="16139" max="16139" width="4" style="1226" customWidth="1"/>
    <col min="16140" max="16140" width="5.125" style="1226" customWidth="1"/>
    <col min="16141" max="16141" width="13.75" style="1226" customWidth="1"/>
    <col min="16142" max="16384" width="9" style="1226"/>
  </cols>
  <sheetData>
    <row r="1" spans="1:257" s="1288" customFormat="1" ht="14.25" thickBot="1">
      <c r="A1" s="1282"/>
      <c r="B1" s="1289" t="s">
        <v>602</v>
      </c>
      <c r="C1" s="1283">
        <f>项目基本情况!D3</f>
        <v>45373</v>
      </c>
      <c r="D1" s="1289" t="s">
        <v>603</v>
      </c>
      <c r="E1" s="1284">
        <f>'数据-取费表'!B22</f>
        <v>3</v>
      </c>
      <c r="F1" s="1289" t="s">
        <v>604</v>
      </c>
      <c r="G1" s="1285">
        <f ca="1">INDIRECT("d"&amp;$K$1)/100</f>
        <v>3.4500000000000003E-2</v>
      </c>
      <c r="H1" s="1289" t="s">
        <v>634</v>
      </c>
      <c r="I1" s="1285">
        <f ca="1">F4/100</f>
        <v>1.4999999999999999E-2</v>
      </c>
      <c r="J1" s="1290">
        <f>IF(C1&gt;C13,0,MATCH(C1,C$13:C$111,-1))+IF(SUMIF(C13:C111,C1,D13:D111)=0,13,12)</f>
        <v>13</v>
      </c>
      <c r="K1" s="1290">
        <f ca="1">MATCH(E1,C3:C7,1)+IF(SUMIF(C3:C7,E1,D3:D7)=0,2,1)</f>
        <v>5</v>
      </c>
      <c r="L1" s="1290">
        <f>IF(C1&gt;M13,0,MATCH(C1,M$13:M$100,-1))+IF(SUMIF(M13:M100,C1,N13:N100)=0,13,12)</f>
        <v>13</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3.45</v>
      </c>
      <c r="E3" s="1233">
        <v>0.5</v>
      </c>
      <c r="F3" s="1234">
        <f ca="1">INDIRECT("p"&amp;$L$1)</f>
        <v>1.3</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3.45</v>
      </c>
      <c r="E4" s="1239">
        <v>1</v>
      </c>
      <c r="F4" s="1240">
        <f ca="1">INDIRECT("q"&amp;$L$1)</f>
        <v>1.5</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3.45</v>
      </c>
      <c r="E5" s="1239">
        <v>2</v>
      </c>
      <c r="F5" s="1240">
        <f ca="1">INDIRECT("r"&amp;$L$1)</f>
        <v>2.1</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3.45</v>
      </c>
      <c r="E6" s="1239">
        <v>3</v>
      </c>
      <c r="F6" s="1240">
        <f ca="1">INDIRECT("s"&amp;$L$1)</f>
        <v>2.75</v>
      </c>
      <c r="G6" s="1229"/>
      <c r="H6" s="1229"/>
      <c r="I6" s="1229"/>
      <c r="J6" s="1229"/>
      <c r="L6" s="1229"/>
      <c r="M6" s="1229"/>
      <c r="N6" s="1229"/>
      <c r="O6" s="1229"/>
      <c r="P6" s="1229"/>
      <c r="Q6" s="1229"/>
      <c r="R6" s="1229"/>
      <c r="S6" s="1229"/>
      <c r="T6" s="1229"/>
      <c r="U6" s="1229"/>
      <c r="V6" s="1229"/>
      <c r="W6" s="1229"/>
      <c r="X6" s="1229"/>
      <c r="Y6" s="1229"/>
      <c r="Z6" s="1229"/>
    </row>
    <row r="7" spans="1:257" ht="14.25" thickBot="1">
      <c r="B7" s="1241" t="s">
        <v>611</v>
      </c>
      <c r="C7" s="1242">
        <v>5</v>
      </c>
      <c r="D7" s="1243">
        <f ca="1">INDIRECT("h"&amp;$J$1)</f>
        <v>4.2</v>
      </c>
      <c r="E7" s="1244">
        <v>5</v>
      </c>
      <c r="F7" s="1245">
        <f ca="1">INDIRECT("t"&amp;$L$1)</f>
        <v>0</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25">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5">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14.25">
      <c r="A13" s="1271"/>
      <c r="B13" s="1272" t="s">
        <v>632</v>
      </c>
      <c r="C13" s="2805">
        <v>45159</v>
      </c>
      <c r="D13" s="2806">
        <v>3.45</v>
      </c>
      <c r="E13" s="2806">
        <f>D13</f>
        <v>3.45</v>
      </c>
      <c r="F13" s="2806">
        <f>D13</f>
        <v>3.45</v>
      </c>
      <c r="G13" s="2806">
        <f>D13</f>
        <v>3.45</v>
      </c>
      <c r="H13" s="2806">
        <v>4.2</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4.25">
      <c r="A14" s="1271"/>
      <c r="B14" s="2800"/>
      <c r="C14" s="2802">
        <v>45097</v>
      </c>
      <c r="D14" s="2801">
        <v>3.55</v>
      </c>
      <c r="E14" s="2801">
        <f>D14</f>
        <v>3.55</v>
      </c>
      <c r="F14" s="2801">
        <f>D14</f>
        <v>3.55</v>
      </c>
      <c r="G14" s="2801">
        <f>D14</f>
        <v>3.55</v>
      </c>
      <c r="H14" s="2801">
        <v>4.2</v>
      </c>
      <c r="I14" s="2806"/>
      <c r="J14" s="2806"/>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4.25">
      <c r="A15" s="1271"/>
      <c r="B15" s="2800"/>
      <c r="C15" s="2802">
        <v>44795</v>
      </c>
      <c r="D15" s="2801">
        <v>3.65</v>
      </c>
      <c r="E15" s="2801">
        <v>3.65</v>
      </c>
      <c r="F15" s="2801">
        <v>3.65</v>
      </c>
      <c r="G15" s="2801">
        <v>3.65</v>
      </c>
      <c r="H15" s="2801">
        <v>4.3</v>
      </c>
      <c r="I15" s="2806"/>
      <c r="J15" s="2806"/>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4.25">
      <c r="A16" s="1271"/>
      <c r="B16" s="2800"/>
      <c r="C16" s="2802">
        <v>44701</v>
      </c>
      <c r="D16" s="2801">
        <v>3.7</v>
      </c>
      <c r="E16" s="2801">
        <f>D16</f>
        <v>3.7</v>
      </c>
      <c r="F16" s="2801">
        <f>D16</f>
        <v>3.7</v>
      </c>
      <c r="G16" s="2801">
        <f>D16</f>
        <v>3.7</v>
      </c>
      <c r="H16" s="2801">
        <v>4.45</v>
      </c>
      <c r="I16" s="2806"/>
      <c r="J16" s="2806"/>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4.25">
      <c r="A17" s="1271"/>
      <c r="B17" s="2800"/>
      <c r="C17" s="2802">
        <v>44581</v>
      </c>
      <c r="D17" s="2801">
        <v>3.7</v>
      </c>
      <c r="E17" s="2801">
        <f>D17</f>
        <v>3.7</v>
      </c>
      <c r="F17" s="2801">
        <f>D17</f>
        <v>3.7</v>
      </c>
      <c r="G17" s="2801">
        <f>D17</f>
        <v>3.7</v>
      </c>
      <c r="H17" s="2801">
        <v>4.5999999999999996</v>
      </c>
      <c r="I17" s="2806"/>
      <c r="J17" s="2806"/>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5">
      <c r="A18" s="1271"/>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1"/>
      <c r="B19" s="2801"/>
      <c r="C19" s="2802">
        <v>43941</v>
      </c>
      <c r="D19" s="2801">
        <v>3.85</v>
      </c>
      <c r="E19" s="2801">
        <v>3.85</v>
      </c>
      <c r="F19" s="2801">
        <v>3.85</v>
      </c>
      <c r="G19" s="2801">
        <v>3.85</v>
      </c>
      <c r="H19" s="2801">
        <v>4.6500000000000004</v>
      </c>
      <c r="I19" s="2801"/>
      <c r="J19" s="2801"/>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4.25">
      <c r="A20" s="1271"/>
      <c r="B20" s="2801"/>
      <c r="C20" s="2802">
        <v>43881</v>
      </c>
      <c r="D20" s="2801">
        <v>4.05</v>
      </c>
      <c r="E20" s="2801">
        <v>4.05</v>
      </c>
      <c r="F20" s="2801">
        <v>4.05</v>
      </c>
      <c r="G20" s="2801">
        <v>4.05</v>
      </c>
      <c r="H20" s="2801">
        <v>4.75</v>
      </c>
      <c r="I20" s="2801"/>
      <c r="J20" s="2801"/>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4.25">
      <c r="A21" s="1271"/>
      <c r="B21" s="2801"/>
      <c r="C21" s="2802">
        <v>43789</v>
      </c>
      <c r="D21" s="2801">
        <v>4.1500000000000004</v>
      </c>
      <c r="E21" s="2801">
        <v>4.1500000000000004</v>
      </c>
      <c r="F21" s="2801">
        <v>4.1500000000000004</v>
      </c>
      <c r="G21" s="2801">
        <v>4.1500000000000004</v>
      </c>
      <c r="H21" s="2801">
        <v>4.8</v>
      </c>
      <c r="I21" s="2801"/>
      <c r="J21" s="2801"/>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4.25">
      <c r="A22" s="1271"/>
      <c r="B22" s="2801"/>
      <c r="C22" s="2802">
        <v>43728</v>
      </c>
      <c r="D22" s="2801">
        <v>4.2</v>
      </c>
      <c r="E22" s="2801">
        <v>4.2</v>
      </c>
      <c r="F22" s="2801">
        <v>4.2</v>
      </c>
      <c r="G22" s="2801">
        <v>4.2</v>
      </c>
      <c r="H22" s="2801">
        <v>4.8499999999999996</v>
      </c>
      <c r="I22" s="2801"/>
      <c r="J22" s="2801"/>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4.25">
      <c r="A23" s="2807"/>
      <c r="B23" s="2800" t="s">
        <v>2308</v>
      </c>
      <c r="C23" s="2803">
        <v>43697</v>
      </c>
      <c r="D23" s="2804">
        <v>4.25</v>
      </c>
      <c r="E23" s="2804">
        <v>4.25</v>
      </c>
      <c r="F23" s="2804">
        <v>4.25</v>
      </c>
      <c r="G23" s="2804">
        <v>4.25</v>
      </c>
      <c r="H23" s="2804">
        <v>4.8499999999999996</v>
      </c>
      <c r="I23" s="2804"/>
      <c r="J23" s="2804"/>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ht="14.25">
      <c r="B24" s="2808"/>
      <c r="C24" s="2809">
        <v>42301</v>
      </c>
      <c r="D24" s="2810">
        <v>4.3499999999999996</v>
      </c>
      <c r="E24" s="2810">
        <v>4.3499999999999996</v>
      </c>
      <c r="F24" s="2810">
        <v>4.75</v>
      </c>
      <c r="G24" s="2810">
        <v>4.75</v>
      </c>
      <c r="H24" s="2810">
        <v>4.9000000000000004</v>
      </c>
      <c r="I24" s="2810"/>
      <c r="J24" s="2810"/>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c r="B25" s="1277"/>
      <c r="C25" s="1278">
        <v>42242</v>
      </c>
      <c r="D25" s="1277">
        <v>4.5999999999999996</v>
      </c>
      <c r="E25" s="1277">
        <v>4.5999999999999996</v>
      </c>
      <c r="F25" s="1277">
        <v>5</v>
      </c>
      <c r="G25" s="1277">
        <v>5</v>
      </c>
      <c r="H25" s="1277">
        <v>5.15</v>
      </c>
      <c r="I25" s="1277">
        <v>2.75</v>
      </c>
      <c r="J25" s="1277">
        <v>3.25</v>
      </c>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c r="B26" s="1277"/>
      <c r="C26" s="1278">
        <v>42183</v>
      </c>
      <c r="D26" s="1277">
        <v>4.8499999999999996</v>
      </c>
      <c r="E26" s="1277">
        <v>4.8499999999999996</v>
      </c>
      <c r="F26" s="1277">
        <v>5.25</v>
      </c>
      <c r="G26" s="1277">
        <v>5.25</v>
      </c>
      <c r="H26" s="1277">
        <v>5.4</v>
      </c>
      <c r="I26" s="1277">
        <v>3</v>
      </c>
      <c r="J26" s="1277">
        <v>3.5</v>
      </c>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42135</v>
      </c>
      <c r="D27" s="1277">
        <v>5.0999999999999996</v>
      </c>
      <c r="E27" s="1277">
        <v>5.0999999999999996</v>
      </c>
      <c r="F27" s="1277">
        <v>5.5</v>
      </c>
      <c r="G27" s="1277">
        <v>5.5</v>
      </c>
      <c r="H27" s="1277">
        <v>5.65</v>
      </c>
      <c r="I27" s="1277">
        <v>3.25</v>
      </c>
      <c r="J27" s="1277">
        <v>3.75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42064</v>
      </c>
      <c r="D28" s="1277">
        <v>5.35</v>
      </c>
      <c r="E28" s="1277">
        <v>5.35</v>
      </c>
      <c r="F28" s="1277">
        <v>5.75</v>
      </c>
      <c r="G28" s="1277">
        <v>5.75</v>
      </c>
      <c r="H28" s="1277">
        <v>5.9</v>
      </c>
      <c r="I28" s="1277"/>
      <c r="J28" s="1277"/>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41965</v>
      </c>
      <c r="D29" s="1277">
        <v>5.6</v>
      </c>
      <c r="E29" s="1277">
        <v>5.6</v>
      </c>
      <c r="F29" s="1277">
        <v>6</v>
      </c>
      <c r="G29" s="1277">
        <v>6</v>
      </c>
      <c r="H29" s="1277">
        <v>6.15</v>
      </c>
      <c r="I29" s="1277"/>
      <c r="J29" s="1277"/>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41096</v>
      </c>
      <c r="D30" s="1277">
        <v>5.6</v>
      </c>
      <c r="E30" s="1277">
        <v>6</v>
      </c>
      <c r="F30" s="1277">
        <v>6.15</v>
      </c>
      <c r="G30" s="1277">
        <v>6.4</v>
      </c>
      <c r="H30" s="1277">
        <v>6.55</v>
      </c>
      <c r="I30" s="1277">
        <v>4</v>
      </c>
      <c r="J30" s="1277">
        <v>4.5</v>
      </c>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41068</v>
      </c>
      <c r="D31" s="1277">
        <v>5.85</v>
      </c>
      <c r="E31" s="1277">
        <v>6.31</v>
      </c>
      <c r="F31" s="1277">
        <v>6.4</v>
      </c>
      <c r="G31" s="1277">
        <v>6.65</v>
      </c>
      <c r="H31" s="1277">
        <v>6.8</v>
      </c>
      <c r="I31" s="1277">
        <v>4.2</v>
      </c>
      <c r="J31" s="1277">
        <v>4.7</v>
      </c>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40731</v>
      </c>
      <c r="D32" s="1277">
        <v>6.1</v>
      </c>
      <c r="E32" s="1277">
        <v>6.56</v>
      </c>
      <c r="F32" s="1277">
        <v>6.65</v>
      </c>
      <c r="G32" s="1277">
        <v>6.9</v>
      </c>
      <c r="H32" s="1277">
        <v>7.05</v>
      </c>
      <c r="I32" s="1277">
        <v>4.45</v>
      </c>
      <c r="J32" s="1277">
        <v>4.9000000000000004</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40639</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40583</v>
      </c>
      <c r="D34" s="1277">
        <v>5.6</v>
      </c>
      <c r="E34" s="1277">
        <v>6.06</v>
      </c>
      <c r="F34" s="1277">
        <v>6.1</v>
      </c>
      <c r="G34" s="1277">
        <v>6.45</v>
      </c>
      <c r="H34" s="1277">
        <v>6.6</v>
      </c>
      <c r="I34" s="1277">
        <v>4</v>
      </c>
      <c r="J34" s="1277">
        <v>4.5</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40538</v>
      </c>
      <c r="D35" s="1277">
        <v>5.35</v>
      </c>
      <c r="E35" s="1277">
        <v>5.81</v>
      </c>
      <c r="F35" s="1277">
        <v>5.85</v>
      </c>
      <c r="G35" s="1277">
        <v>6.22</v>
      </c>
      <c r="H35" s="1277">
        <v>6.4</v>
      </c>
      <c r="I35" s="1277">
        <v>3.75</v>
      </c>
      <c r="J35" s="1277">
        <v>4.3</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40471</v>
      </c>
      <c r="D36" s="1277">
        <v>5.0999999999999996</v>
      </c>
      <c r="E36" s="1277">
        <v>5.56</v>
      </c>
      <c r="F36" s="1277">
        <v>5.6</v>
      </c>
      <c r="G36" s="1277">
        <v>5.96</v>
      </c>
      <c r="H36" s="1277">
        <v>6.14</v>
      </c>
      <c r="I36" s="1277">
        <v>3.5</v>
      </c>
      <c r="J36" s="1277">
        <v>4.05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39805</v>
      </c>
      <c r="D37" s="1277">
        <v>4.8600000000000003</v>
      </c>
      <c r="E37" s="1277">
        <v>5.31</v>
      </c>
      <c r="F37" s="1277">
        <v>5.4</v>
      </c>
      <c r="G37" s="1277">
        <v>5.76</v>
      </c>
      <c r="H37" s="1277">
        <v>5.94</v>
      </c>
      <c r="I37" s="1277">
        <v>3.33</v>
      </c>
      <c r="J37" s="1277">
        <v>3.87</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39779</v>
      </c>
      <c r="D38" s="1277">
        <v>5.04</v>
      </c>
      <c r="E38" s="1277">
        <v>5.58</v>
      </c>
      <c r="F38" s="1277">
        <v>5.67</v>
      </c>
      <c r="G38" s="1277">
        <v>5.94</v>
      </c>
      <c r="H38" s="1277">
        <v>6.12</v>
      </c>
      <c r="I38" s="1277">
        <v>3.51</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39751</v>
      </c>
      <c r="D39" s="1277">
        <v>6.03</v>
      </c>
      <c r="E39" s="1277">
        <v>6.66</v>
      </c>
      <c r="F39" s="1277">
        <v>6.75</v>
      </c>
      <c r="G39" s="1277">
        <v>7.02</v>
      </c>
      <c r="H39" s="1277">
        <v>7.2</v>
      </c>
      <c r="I39" s="1277">
        <v>4.05</v>
      </c>
      <c r="J39" s="1277">
        <v>4.59</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9">
        <v>39748</v>
      </c>
      <c r="D40" s="1277">
        <v>6.12</v>
      </c>
      <c r="E40" s="1277">
        <v>6.93</v>
      </c>
      <c r="F40" s="1277">
        <v>7.02</v>
      </c>
      <c r="G40" s="1277">
        <v>7.29</v>
      </c>
      <c r="H40" s="1277">
        <v>7.47</v>
      </c>
      <c r="I40" s="1277">
        <v>4.05</v>
      </c>
      <c r="J40" s="1277">
        <v>4.59</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39730</v>
      </c>
      <c r="D41" s="1277">
        <v>6.12</v>
      </c>
      <c r="E41" s="1277">
        <v>6.93</v>
      </c>
      <c r="F41" s="1277">
        <v>7.02</v>
      </c>
      <c r="G41" s="1277">
        <v>7.29</v>
      </c>
      <c r="H41" s="1277">
        <v>7.47</v>
      </c>
      <c r="I41" s="1277">
        <v>4.32</v>
      </c>
      <c r="J41" s="1277">
        <v>4.8600000000000003</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8">
        <v>39707</v>
      </c>
      <c r="D42" s="1277">
        <v>6.21</v>
      </c>
      <c r="E42" s="1277">
        <v>7.2</v>
      </c>
      <c r="F42" s="1277">
        <v>7.29</v>
      </c>
      <c r="G42" s="1277">
        <v>7.56</v>
      </c>
      <c r="H42" s="1277">
        <v>7.74</v>
      </c>
      <c r="I42" s="1277">
        <v>4.59</v>
      </c>
      <c r="J42" s="1277">
        <v>5.13</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39437</v>
      </c>
      <c r="D43" s="1277">
        <v>6.57</v>
      </c>
      <c r="E43" s="1277">
        <v>7.47</v>
      </c>
      <c r="F43" s="1277">
        <v>7.56</v>
      </c>
      <c r="G43" s="1277">
        <v>7.74</v>
      </c>
      <c r="H43" s="1277">
        <v>7.83</v>
      </c>
      <c r="I43" s="1277">
        <v>4.7699999999999996</v>
      </c>
      <c r="J43" s="1277">
        <v>5.22</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39340</v>
      </c>
      <c r="D44" s="1277">
        <v>6.48</v>
      </c>
      <c r="E44" s="1277">
        <v>7.29</v>
      </c>
      <c r="F44" s="1277">
        <v>7.47</v>
      </c>
      <c r="G44" s="1277">
        <v>7.65</v>
      </c>
      <c r="H44" s="1277">
        <v>7.83</v>
      </c>
      <c r="I44" s="1277">
        <v>4.7699999999999996</v>
      </c>
      <c r="J44" s="1277">
        <v>5.22</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39316</v>
      </c>
      <c r="D45" s="1277">
        <v>6.21</v>
      </c>
      <c r="E45" s="1277">
        <v>7.02</v>
      </c>
      <c r="F45" s="1277">
        <v>7.2</v>
      </c>
      <c r="G45" s="1277">
        <v>7.38</v>
      </c>
      <c r="H45" s="1277">
        <v>7.56</v>
      </c>
      <c r="I45" s="1277">
        <v>4.59</v>
      </c>
      <c r="J45" s="1277">
        <v>5.04</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39284</v>
      </c>
      <c r="D46" s="1277">
        <v>6.03</v>
      </c>
      <c r="E46" s="1277">
        <v>6.84</v>
      </c>
      <c r="F46" s="1277">
        <v>7.02</v>
      </c>
      <c r="G46" s="1277">
        <v>7.2</v>
      </c>
      <c r="H46" s="1277">
        <v>7.38</v>
      </c>
      <c r="I46" s="1277">
        <v>4.5</v>
      </c>
      <c r="J46" s="1277">
        <v>4.95</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39221</v>
      </c>
      <c r="D47" s="1277">
        <v>5.85</v>
      </c>
      <c r="E47" s="1277">
        <v>6.57</v>
      </c>
      <c r="F47" s="1277">
        <v>6.75</v>
      </c>
      <c r="G47" s="1277">
        <v>6.93</v>
      </c>
      <c r="H47" s="1277">
        <v>7.2</v>
      </c>
      <c r="I47" s="1277">
        <v>4.41</v>
      </c>
      <c r="J47" s="1277">
        <v>4.8600000000000003</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39159</v>
      </c>
      <c r="D48" s="1277">
        <v>5.67</v>
      </c>
      <c r="E48" s="1277">
        <v>6.39</v>
      </c>
      <c r="F48" s="1277">
        <v>6.57</v>
      </c>
      <c r="G48" s="1277">
        <v>6.75</v>
      </c>
      <c r="H48" s="1277">
        <v>7.11</v>
      </c>
      <c r="I48" s="1277">
        <v>4.32</v>
      </c>
      <c r="J48" s="1277">
        <v>4.7699999999999996</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38948</v>
      </c>
      <c r="D49" s="1277">
        <v>5.58</v>
      </c>
      <c r="E49" s="1277">
        <v>6.12</v>
      </c>
      <c r="F49" s="1277">
        <v>6.3</v>
      </c>
      <c r="G49" s="1277">
        <v>6.48</v>
      </c>
      <c r="H49" s="1277">
        <v>6.84</v>
      </c>
      <c r="I49" s="1277">
        <v>4.1399999999999997</v>
      </c>
      <c r="J49" s="1277">
        <v>4.59</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38835</v>
      </c>
      <c r="D50" s="1277">
        <v>5.4</v>
      </c>
      <c r="E50" s="1277">
        <v>5.85</v>
      </c>
      <c r="F50" s="1277">
        <v>6.03</v>
      </c>
      <c r="G50" s="1277">
        <v>6.12</v>
      </c>
      <c r="H50" s="1277">
        <v>6.39</v>
      </c>
      <c r="I50" s="1277">
        <v>4.1399999999999997</v>
      </c>
      <c r="J50" s="1277">
        <v>4.59</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38428</v>
      </c>
      <c r="D51" s="1277">
        <v>5.22</v>
      </c>
      <c r="E51" s="1277">
        <v>5.58</v>
      </c>
      <c r="F51" s="1277">
        <v>5.76</v>
      </c>
      <c r="G51" s="1277">
        <v>5.85</v>
      </c>
      <c r="H51" s="1277">
        <v>6.12</v>
      </c>
      <c r="I51" s="1277">
        <v>3.96</v>
      </c>
      <c r="J51" s="1277">
        <v>4.41</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38289</v>
      </c>
      <c r="D52" s="1277">
        <v>5.22</v>
      </c>
      <c r="E52" s="1277">
        <v>5.58</v>
      </c>
      <c r="F52" s="1277">
        <v>5.76</v>
      </c>
      <c r="G52" s="1277">
        <v>5.85</v>
      </c>
      <c r="H52" s="1277">
        <v>6.12</v>
      </c>
      <c r="I52" s="1277">
        <v>3.78</v>
      </c>
      <c r="J52" s="1277">
        <v>4.2300000000000004</v>
      </c>
      <c r="L52" s="1277"/>
      <c r="M52" s="1278"/>
      <c r="N52" s="1277"/>
      <c r="O52" s="1277"/>
      <c r="P52" s="1277"/>
      <c r="Q52" s="1277"/>
      <c r="R52" s="1277"/>
      <c r="S52" s="1277"/>
      <c r="T52" s="1277"/>
      <c r="U52" s="1277"/>
      <c r="V52" s="1277"/>
      <c r="W52" s="1277"/>
      <c r="X52" s="1277"/>
      <c r="Y52" s="1277"/>
      <c r="Z52" s="1277"/>
    </row>
    <row r="53" spans="2:26">
      <c r="B53" s="1277"/>
      <c r="C53" s="1278">
        <v>37308</v>
      </c>
      <c r="D53" s="1277">
        <v>5.04</v>
      </c>
      <c r="E53" s="1277">
        <v>5.31</v>
      </c>
      <c r="F53" s="1277">
        <v>5.49</v>
      </c>
      <c r="G53" s="1277">
        <v>5.58</v>
      </c>
      <c r="H53" s="1277">
        <v>5.76</v>
      </c>
      <c r="I53" s="1277">
        <v>3.6</v>
      </c>
      <c r="J53" s="1277">
        <v>4.05</v>
      </c>
      <c r="L53" s="1277"/>
      <c r="M53" s="1278"/>
      <c r="N53" s="1277"/>
      <c r="O53" s="1277"/>
      <c r="P53" s="1277"/>
      <c r="Q53" s="1277"/>
      <c r="R53" s="1277"/>
      <c r="S53" s="1277"/>
      <c r="T53" s="1277"/>
      <c r="U53" s="1277"/>
      <c r="V53" s="1277"/>
      <c r="W53" s="1277"/>
      <c r="X53" s="1277"/>
      <c r="Y53" s="1277"/>
      <c r="Z53" s="1277"/>
    </row>
    <row r="54" spans="2:26">
      <c r="B54" s="1277"/>
      <c r="C54" s="1278">
        <v>36321</v>
      </c>
      <c r="D54" s="1277">
        <v>5.58</v>
      </c>
      <c r="E54" s="1277">
        <v>5.85</v>
      </c>
      <c r="F54" s="1277">
        <v>5.94</v>
      </c>
      <c r="G54" s="1277">
        <v>6.03</v>
      </c>
      <c r="H54" s="1277">
        <v>6.21</v>
      </c>
      <c r="I54" s="1277">
        <v>4.1399999999999997</v>
      </c>
      <c r="J54" s="1277">
        <v>4.59</v>
      </c>
      <c r="L54" s="1277"/>
      <c r="M54" s="1278"/>
      <c r="N54" s="1277"/>
      <c r="O54" s="1277"/>
      <c r="P54" s="1277"/>
      <c r="Q54" s="1277"/>
      <c r="R54" s="1277"/>
      <c r="S54" s="1277"/>
      <c r="T54" s="1277"/>
      <c r="U54" s="1277"/>
      <c r="V54" s="1277"/>
      <c r="W54" s="1277"/>
      <c r="X54" s="1277"/>
      <c r="Y54" s="1277"/>
      <c r="Z54" s="1277"/>
    </row>
    <row r="55" spans="2:26">
      <c r="B55" s="1277"/>
      <c r="C55" s="1278">
        <v>36136</v>
      </c>
      <c r="D55" s="1277">
        <v>6.12</v>
      </c>
      <c r="E55" s="1277">
        <v>6.39</v>
      </c>
      <c r="F55" s="1277">
        <v>6.66</v>
      </c>
      <c r="G55" s="1277">
        <v>7.2</v>
      </c>
      <c r="H55" s="1277">
        <v>7.56</v>
      </c>
      <c r="I55" s="1277">
        <v>0</v>
      </c>
      <c r="J55" s="1277">
        <v>0</v>
      </c>
      <c r="L55" s="1277"/>
      <c r="M55" s="1278"/>
      <c r="N55" s="1277"/>
      <c r="O55" s="1277"/>
      <c r="P55" s="1277"/>
      <c r="Q55" s="1277"/>
      <c r="R55" s="1277"/>
      <c r="S55" s="1277"/>
      <c r="T55" s="1277"/>
      <c r="U55" s="1277"/>
      <c r="V55" s="1277"/>
      <c r="W55" s="1277"/>
      <c r="X55" s="1277"/>
      <c r="Y55" s="1277"/>
      <c r="Z55" s="1277"/>
    </row>
    <row r="56" spans="2:26">
      <c r="B56" s="1277"/>
      <c r="C56" s="1278">
        <v>35977</v>
      </c>
      <c r="D56" s="1277">
        <v>6.57</v>
      </c>
      <c r="E56" s="1277">
        <v>6.93</v>
      </c>
      <c r="F56" s="1277">
        <v>7.11</v>
      </c>
      <c r="G56" s="1277">
        <v>7.65</v>
      </c>
      <c r="H56" s="1277">
        <v>8.01</v>
      </c>
      <c r="I56" s="1277">
        <v>0</v>
      </c>
      <c r="J56" s="1277">
        <v>0</v>
      </c>
      <c r="L56" s="1277"/>
      <c r="M56" s="1278"/>
      <c r="N56" s="1277"/>
      <c r="O56" s="1277"/>
      <c r="P56" s="1277"/>
      <c r="Q56" s="1277"/>
      <c r="R56" s="1277"/>
      <c r="S56" s="1277"/>
      <c r="T56" s="1277"/>
      <c r="U56" s="1277"/>
      <c r="V56" s="1277"/>
      <c r="W56" s="1277"/>
      <c r="X56" s="1277"/>
      <c r="Y56" s="1277"/>
      <c r="Z56" s="1277"/>
    </row>
    <row r="57" spans="2:26">
      <c r="B57" s="1277"/>
      <c r="C57" s="1278">
        <v>35879</v>
      </c>
      <c r="D57" s="1277">
        <v>7.02</v>
      </c>
      <c r="E57" s="1277">
        <v>7.92</v>
      </c>
      <c r="F57" s="1277">
        <v>9</v>
      </c>
      <c r="G57" s="1277">
        <v>9.7200000000000006</v>
      </c>
      <c r="H57" s="1277">
        <v>10.35</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35726</v>
      </c>
      <c r="D58" s="1277">
        <v>7.65</v>
      </c>
      <c r="E58" s="1277">
        <v>8.64</v>
      </c>
      <c r="F58" s="1277">
        <v>9.36</v>
      </c>
      <c r="G58" s="1277">
        <v>9.9</v>
      </c>
      <c r="H58" s="1277">
        <v>10.53</v>
      </c>
      <c r="I58" s="1277">
        <v>0</v>
      </c>
      <c r="J58" s="1277">
        <v>0</v>
      </c>
    </row>
    <row r="59" spans="2:26">
      <c r="B59" s="1277"/>
      <c r="C59" s="1278">
        <v>35300</v>
      </c>
      <c r="D59" s="1277">
        <v>9.18</v>
      </c>
      <c r="E59" s="1277">
        <v>10.08</v>
      </c>
      <c r="F59" s="1277">
        <v>10.98</v>
      </c>
      <c r="G59" s="1277">
        <v>11.7</v>
      </c>
      <c r="H59" s="1277">
        <v>12.42</v>
      </c>
      <c r="I59" s="1277">
        <v>0</v>
      </c>
      <c r="J59" s="1277">
        <v>0</v>
      </c>
    </row>
    <row r="60" spans="2:26">
      <c r="B60" s="1277"/>
      <c r="C60" s="1278">
        <v>35186</v>
      </c>
      <c r="D60" s="1277">
        <v>9.7200000000000006</v>
      </c>
      <c r="E60" s="1277">
        <v>10.98</v>
      </c>
      <c r="F60" s="1277">
        <v>13.14</v>
      </c>
      <c r="G60" s="1277">
        <v>14.94</v>
      </c>
      <c r="H60" s="1277">
        <v>15.12</v>
      </c>
      <c r="I60" s="1277">
        <v>0</v>
      </c>
      <c r="J60" s="1277">
        <v>0</v>
      </c>
    </row>
    <row r="61" spans="2:26">
      <c r="B61" s="1277"/>
      <c r="C61" s="1278">
        <v>34881</v>
      </c>
      <c r="D61" s="1277">
        <v>10.08</v>
      </c>
      <c r="E61" s="1277">
        <v>12.06</v>
      </c>
      <c r="F61" s="1277">
        <v>13.5</v>
      </c>
      <c r="G61" s="1277">
        <v>15.12</v>
      </c>
      <c r="H61" s="1277">
        <v>15.3</v>
      </c>
      <c r="I61" s="1277">
        <v>0</v>
      </c>
      <c r="J61" s="1277">
        <v>0</v>
      </c>
    </row>
    <row r="62" spans="2:26">
      <c r="B62" s="1277"/>
      <c r="C62" s="1278">
        <v>34700</v>
      </c>
      <c r="D62" s="1277">
        <v>9</v>
      </c>
      <c r="E62" s="1277">
        <v>10.98</v>
      </c>
      <c r="F62" s="1277">
        <v>12.96</v>
      </c>
      <c r="G62" s="1277">
        <v>14.58</v>
      </c>
      <c r="H62" s="1277">
        <v>14.76</v>
      </c>
      <c r="I62" s="1277">
        <v>0</v>
      </c>
      <c r="J62" s="1277">
        <v>0</v>
      </c>
    </row>
    <row r="63" spans="2:26">
      <c r="B63" s="1277"/>
      <c r="C63" s="1278">
        <v>34161</v>
      </c>
      <c r="D63" s="1277">
        <v>9</v>
      </c>
      <c r="E63" s="1277">
        <v>10.98</v>
      </c>
      <c r="F63" s="1277">
        <v>12.24</v>
      </c>
      <c r="G63" s="1277">
        <v>13.86</v>
      </c>
      <c r="H63" s="1277">
        <v>14.04</v>
      </c>
      <c r="I63" s="1277">
        <v>0</v>
      </c>
      <c r="J63" s="1277">
        <v>0</v>
      </c>
    </row>
    <row r="64" spans="2:26">
      <c r="B64" s="1277"/>
      <c r="C64" s="1278">
        <v>34104</v>
      </c>
      <c r="D64" s="1277">
        <v>8.82</v>
      </c>
      <c r="E64" s="1277">
        <v>9.36</v>
      </c>
      <c r="F64" s="1277">
        <v>10.8</v>
      </c>
      <c r="G64" s="1277">
        <v>12.06</v>
      </c>
      <c r="H64" s="1277">
        <v>12.24</v>
      </c>
      <c r="I64" s="1277">
        <v>0</v>
      </c>
      <c r="J64" s="1277">
        <v>0</v>
      </c>
    </row>
    <row r="65" spans="2:10">
      <c r="B65" s="1277"/>
      <c r="C65" s="1278">
        <v>33349</v>
      </c>
      <c r="D65" s="1277">
        <v>8.1</v>
      </c>
      <c r="E65" s="1277">
        <v>8.64</v>
      </c>
      <c r="F65" s="1277">
        <v>9</v>
      </c>
      <c r="G65" s="1277">
        <v>9.5399999999999991</v>
      </c>
      <c r="H65" s="1277">
        <v>9.7200000000000006</v>
      </c>
      <c r="I65" s="1277">
        <v>0</v>
      </c>
      <c r="J65" s="1277">
        <v>0</v>
      </c>
    </row>
    <row r="66" spans="2:10">
      <c r="B66" s="1277"/>
      <c r="C66" s="1278">
        <v>33318</v>
      </c>
      <c r="D66" s="1277">
        <v>9</v>
      </c>
      <c r="E66" s="1277">
        <v>10.08</v>
      </c>
      <c r="F66" s="1277">
        <v>10.8</v>
      </c>
      <c r="G66" s="1277">
        <v>11.52</v>
      </c>
      <c r="H66" s="1277">
        <v>11.88</v>
      </c>
      <c r="I66" s="1277" t="s">
        <v>633</v>
      </c>
      <c r="J66" s="1277" t="s">
        <v>633</v>
      </c>
    </row>
    <row r="67" spans="2:10">
      <c r="B67" s="1277"/>
      <c r="C67" s="1278">
        <v>33106</v>
      </c>
      <c r="D67" s="1277">
        <v>8.64</v>
      </c>
      <c r="E67" s="1277">
        <v>9.36</v>
      </c>
      <c r="F67" s="1277">
        <v>10.08</v>
      </c>
      <c r="G67" s="1277">
        <v>10.8</v>
      </c>
      <c r="H67" s="1277">
        <v>11.16</v>
      </c>
      <c r="I67" s="1277">
        <v>0</v>
      </c>
      <c r="J67" s="1277">
        <v>0</v>
      </c>
    </row>
    <row r="68" spans="2:10">
      <c r="B68" s="1277"/>
      <c r="C68" s="1278">
        <v>32540</v>
      </c>
      <c r="D68" s="1277">
        <v>11.34</v>
      </c>
      <c r="E68" s="1277">
        <v>11.34</v>
      </c>
      <c r="F68" s="1277">
        <v>12.78</v>
      </c>
      <c r="G68" s="1277">
        <v>14.4</v>
      </c>
      <c r="H68" s="1277">
        <v>19.260000000000002</v>
      </c>
      <c r="I68" s="1277">
        <v>0</v>
      </c>
      <c r="J68" s="1277">
        <v>0</v>
      </c>
    </row>
    <row r="69" spans="2:10">
      <c r="B69" s="1277"/>
      <c r="C69" s="1278"/>
      <c r="D69" s="1277"/>
      <c r="E69" s="1277"/>
      <c r="F69" s="1277"/>
      <c r="G69" s="1277"/>
      <c r="H69" s="1277"/>
      <c r="I69" s="1277"/>
      <c r="J69" s="1277"/>
    </row>
    <row r="70" spans="2:10">
      <c r="B70" s="1280"/>
      <c r="C70" s="1281"/>
      <c r="D70" s="1280"/>
      <c r="E70" s="1280"/>
      <c r="F70" s="1280"/>
      <c r="G70" s="1280"/>
      <c r="H70" s="1280"/>
      <c r="I70" s="1280"/>
      <c r="J70" s="1280"/>
    </row>
    <row r="71" spans="2:10">
      <c r="B71" s="1280"/>
      <c r="C71" s="1281"/>
      <c r="D71" s="1280"/>
      <c r="E71" s="1280"/>
      <c r="F71" s="1280"/>
      <c r="G71" s="1280"/>
      <c r="H71" s="1280"/>
      <c r="I71" s="1280"/>
      <c r="J71" s="1280"/>
    </row>
    <row r="72" spans="2:10">
      <c r="B72" s="1280"/>
      <c r="C72" s="1281"/>
      <c r="D72" s="1280"/>
      <c r="E72" s="1280"/>
      <c r="F72" s="1280"/>
      <c r="G72" s="1280"/>
      <c r="H72" s="1280"/>
      <c r="I72" s="1280"/>
      <c r="J72" s="1280"/>
    </row>
    <row r="73" spans="2:10">
      <c r="B73" s="1229"/>
      <c r="C73" s="1229"/>
      <c r="D73" s="1229"/>
      <c r="E73" s="1229"/>
      <c r="F73" s="1229"/>
      <c r="G73" s="1229"/>
      <c r="H73" s="1229"/>
      <c r="I73" s="1229"/>
      <c r="J73" s="1229"/>
    </row>
    <row r="74" spans="2:10">
      <c r="B74" s="1229"/>
      <c r="C74" s="1229"/>
      <c r="D74" s="1229"/>
      <c r="E74" s="1229"/>
      <c r="F74" s="1229"/>
      <c r="G74" s="1229"/>
      <c r="H74" s="1229"/>
      <c r="I74" s="1229"/>
      <c r="J74" s="122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4" customWidth="1"/>
    <col min="2" max="9" width="12.125" style="1464" customWidth="1"/>
    <col min="10" max="16384" width="9" style="1464"/>
  </cols>
  <sheetData>
    <row r="1" spans="1:9" ht="18.75"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928</v>
      </c>
      <c r="B2" s="3536" t="s">
        <v>929</v>
      </c>
      <c r="C2" s="3536" t="s">
        <v>930</v>
      </c>
      <c r="D2" s="3536" t="str">
        <f>结果表!D116</f>
        <v>出让国有建设用地使用权价值</v>
      </c>
      <c r="E2" s="3536"/>
      <c r="F2" s="3536" t="str">
        <f>结果表!F116</f>
        <v>建筑物价值</v>
      </c>
      <c r="G2" s="3536"/>
      <c r="H2" s="3536" t="str">
        <f>IF(项目基本情况!B9="房地产市场价值","房地产市场价值","房地产价值")</f>
        <v>房地产价值</v>
      </c>
      <c r="I2" s="3536"/>
    </row>
    <row r="3" spans="1:9" ht="15">
      <c r="A3" s="3531"/>
      <c r="B3" s="3531"/>
      <c r="C3" s="3531"/>
      <c r="D3" s="841" t="s">
        <v>925</v>
      </c>
      <c r="E3" s="841" t="s">
        <v>931</v>
      </c>
      <c r="F3" s="841" t="s">
        <v>925</v>
      </c>
      <c r="G3" s="841" t="s">
        <v>926</v>
      </c>
      <c r="H3" s="841" t="s">
        <v>925</v>
      </c>
      <c r="I3" s="841" t="s">
        <v>926</v>
      </c>
    </row>
    <row r="4" spans="1:9" ht="30">
      <c r="A4" s="1492" t="str">
        <f>项目基本情况!S2</f>
        <v>北京市海淀区板井路69号世纪金源大饭店房地产</v>
      </c>
      <c r="B4" s="841">
        <f>项目基本情况!C17</f>
        <v>98312.17</v>
      </c>
      <c r="C4" s="841">
        <f>项目基本情况!C18</f>
        <v>28178.74</v>
      </c>
      <c r="D4" s="841">
        <f ca="1">结果表!D118</f>
        <v>220707</v>
      </c>
      <c r="E4" s="841">
        <f ca="1">结果表!E118</f>
        <v>22450</v>
      </c>
      <c r="F4" s="841">
        <f ca="1">结果表!F118</f>
        <v>115737</v>
      </c>
      <c r="G4" s="841">
        <f ca="1">结果表!G118</f>
        <v>11772</v>
      </c>
      <c r="H4" s="841">
        <f ca="1">结果表!H118</f>
        <v>336444</v>
      </c>
      <c r="I4" s="841">
        <f ca="1">结果表!I118</f>
        <v>34222</v>
      </c>
    </row>
    <row r="5" spans="1:9" ht="30" customHeight="1">
      <c r="A5" s="3531" t="s">
        <v>927</v>
      </c>
      <c r="B5" s="3531"/>
      <c r="C5" s="3531"/>
      <c r="D5" s="3531" t="str">
        <f ca="1">结果表!D119</f>
        <v>贰拾贰亿零柒佰零柒万元整</v>
      </c>
      <c r="E5" s="3531"/>
      <c r="F5" s="3531" t="str">
        <f ca="1">结果表!F119</f>
        <v>壹拾壹亿伍仟柒佰叁拾柒万元整</v>
      </c>
      <c r="G5" s="3531"/>
      <c r="H5" s="3531" t="str">
        <f ca="1">结果表!H119</f>
        <v>叁拾叁亿陆仟肆佰肆拾肆万元整</v>
      </c>
      <c r="I5" s="3531"/>
    </row>
    <row r="6" spans="1:9" ht="15.75">
      <c r="A6" s="3530" t="str">
        <f>结果表!A120</f>
        <v>估价师知悉的法定优先受偿款</v>
      </c>
      <c r="B6" s="3530"/>
      <c r="C6" s="3530"/>
      <c r="D6" s="3530">
        <f>结果表!D120</f>
        <v>0</v>
      </c>
      <c r="E6" s="3530"/>
      <c r="F6" s="3530"/>
      <c r="G6" s="3530"/>
      <c r="H6" s="3530"/>
      <c r="I6" s="3530"/>
    </row>
    <row r="7" spans="1:9" ht="15">
      <c r="A7" s="3531" t="s">
        <v>927</v>
      </c>
      <c r="B7" s="3531"/>
      <c r="C7" s="3531"/>
      <c r="D7" s="3532" t="str">
        <f>结果表!D121</f>
        <v>零元整</v>
      </c>
      <c r="E7" s="3533"/>
      <c r="F7" s="3533"/>
      <c r="G7" s="3533"/>
      <c r="H7" s="3533"/>
      <c r="I7" s="3534"/>
    </row>
    <row r="8" spans="1:9" ht="15.75">
      <c r="A8" s="3530" t="str">
        <f>结果表!A122</f>
        <v>房地产抵押价值</v>
      </c>
      <c r="B8" s="3530"/>
      <c r="C8" s="3530"/>
      <c r="D8" s="3530">
        <f ca="1">结果表!D122</f>
        <v>336444</v>
      </c>
      <c r="E8" s="3530"/>
      <c r="F8" s="3530"/>
      <c r="G8" s="3530"/>
      <c r="H8" s="3530"/>
      <c r="I8" s="3530"/>
    </row>
    <row r="9" spans="1:9" ht="15">
      <c r="A9" s="3531" t="s">
        <v>927</v>
      </c>
      <c r="B9" s="3531"/>
      <c r="C9" s="3531"/>
      <c r="D9" s="3531" t="str">
        <f ca="1">结果表!D123</f>
        <v>叁拾叁亿陆仟肆佰肆拾肆万元整</v>
      </c>
      <c r="E9" s="3531"/>
      <c r="F9" s="3531"/>
      <c r="G9" s="3531"/>
      <c r="H9" s="3531"/>
      <c r="I9" s="3531"/>
    </row>
    <row r="10" spans="1:9" ht="15.75">
      <c r="A10" s="3530" t="str">
        <f>结果表!A124</f>
        <v/>
      </c>
      <c r="B10" s="3530"/>
      <c r="C10" s="3530"/>
      <c r="D10" s="3530" t="str">
        <f>结果表!D124</f>
        <v>——</v>
      </c>
      <c r="E10" s="3530"/>
      <c r="F10" s="3530"/>
      <c r="G10" s="3530"/>
      <c r="H10" s="3530"/>
      <c r="I10" s="3530"/>
    </row>
    <row r="11" spans="1:9" ht="15">
      <c r="A11" s="3531" t="s">
        <v>927</v>
      </c>
      <c r="B11" s="3531"/>
      <c r="C11" s="3531"/>
      <c r="D11" s="3531" t="e">
        <f>结果表!D125</f>
        <v>#VALUE!</v>
      </c>
      <c r="E11" s="3531"/>
      <c r="F11" s="3531"/>
      <c r="G11" s="3531"/>
      <c r="H11" s="3531"/>
      <c r="I11" s="3531"/>
    </row>
    <row r="12" spans="1:9" ht="15.75">
      <c r="A12" s="3530" t="str">
        <f>结果表!A126</f>
        <v>抵押净值</v>
      </c>
      <c r="B12" s="3530"/>
      <c r="C12" s="3530"/>
      <c r="D12" s="3530">
        <f ca="1">结果表!D126</f>
        <v>283207</v>
      </c>
      <c r="E12" s="3530"/>
      <c r="F12" s="3530"/>
      <c r="G12" s="3530"/>
      <c r="H12" s="3530"/>
      <c r="I12" s="3530"/>
    </row>
    <row r="13" spans="1:9" ht="15.75" thickBot="1">
      <c r="A13" s="3528" t="s">
        <v>927</v>
      </c>
      <c r="B13" s="3528"/>
      <c r="C13" s="3528"/>
      <c r="D13" s="3528" t="str">
        <f ca="1">结果表!D127</f>
        <v>贰拾捌亿叁仟贰佰零柒万元整</v>
      </c>
      <c r="E13" s="3528"/>
      <c r="F13" s="3528"/>
      <c r="G13" s="3528"/>
      <c r="H13" s="3528"/>
      <c r="I13" s="3528"/>
    </row>
    <row r="14" spans="1:9" ht="15" thickTop="1">
      <c r="A14" s="3529" t="s">
        <v>932</v>
      </c>
      <c r="B14" s="3529"/>
      <c r="C14" s="3529"/>
      <c r="D14" s="3529"/>
      <c r="E14" s="3529"/>
      <c r="F14" s="3529"/>
      <c r="G14" s="3529"/>
      <c r="H14" s="3529"/>
      <c r="I14" s="3529"/>
    </row>
    <row r="16" spans="1:9" ht="18.75">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4" customWidth="1"/>
    <col min="2" max="3" width="22.375" style="1464" customWidth="1"/>
    <col min="4" max="4" width="23" style="1464" customWidth="1"/>
    <col min="5" max="16384" width="9" style="1464"/>
  </cols>
  <sheetData>
    <row r="1" spans="1:4" ht="18.75">
      <c r="A1" s="3543" t="s">
        <v>949</v>
      </c>
      <c r="B1" s="3543"/>
      <c r="C1" s="3543"/>
      <c r="D1" s="3543"/>
    </row>
    <row r="2" spans="1:4" ht="18">
      <c r="A2" s="3544" t="s">
        <v>933</v>
      </c>
      <c r="B2" s="3544"/>
      <c r="C2" s="3544"/>
      <c r="D2" s="3544"/>
    </row>
    <row r="3" spans="1:4" ht="18.75">
      <c r="A3" s="1496" t="s">
        <v>934</v>
      </c>
      <c r="B3" s="1496" t="s">
        <v>935</v>
      </c>
      <c r="C3" s="1496" t="s">
        <v>936</v>
      </c>
      <c r="D3" s="1496" t="s">
        <v>937</v>
      </c>
    </row>
    <row r="4" spans="1:4" ht="56.25" customHeight="1">
      <c r="A4" s="1497" t="str">
        <f>项目基本情况!B4</f>
        <v>吴薇</v>
      </c>
      <c r="B4" s="1498">
        <f ca="1">项目基本情况!C4</f>
        <v>1419970001</v>
      </c>
      <c r="C4" s="1499"/>
      <c r="D4" s="1500" t="s">
        <v>938</v>
      </c>
    </row>
    <row r="5" spans="1:4" ht="56.25" customHeight="1">
      <c r="A5" s="1497" t="str">
        <f>项目基本情况!D4</f>
        <v>郑燚</v>
      </c>
      <c r="B5" s="1498">
        <f ca="1">项目基本情况!E4</f>
        <v>1120070131</v>
      </c>
      <c r="C5" s="1501"/>
      <c r="D5" s="1500" t="s">
        <v>938</v>
      </c>
    </row>
    <row r="6" spans="1:4" ht="18">
      <c r="A6" s="3544" t="s">
        <v>939</v>
      </c>
      <c r="B6" s="3544"/>
      <c r="C6" s="3544"/>
      <c r="D6" s="3544"/>
    </row>
    <row r="7" spans="1:4" ht="18.75">
      <c r="A7" s="1496" t="s">
        <v>934</v>
      </c>
      <c r="B7" s="1498" t="s">
        <v>940</v>
      </c>
      <c r="C7" s="1496" t="s">
        <v>936</v>
      </c>
      <c r="D7" s="1496" t="s">
        <v>937</v>
      </c>
    </row>
    <row r="8" spans="1:4" ht="56.25" customHeight="1">
      <c r="A8" s="1502" t="s">
        <v>390</v>
      </c>
      <c r="B8" s="1502" t="s">
        <v>0</v>
      </c>
      <c r="C8" s="1499"/>
      <c r="D8" s="1500" t="s">
        <v>938</v>
      </c>
    </row>
    <row r="9" spans="1:4">
      <c r="A9" s="662"/>
      <c r="B9" s="662"/>
      <c r="C9" s="662"/>
      <c r="D9" s="662"/>
    </row>
    <row r="10" spans="1:4" ht="18.75">
      <c r="A10" s="1503" t="s">
        <v>941</v>
      </c>
      <c r="B10" s="662"/>
      <c r="C10" s="662"/>
      <c r="D10" s="662"/>
    </row>
    <row r="11" spans="1:4" ht="30" customHeight="1">
      <c r="A11" s="3545" t="s">
        <v>942</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37" t="str">
        <f>IF(项目基本情况!B8="抵押","4.本次评估估价师所知悉的法定优先受偿款情况说明如下：","——")</f>
        <v>4.本次评估估价师所知悉的法定优先受偿款情况说明如下：</v>
      </c>
      <c r="B14" s="3542"/>
      <c r="C14" s="3542"/>
      <c r="D14" s="3542"/>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39" t="s">
        <v>943</v>
      </c>
      <c r="B16" s="3539"/>
      <c r="C16" s="3539"/>
      <c r="D16" s="3539"/>
    </row>
    <row r="17" spans="1:4" ht="144" customHeight="1">
      <c r="A17" s="3539" t="s">
        <v>944</v>
      </c>
      <c r="B17" s="3539"/>
      <c r="C17" s="3539"/>
      <c r="D17" s="3539"/>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0"/>
      <c r="C21" s="3540"/>
      <c r="D21" s="3540"/>
    </row>
    <row r="22" spans="1:4" ht="18.75" customHeight="1">
      <c r="A22" s="3541" t="s">
        <v>945</v>
      </c>
      <c r="B22" s="3541"/>
      <c r="C22" s="3541"/>
      <c r="D22" s="3541"/>
    </row>
    <row r="23" spans="1:4">
      <c r="A23" s="1504"/>
      <c r="B23" s="1476"/>
      <c r="C23" s="1476"/>
      <c r="D23" s="1476"/>
    </row>
    <row r="24" spans="1:4">
      <c r="A24" s="1504"/>
      <c r="B24" s="1476"/>
      <c r="C24" s="1476"/>
      <c r="D24" s="1476"/>
    </row>
    <row r="25" spans="1:4" ht="18.75">
      <c r="A25" s="1505" t="s">
        <v>946</v>
      </c>
    </row>
    <row r="26" spans="1:4" ht="18">
      <c r="A26" s="1474"/>
    </row>
    <row r="27" spans="1:4" ht="18.75">
      <c r="A27" s="1474" t="s">
        <v>947</v>
      </c>
    </row>
    <row r="30" spans="1:4" ht="18.75">
      <c r="D30" s="1505" t="s">
        <v>948</v>
      </c>
    </row>
    <row r="31" spans="1:4" ht="13.5" customHeight="1">
      <c r="C31" s="3538">
        <v>42551</v>
      </c>
      <c r="D31" s="35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2" customWidth="1"/>
    <col min="3" max="10" width="12.5" style="1462" customWidth="1"/>
    <col min="11" max="16384" width="9" style="1462"/>
  </cols>
  <sheetData>
    <row r="1" spans="1:10" ht="18.75">
      <c r="A1" s="1495" t="s">
        <v>391</v>
      </c>
      <c r="B1" s="1506"/>
      <c r="C1" s="1506"/>
      <c r="D1" s="1506"/>
      <c r="E1" s="1506"/>
      <c r="F1" s="1506"/>
      <c r="G1" s="1506"/>
      <c r="H1" s="1506"/>
      <c r="I1" s="1506"/>
      <c r="J1" s="1506"/>
    </row>
    <row r="2" spans="1:10" ht="18.75">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2" customWidth="1"/>
    <col min="2" max="16384" width="14.5" style="1494"/>
  </cols>
  <sheetData>
    <row r="1" spans="1:7" s="1509" customFormat="1" ht="18.75">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3.5">
      <c r="A15" s="3551" t="s">
        <v>956</v>
      </c>
      <c r="B15" s="3546" t="s">
        <v>109</v>
      </c>
      <c r="C15" s="3547"/>
    </row>
    <row r="16" spans="1:7" ht="13.5">
      <c r="A16" s="3552"/>
      <c r="B16" s="3546" t="s">
        <v>42</v>
      </c>
      <c r="C16" s="3547"/>
    </row>
    <row r="17" spans="1:3" ht="13.5">
      <c r="A17" s="3552"/>
      <c r="B17" s="3549" t="s">
        <v>957</v>
      </c>
      <c r="C17" s="1519" t="s">
        <v>956</v>
      </c>
    </row>
    <row r="18" spans="1:3" ht="13.5">
      <c r="A18" s="3552"/>
      <c r="B18" s="3549"/>
      <c r="C18" s="1519" t="s">
        <v>958</v>
      </c>
    </row>
    <row r="19" spans="1:3" ht="13.5">
      <c r="A19" s="3552"/>
      <c r="B19" s="3549"/>
      <c r="C19" s="1519" t="s">
        <v>959</v>
      </c>
    </row>
    <row r="20" spans="1:3" ht="13.5">
      <c r="A20" s="3553"/>
      <c r="B20" s="3548" t="s">
        <v>960</v>
      </c>
      <c r="C20" s="3547"/>
    </row>
    <row r="21" spans="1:3" ht="13.5">
      <c r="A21" s="1520" t="s">
        <v>961</v>
      </c>
      <c r="B21" s="1521"/>
      <c r="C21" s="1522"/>
    </row>
    <row r="22" spans="1:3" ht="13.5">
      <c r="A22" s="3550" t="s">
        <v>962</v>
      </c>
      <c r="B22" s="3548" t="s">
        <v>963</v>
      </c>
      <c r="C22" s="3547"/>
    </row>
    <row r="23" spans="1:3" ht="13.5">
      <c r="A23" s="3550"/>
      <c r="B23" s="3548" t="s">
        <v>964</v>
      </c>
      <c r="C23" s="3547"/>
    </row>
    <row r="24" spans="1:3" ht="13.5">
      <c r="A24" s="3550"/>
      <c r="B24" s="3548" t="s">
        <v>965</v>
      </c>
      <c r="C24" s="3547"/>
    </row>
    <row r="25" spans="1:3" ht="13.5">
      <c r="A25" s="3550"/>
      <c r="B25" s="3549" t="s">
        <v>966</v>
      </c>
      <c r="C25" s="1519" t="s">
        <v>967</v>
      </c>
    </row>
    <row r="26" spans="1:3" ht="13.5">
      <c r="A26" s="3550"/>
      <c r="B26" s="3549"/>
      <c r="C26" s="1519" t="s">
        <v>968</v>
      </c>
    </row>
    <row r="27" spans="1:3" ht="13.5">
      <c r="A27" s="3550"/>
      <c r="B27" s="3549"/>
      <c r="C27" s="1519" t="s">
        <v>969</v>
      </c>
    </row>
    <row r="28" spans="1:3" ht="13.5">
      <c r="A28" s="3550"/>
      <c r="B28" s="3549"/>
      <c r="C28" s="1519" t="s">
        <v>970</v>
      </c>
    </row>
    <row r="29" spans="1:3" ht="13.5">
      <c r="A29" s="3550"/>
      <c r="B29" s="3549"/>
      <c r="C29" s="1519" t="s">
        <v>971</v>
      </c>
    </row>
    <row r="30" spans="1:3" ht="13.5">
      <c r="A30" s="3550"/>
      <c r="B30" s="3549"/>
      <c r="C30" s="1519" t="s">
        <v>972</v>
      </c>
    </row>
    <row r="31" spans="1:3" ht="13.5">
      <c r="A31" s="3550"/>
      <c r="B31" s="3549"/>
      <c r="C31" s="1519" t="s">
        <v>973</v>
      </c>
    </row>
    <row r="32" spans="1:3" ht="13.5">
      <c r="A32" s="3550"/>
      <c r="B32" s="3549"/>
      <c r="C32" s="1519" t="s">
        <v>974</v>
      </c>
    </row>
    <row r="33" spans="1:3" ht="13.5">
      <c r="A33" s="3550"/>
      <c r="B33" s="3549"/>
      <c r="C33" s="1519" t="s">
        <v>975</v>
      </c>
    </row>
    <row r="34" spans="1:3">
      <c r="A34" s="1523" t="s">
        <v>49</v>
      </c>
    </row>
    <row r="37" spans="1:3">
      <c r="A37" s="1523" t="s">
        <v>976</v>
      </c>
    </row>
    <row r="38" spans="1:3" ht="13.5">
      <c r="A38" s="1524" t="s">
        <v>50</v>
      </c>
    </row>
    <row r="39" spans="1:3" ht="13.5">
      <c r="A39" s="1524" t="s">
        <v>51</v>
      </c>
    </row>
    <row r="40" spans="1:3" ht="13.5">
      <c r="A40" s="1524" t="s">
        <v>52</v>
      </c>
    </row>
    <row r="41" spans="1:3" ht="13.5">
      <c r="A41" s="1525" t="s">
        <v>53</v>
      </c>
    </row>
    <row r="42" spans="1:3" ht="13.5">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4" customWidth="1"/>
    <col min="2" max="2" width="38.625" style="2324" customWidth="1"/>
    <col min="3" max="3" width="26" style="2324" customWidth="1"/>
    <col min="4" max="4" width="35" style="2324" hidden="1" customWidth="1"/>
    <col min="5" max="5" width="30.125" style="2324" customWidth="1"/>
    <col min="6" max="6" width="35.5" style="2324" customWidth="1"/>
    <col min="7" max="7" width="31" style="2324" customWidth="1"/>
    <col min="8" max="8" width="37.5" style="2324" hidden="1" customWidth="1"/>
    <col min="9" max="16384" width="22.625" style="2324"/>
  </cols>
  <sheetData>
    <row r="1" spans="1:8" ht="24" customHeight="1">
      <c r="A1" s="2323"/>
      <c r="B1" s="2323"/>
      <c r="C1" s="2323"/>
      <c r="D1" s="2323"/>
      <c r="E1" s="2323"/>
      <c r="F1" s="2323"/>
      <c r="G1" s="2323"/>
      <c r="H1" s="2323"/>
    </row>
    <row r="2" spans="1:8" ht="24" customHeight="1">
      <c r="A2" s="2325" t="s">
        <v>2138</v>
      </c>
      <c r="B2" s="2326">
        <f ca="1">TODAY()</f>
        <v>45378</v>
      </c>
      <c r="C2" s="2327" t="s">
        <v>2139</v>
      </c>
      <c r="D2" s="2327"/>
      <c r="E2" s="2327"/>
      <c r="F2" s="2323"/>
      <c r="G2" s="2323"/>
      <c r="H2" s="2323"/>
    </row>
    <row r="3" spans="1:8" ht="24" customHeight="1">
      <c r="A3" s="2328" t="s">
        <v>2140</v>
      </c>
      <c r="B3" s="2329" t="s">
        <v>2141</v>
      </c>
      <c r="C3" s="2329" t="s">
        <v>2142</v>
      </c>
      <c r="D3" s="2330" t="s">
        <v>2143</v>
      </c>
      <c r="E3" s="2331" t="s">
        <v>2144</v>
      </c>
      <c r="F3" s="1291" t="s">
        <v>2145</v>
      </c>
      <c r="G3" s="2329" t="s">
        <v>2142</v>
      </c>
      <c r="H3" s="2330" t="s">
        <v>2146</v>
      </c>
    </row>
    <row r="4" spans="1:8" ht="24" customHeight="1">
      <c r="A4" s="1291" t="s">
        <v>2147</v>
      </c>
      <c r="B4" s="1291">
        <f ca="1">IF(C4&lt;B2,"已过期",1119970066)</f>
        <v>1119970066</v>
      </c>
      <c r="C4" s="2332">
        <v>45937</v>
      </c>
      <c r="D4" s="2333" t="str">
        <f ca="1">A4&amp;"（注册号："&amp;B4&amp;"）"</f>
        <v>梁津（注册号：1119970066）</v>
      </c>
      <c r="E4" s="2334" t="s">
        <v>2147</v>
      </c>
      <c r="F4" s="1291">
        <f ca="1">IF(G4&lt;B2,"已过期",96010014)</f>
        <v>96010014</v>
      </c>
      <c r="G4" s="2335">
        <v>47118</v>
      </c>
      <c r="H4" s="2336" t="str">
        <f ca="1">E4&amp;"（注册号："&amp;F4&amp;"）"</f>
        <v>梁津（注册号：96010014）</v>
      </c>
    </row>
    <row r="5" spans="1:8" ht="24" customHeight="1">
      <c r="A5" s="1291" t="s">
        <v>2148</v>
      </c>
      <c r="B5" s="1291">
        <f ca="1">IF(C5&lt;B2,"已过期",1119970111)</f>
        <v>1119970111</v>
      </c>
      <c r="C5" s="2332">
        <v>45937</v>
      </c>
      <c r="D5" s="2333" t="str">
        <f t="shared" ref="D5:D15" ca="1" si="0">A5&amp;"（注册号："&amp;B5&amp;"）"</f>
        <v>叶凌（注册号：1119970111）</v>
      </c>
      <c r="E5" s="2334" t="s">
        <v>2148</v>
      </c>
      <c r="F5" s="1291">
        <f ca="1">IF(G5&lt;B2,"已过期",94010078)</f>
        <v>94010078</v>
      </c>
      <c r="G5" s="2335">
        <v>46387</v>
      </c>
      <c r="H5" s="2336" t="str">
        <f t="shared" ref="H5:H16" ca="1" si="1">E5&amp;"（注册号："&amp;F5&amp;"）"</f>
        <v>叶凌（注册号：94010078）</v>
      </c>
    </row>
    <row r="6" spans="1:8" ht="24" customHeight="1">
      <c r="A6" s="1291" t="s">
        <v>2149</v>
      </c>
      <c r="B6" s="1291">
        <f ca="1">IF(C6&lt;B2,"已过期",1120050019)</f>
        <v>1120050019</v>
      </c>
      <c r="C6" s="2332">
        <v>45410</v>
      </c>
      <c r="D6" s="2333" t="str">
        <f t="shared" ca="1" si="0"/>
        <v>王鹏（注册号：1120050019）</v>
      </c>
      <c r="E6" s="2334" t="s">
        <v>2149</v>
      </c>
      <c r="F6" s="1291">
        <f ca="1">IF(G6&lt;B2,"已过期",2002110030)</f>
        <v>2002110030</v>
      </c>
      <c r="G6" s="2335">
        <v>46387</v>
      </c>
      <c r="H6" s="2336" t="str">
        <f t="shared" ca="1" si="1"/>
        <v>王鹏（注册号：2002110030）</v>
      </c>
    </row>
    <row r="7" spans="1:8" ht="24" customHeight="1">
      <c r="A7" s="1291" t="s">
        <v>2150</v>
      </c>
      <c r="B7" s="1291">
        <f ca="1">IF(C7&lt;B2,"已过期",1120000080)</f>
        <v>1120000080</v>
      </c>
      <c r="C7" s="2332">
        <v>45937</v>
      </c>
      <c r="D7" s="2333" t="str">
        <f t="shared" ca="1" si="0"/>
        <v>欧红伟（注册号：1120000080）</v>
      </c>
      <c r="E7" s="2334" t="s">
        <v>2150</v>
      </c>
      <c r="F7" s="1291">
        <f ca="1">IF(G7&lt;B2,"已过期",2000110082)</f>
        <v>2000110082</v>
      </c>
      <c r="G7" s="2335">
        <v>46387</v>
      </c>
      <c r="H7" s="2336" t="str">
        <f t="shared" ca="1" si="1"/>
        <v>欧红伟（注册号：2000110082）</v>
      </c>
    </row>
    <row r="8" spans="1:8" ht="24" customHeight="1">
      <c r="A8" s="1291" t="s">
        <v>2151</v>
      </c>
      <c r="B8" s="1291">
        <f ca="1">IF(C8&lt;B2,"已过期",1419970001)</f>
        <v>1419970001</v>
      </c>
      <c r="C8" s="2332">
        <v>45937</v>
      </c>
      <c r="D8" s="2333" t="str">
        <f t="shared" ca="1" si="0"/>
        <v>吴薇（注册号：1419970001）</v>
      </c>
      <c r="E8" s="2334" t="s">
        <v>2151</v>
      </c>
      <c r="F8" s="1291">
        <f ca="1">IF(G8&lt;B2,"已过期",2002110125)</f>
        <v>2002110125</v>
      </c>
      <c r="G8" s="2335">
        <v>47118</v>
      </c>
      <c r="H8" s="2336" t="str">
        <f t="shared" ca="1" si="1"/>
        <v>吴薇（注册号：2002110125）</v>
      </c>
    </row>
    <row r="9" spans="1:8" ht="24" customHeight="1">
      <c r="A9" s="1291" t="s">
        <v>2152</v>
      </c>
      <c r="B9" s="1291">
        <f ca="1">IF(C9&lt;B2,"已过期",1120060040)</f>
        <v>1120060040</v>
      </c>
      <c r="C9" s="2337">
        <v>45592</v>
      </c>
      <c r="D9" s="2333" t="str">
        <f t="shared" ca="1" si="0"/>
        <v>陈颖（注册号：1120060040）</v>
      </c>
      <c r="E9" s="2334" t="s">
        <v>2152</v>
      </c>
      <c r="F9" s="1291">
        <f ca="1">IF(G9&lt;B2,"已过期",2004110096)</f>
        <v>2004110096</v>
      </c>
      <c r="G9" s="2335">
        <v>47118</v>
      </c>
      <c r="H9" s="2336" t="str">
        <f t="shared" ca="1" si="1"/>
        <v>陈颖（注册号：2004110096）</v>
      </c>
    </row>
    <row r="10" spans="1:8" ht="24" customHeight="1">
      <c r="A10" s="1291" t="s">
        <v>2153</v>
      </c>
      <c r="B10" s="1291">
        <f ca="1">IF(C10&lt;B2,"已过期",1120100036)</f>
        <v>1120100036</v>
      </c>
      <c r="C10" s="2337">
        <v>45752</v>
      </c>
      <c r="D10" s="2333" t="str">
        <f t="shared" ca="1" si="0"/>
        <v>崔锴（注册号：1120100036）</v>
      </c>
      <c r="E10" s="2334" t="s">
        <v>2153</v>
      </c>
      <c r="F10" s="1291">
        <f ca="1">IF(G10&lt;B2,"已过期",2010110070)</f>
        <v>2010110070</v>
      </c>
      <c r="G10" s="2335">
        <v>47907</v>
      </c>
      <c r="H10" s="2336" t="str">
        <f t="shared" ca="1" si="1"/>
        <v>崔锴（注册号：2010110070）</v>
      </c>
    </row>
    <row r="11" spans="1:8" ht="24" customHeight="1">
      <c r="A11" s="1291" t="s">
        <v>2154</v>
      </c>
      <c r="B11" s="1291">
        <f ca="1">IF(C11&lt;B2,"已过期",1120070131)</f>
        <v>1120070131</v>
      </c>
      <c r="C11" s="2332">
        <v>45937</v>
      </c>
      <c r="D11" s="2333" t="str">
        <f t="shared" ca="1" si="0"/>
        <v>郑燚（注册号：1120070131）</v>
      </c>
      <c r="E11" s="2334" t="s">
        <v>2154</v>
      </c>
      <c r="F11" s="1291">
        <f ca="1">IF(G11&lt;B2,"已过期",2014110011)</f>
        <v>2014110011</v>
      </c>
      <c r="G11" s="2335">
        <v>49302</v>
      </c>
      <c r="H11" s="2336" t="str">
        <f t="shared" ca="1" si="1"/>
        <v>郑燚（注册号：2014110011）</v>
      </c>
    </row>
    <row r="12" spans="1:8" ht="24" customHeight="1">
      <c r="A12" s="1291" t="s">
        <v>2155</v>
      </c>
      <c r="B12" s="1291">
        <f ca="1">IF(C12&lt;B2,"已过期",1120040230)</f>
        <v>1120040230</v>
      </c>
      <c r="C12" s="2337">
        <v>45937</v>
      </c>
      <c r="D12" s="2333" t="str">
        <f t="shared" ca="1" si="0"/>
        <v>苏海（注册号：1120040230）</v>
      </c>
      <c r="E12" s="2334" t="s">
        <v>2155</v>
      </c>
      <c r="F12" s="1291">
        <f ca="1">IF(G12&lt;B2,"已过期",98030020)</f>
        <v>98030020</v>
      </c>
      <c r="G12" s="2335">
        <v>47118</v>
      </c>
      <c r="H12" s="2336" t="str">
        <f t="shared" ca="1" si="1"/>
        <v>苏海（注册号：98030020）</v>
      </c>
    </row>
    <row r="13" spans="1:8" ht="24" customHeight="1">
      <c r="A13" s="1291" t="s">
        <v>2156</v>
      </c>
      <c r="B13" s="1291" t="str">
        <f ca="1">IF(C13&lt;B2,"已过期",1120020033)</f>
        <v>已过期</v>
      </c>
      <c r="C13" s="2332">
        <v>45375</v>
      </c>
      <c r="D13" s="2333" t="str">
        <f t="shared" ca="1" si="0"/>
        <v>刘敬东（注册号：已过期）</v>
      </c>
      <c r="E13" s="2334" t="s">
        <v>2156</v>
      </c>
      <c r="F13" s="1291">
        <f ca="1">IF(G13&lt;B2,"已过期",2000110137)</f>
        <v>2000110137</v>
      </c>
      <c r="G13" s="2335">
        <v>46387</v>
      </c>
      <c r="H13" s="2336" t="str">
        <f t="shared" ca="1" si="1"/>
        <v>刘敬东（注册号：2000110137）</v>
      </c>
    </row>
    <row r="14" spans="1:8" ht="24" customHeight="1">
      <c r="A14" s="1291" t="s">
        <v>2157</v>
      </c>
      <c r="B14" s="1291" t="str">
        <f ca="1">IF(C14&lt;B2,"已过期",1119980106)</f>
        <v>已过期</v>
      </c>
      <c r="C14" s="2337">
        <v>44969</v>
      </c>
      <c r="D14" s="2333" t="str">
        <f t="shared" ca="1" si="0"/>
        <v>刘俊财（注册号：已过期）</v>
      </c>
      <c r="E14" s="2334" t="s">
        <v>2157</v>
      </c>
      <c r="F14" s="1291">
        <f ca="1">IF(G14&lt;B2,"已过期",96010063)</f>
        <v>96010063</v>
      </c>
      <c r="G14" s="2335">
        <v>47483</v>
      </c>
      <c r="H14" s="2336" t="str">
        <f t="shared" ca="1" si="1"/>
        <v>刘俊财（注册号：96010063）</v>
      </c>
    </row>
    <row r="15" spans="1:8" ht="24" customHeight="1">
      <c r="A15" s="1291" t="s">
        <v>2432</v>
      </c>
      <c r="B15" s="1291">
        <v>1120210056</v>
      </c>
      <c r="C15" s="2337">
        <v>45410</v>
      </c>
      <c r="D15" s="2333" t="str">
        <f t="shared" si="0"/>
        <v>宁小鳗（注册号：1120210056）</v>
      </c>
      <c r="E15" s="2334" t="s">
        <v>2158</v>
      </c>
      <c r="F15" s="1291">
        <f ca="1">IF(G15&lt;B2,"已过期",2011110090)</f>
        <v>2011110090</v>
      </c>
      <c r="G15" s="2335">
        <v>48302</v>
      </c>
      <c r="H15" s="2336" t="str">
        <f t="shared" ca="1" si="1"/>
        <v>赵雯（注册号：2011110090）</v>
      </c>
    </row>
    <row r="16" spans="1:8" s="2339" customFormat="1" ht="24" customHeight="1">
      <c r="A16" s="1291"/>
      <c r="B16" s="1291"/>
      <c r="C16" s="1291"/>
      <c r="D16" s="2333" t="str">
        <f>A16&amp;"（注册号："&amp;B16&amp;"）"</f>
        <v>（注册号：）</v>
      </c>
      <c r="E16" s="2334"/>
      <c r="F16" s="1291"/>
      <c r="G16" s="1291"/>
      <c r="H16" s="2338" t="str">
        <f t="shared" si="1"/>
        <v>（注册号：）</v>
      </c>
    </row>
    <row r="17" spans="1:8" ht="24" customHeight="1">
      <c r="A17" s="3554" t="s">
        <v>2159</v>
      </c>
      <c r="B17" s="3554"/>
      <c r="C17" s="3554"/>
      <c r="D17" s="3554"/>
      <c r="E17" s="3554"/>
      <c r="F17" s="3554"/>
      <c r="G17" s="3554"/>
      <c r="H17" s="3554"/>
    </row>
    <row r="18" spans="1:8" ht="24" customHeight="1">
      <c r="A18" s="3555" t="s">
        <v>2160</v>
      </c>
      <c r="B18" s="3555"/>
      <c r="C18" s="3555"/>
      <c r="D18" s="2330"/>
      <c r="E18" s="3556" t="s">
        <v>2161</v>
      </c>
      <c r="F18" s="3555"/>
      <c r="G18" s="3555"/>
    </row>
    <row r="19" spans="1:8" s="2341" customFormat="1" ht="24" customHeight="1">
      <c r="A19" s="2340" t="s">
        <v>2162</v>
      </c>
      <c r="B19" s="2329" t="s">
        <v>2163</v>
      </c>
      <c r="C19" s="2329" t="s">
        <v>2142</v>
      </c>
      <c r="D19" s="2330"/>
      <c r="E19" s="2334" t="s">
        <v>2162</v>
      </c>
      <c r="F19" s="2329" t="s">
        <v>2163</v>
      </c>
      <c r="G19" s="2329" t="s">
        <v>2142</v>
      </c>
    </row>
    <row r="20" spans="1:8" s="2341" customFormat="1" ht="24" customHeight="1">
      <c r="A20" s="2342" t="s">
        <v>2164</v>
      </c>
      <c r="B20" s="2342" t="s">
        <v>2165</v>
      </c>
      <c r="C20" s="2335">
        <v>45898</v>
      </c>
      <c r="D20" s="2343"/>
      <c r="E20" s="2344" t="s">
        <v>2166</v>
      </c>
      <c r="F20" s="2347" t="s">
        <v>2433</v>
      </c>
      <c r="G20" s="2348">
        <v>44926</v>
      </c>
    </row>
    <row r="21" spans="1:8" s="2341" customFormat="1" ht="24" customHeight="1">
      <c r="A21" s="2342"/>
      <c r="B21" s="2342"/>
      <c r="C21" s="2345"/>
      <c r="D21" s="2346"/>
      <c r="E21" s="2344"/>
      <c r="F21" s="2347"/>
      <c r="G21" s="2348"/>
    </row>
    <row r="22" spans="1:8" ht="24" customHeight="1">
      <c r="C22" s="2349"/>
      <c r="D22" s="2349"/>
      <c r="E22" s="2350"/>
      <c r="F22" s="2351"/>
      <c r="G22" s="2352"/>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商土</vt:lpstr>
      <vt:lpstr>比较法-商业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土地比较法-住宅、综合</vt:lpstr>
      <vt:lpstr>地价-分区</vt:lpstr>
      <vt:lpstr>成本法</vt:lpstr>
      <vt:lpstr>基准地价修正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2024-03-27T02:37:32Z</dcterms:modified>
</cp:coreProperties>
</file>