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7"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 sheetId="78" r:id="rId14"/>
    <sheet name="Sheet2" sheetId="79"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r:id="rId22"/>
    <sheet name="假设开发法" sheetId="12" r:id="rId23"/>
    <sheet name="收益法" sheetId="15" r:id="rId24"/>
    <sheet name="收益法 (元)" sheetId="67" r:id="rId25"/>
    <sheet name="收益法-酒店模型" sheetId="77" r:id="rId26"/>
    <sheet name="收益法（汇总）" sheetId="70" r:id="rId27"/>
    <sheet name="比较法-住宅" sheetId="21" r:id="rId28"/>
    <sheet name="比较法-商业" sheetId="33" r:id="rId29"/>
    <sheet name="比较法-办公" sheetId="34" r:id="rId30"/>
    <sheet name="比较法-工业" sheetId="37" r:id="rId31"/>
    <sheet name="比较法-车位" sheetId="35" r:id="rId32"/>
    <sheet name="比较法-仓储" sheetId="36" r:id="rId33"/>
    <sheet name="土地比较法-住宅、综合" sheetId="39" r:id="rId34"/>
    <sheet name="土地比较法-工业" sheetId="40" r:id="rId35"/>
    <sheet name="基准地价修正" sheetId="43" r:id="rId36"/>
    <sheet name="修正" sheetId="45" state="hidden" r:id="rId37"/>
    <sheet name="容积率修正" sheetId="46" state="hidden" r:id="rId38"/>
    <sheet name="基准地价（汇总）" sheetId="76"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r:id="rId45"/>
    <sheet name="区片价（范围）" sheetId="75"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0" i="79" l="1"/>
  <c r="C10" i="79"/>
  <c r="E10" i="79" s="1"/>
  <c r="E11" i="79" s="1"/>
  <c r="B10" i="79"/>
  <c r="S4" i="78"/>
  <c r="R11" i="78"/>
  <c r="S11" i="78" s="1"/>
  <c r="R10" i="78"/>
  <c r="S10" i="78" s="1"/>
  <c r="R9" i="78"/>
  <c r="S9" i="78" s="1"/>
  <c r="R3" i="78"/>
  <c r="S3" i="78" s="1"/>
  <c r="R8" i="78"/>
  <c r="S8" i="78" s="1"/>
  <c r="R7" i="78"/>
  <c r="S7" i="78" s="1"/>
  <c r="R6" i="78"/>
  <c r="S6" i="78" s="1"/>
  <c r="R5" i="78"/>
  <c r="S5" i="78" s="1"/>
  <c r="P4" i="78"/>
  <c r="P12" i="78" s="1"/>
  <c r="P11" i="78"/>
  <c r="O11" i="78"/>
  <c r="P10" i="78"/>
  <c r="O10" i="78"/>
  <c r="P9" i="78"/>
  <c r="O9" i="78"/>
  <c r="P8" i="78"/>
  <c r="P7" i="78"/>
  <c r="P6" i="78"/>
  <c r="P5" i="78"/>
  <c r="P3" i="78"/>
  <c r="P33" i="78"/>
  <c r="F33" i="78"/>
  <c r="F51" i="78" s="1"/>
  <c r="L15" i="78"/>
  <c r="L9" i="78"/>
  <c r="L16" i="78" s="1"/>
  <c r="L18" i="78" s="1"/>
  <c r="E21" i="78"/>
  <c r="S12" i="78" l="1"/>
  <c r="R12" i="78" s="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AB5" i="71" s="1"/>
  <c r="P6" i="71"/>
  <c r="AA5" i="71" s="1"/>
  <c r="O6" i="71"/>
  <c r="Y5" i="71" s="1"/>
  <c r="Z5" i="71" s="1"/>
  <c r="N6" i="71"/>
  <c r="X5" i="71" s="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F48" i="69"/>
  <c r="F40" i="69"/>
  <c r="F39" i="69"/>
  <c r="F48" i="68"/>
  <c r="F40" i="68"/>
  <c r="F39" i="68"/>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D1" i="43"/>
  <c r="F113" i="43"/>
  <c r="D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s="1"/>
  <c r="D89" i="9"/>
  <c r="C89" i="9"/>
  <c r="C87" i="9"/>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s="1"/>
  <c r="B16" i="53"/>
  <c r="B33" i="72"/>
  <c r="C7" i="37"/>
  <c r="C7" i="34"/>
  <c r="C7" i="36"/>
  <c r="W35" i="40"/>
  <c r="A118" i="9"/>
  <c r="A4" i="52"/>
  <c r="B41" i="72"/>
  <c r="J11" i="39"/>
  <c r="W11" i="39"/>
  <c r="F11" i="39"/>
  <c r="AA11" i="39"/>
  <c r="A12" i="52"/>
  <c r="B56" i="72"/>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31" i="12" s="1"/>
  <c r="H100" i="43"/>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c r="G13" i="3"/>
  <c r="G5" i="3"/>
  <c r="B3" i="3"/>
  <c r="BA13" i="3"/>
  <c r="E10" i="6"/>
  <c r="BA5" i="3"/>
  <c r="E27" i="6"/>
  <c r="E11" i="6"/>
  <c r="E61" i="39"/>
  <c r="BL17" i="3"/>
  <c r="AZ17" i="3"/>
  <c r="BL13" i="3"/>
  <c r="E65" i="39"/>
  <c r="G30" i="6"/>
  <c r="G31" i="6"/>
  <c r="J56" i="9"/>
  <c r="J57" i="9" s="1"/>
  <c r="J59" i="9" s="1"/>
  <c r="J61" i="9" s="1"/>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c r="C48" i="35"/>
  <c r="D48" i="35" s="1"/>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c r="P6" i="1"/>
  <c r="F30" i="68"/>
  <c r="F30" i="11"/>
  <c r="C48" i="11"/>
  <c r="F28" i="67"/>
  <c r="F31" i="12"/>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I19" i="6"/>
  <c r="M27" i="6"/>
  <c r="M16" i="1"/>
  <c r="N16" i="1"/>
  <c r="F27" i="11"/>
  <c r="AC11" i="37"/>
  <c r="W11" i="37"/>
  <c r="W11" i="34"/>
  <c r="AC11" i="34"/>
  <c r="H20" i="6"/>
  <c r="E6" i="3"/>
  <c r="D10" i="68"/>
  <c r="C10" i="68" s="1"/>
  <c r="D10" i="11"/>
  <c r="C10" i="11"/>
  <c r="D20" i="12"/>
  <c r="C20" i="12" s="1"/>
  <c r="M19" i="9"/>
  <c r="C118" i="9"/>
  <c r="C14" i="74" s="1"/>
  <c r="B2" i="74"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H19" i="6"/>
  <c r="S19" i="6"/>
  <c r="S27" i="6"/>
  <c r="I27" i="6"/>
  <c r="F50" i="11"/>
  <c r="F50" i="69"/>
  <c r="F50" i="68"/>
  <c r="C47" i="11"/>
  <c r="D45" i="11"/>
  <c r="C29" i="11"/>
  <c r="D27" i="11" s="1"/>
  <c r="L16" i="1"/>
  <c r="C34" i="11"/>
  <c r="C38" i="11" s="1"/>
  <c r="R26" i="6"/>
  <c r="R23" i="6"/>
  <c r="R24" i="6"/>
  <c r="R21" i="6"/>
  <c r="R8" i="1"/>
  <c r="R22" i="6"/>
  <c r="D30" i="6"/>
  <c r="D16" i="6"/>
  <c r="A7" i="51"/>
  <c r="B7" i="72"/>
  <c r="C4" i="52"/>
  <c r="B45" i="72"/>
  <c r="A10" i="51"/>
  <c r="B9" i="72"/>
  <c r="D27" i="6"/>
  <c r="H27" i="6"/>
  <c r="R19" i="6"/>
  <c r="D31" i="6"/>
  <c r="I6" i="6"/>
  <c r="R27" i="6"/>
  <c r="R6" i="1"/>
  <c r="I5" i="6"/>
  <c r="E2" i="70"/>
  <c r="C34" i="69"/>
  <c r="C35" i="69" s="1"/>
  <c r="D10" i="69"/>
  <c r="C10"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36" i="11"/>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24" i="12"/>
  <c r="C48" i="68"/>
  <c r="C19" i="71"/>
  <c r="D19" i="71"/>
  <c r="D20" i="71"/>
  <c r="D21" i="71"/>
  <c r="U21" i="71"/>
  <c r="S21" i="71"/>
  <c r="T21" i="71"/>
  <c r="AB19" i="71"/>
  <c r="X17" i="71"/>
  <c r="X16" i="71"/>
  <c r="AA17" i="71"/>
  <c r="AA16" i="71"/>
  <c r="X20" i="71"/>
  <c r="Z15" i="71"/>
  <c r="Y16" i="71"/>
  <c r="Z16" i="71" s="1"/>
  <c r="AB17" i="71"/>
  <c r="AB16" i="71"/>
  <c r="S17" i="71"/>
  <c r="C94" i="9"/>
  <c r="C92" i="9"/>
  <c r="C20" i="11"/>
  <c r="C28" i="11"/>
  <c r="C27" i="11" s="1"/>
  <c r="F18" i="71"/>
  <c r="F17" i="71"/>
  <c r="Y17" i="71"/>
  <c r="Z17" i="71" s="1"/>
  <c r="X3" i="71"/>
  <c r="C18" i="71"/>
  <c r="E18" i="71"/>
  <c r="E17" i="71"/>
  <c r="G20" i="43"/>
  <c r="C20" i="43" s="1"/>
  <c r="G17" i="43"/>
  <c r="C16" i="43" s="1"/>
  <c r="E68" i="39"/>
  <c r="F68" i="39" s="1"/>
  <c r="V17" i="71"/>
  <c r="C17" i="71"/>
  <c r="D18" i="71"/>
  <c r="E41" i="43"/>
  <c r="C41" i="43" s="1"/>
  <c r="E70" i="39"/>
  <c r="I59" i="34"/>
  <c r="J59" i="34" s="1"/>
  <c r="D15" i="71"/>
  <c r="T17" i="71"/>
  <c r="D16" i="71"/>
  <c r="D17" i="71"/>
  <c r="U17" i="71"/>
  <c r="M22" i="67"/>
  <c r="M26" i="15"/>
  <c r="M28" i="15"/>
  <c r="C76" i="15"/>
  <c r="M23" i="15"/>
  <c r="C20" i="9"/>
  <c r="F4" i="73"/>
  <c r="D5" i="73"/>
  <c r="F8" i="67"/>
  <c r="D2" i="21"/>
  <c r="L47" i="15"/>
  <c r="F9" i="67"/>
  <c r="F43" i="15"/>
  <c r="F5" i="73"/>
  <c r="D35" i="9"/>
  <c r="D2" i="33"/>
  <c r="F40" i="15"/>
  <c r="AO12" i="1"/>
  <c r="F6" i="73"/>
  <c r="E7" i="76"/>
  <c r="B8" i="76"/>
  <c r="AO11" i="1"/>
  <c r="D2" i="34"/>
  <c r="F38" i="67"/>
  <c r="F37" i="15"/>
  <c r="M26" i="67"/>
  <c r="D2" i="35"/>
  <c r="D20" i="9"/>
  <c r="M22" i="15"/>
  <c r="M6" i="67"/>
  <c r="F35" i="15"/>
  <c r="F40" i="67"/>
  <c r="F6" i="67"/>
  <c r="AO10" i="1"/>
  <c r="AO6" i="1"/>
  <c r="B12" i="76"/>
  <c r="E11" i="76"/>
  <c r="D6" i="73"/>
  <c r="B13" i="76"/>
  <c r="E9" i="76"/>
  <c r="F7" i="73"/>
  <c r="D3" i="73"/>
  <c r="F13" i="67"/>
  <c r="F38" i="15"/>
  <c r="L47" i="67"/>
  <c r="AO9" i="1"/>
  <c r="C19" i="9"/>
  <c r="F6" i="15"/>
  <c r="J15" i="15"/>
  <c r="M24" i="15"/>
  <c r="F26" i="67"/>
  <c r="F36" i="15"/>
  <c r="F36" i="67"/>
  <c r="D19" i="9"/>
  <c r="D34" i="9"/>
  <c r="F16" i="15"/>
  <c r="F43" i="67"/>
  <c r="F7" i="67"/>
  <c r="M9" i="67"/>
  <c r="F42" i="67"/>
  <c r="M6" i="15"/>
  <c r="B9" i="76"/>
  <c r="M23" i="67"/>
  <c r="F13" i="15"/>
  <c r="F3" i="73"/>
  <c r="C14" i="15"/>
  <c r="M21" i="67"/>
  <c r="F41" i="15"/>
  <c r="F37" i="67"/>
  <c r="M27" i="67"/>
  <c r="L48" i="15"/>
  <c r="D2" i="37"/>
  <c r="D7" i="73"/>
  <c r="F20" i="31"/>
  <c r="E2" i="68"/>
  <c r="M27" i="15"/>
  <c r="F41" i="67"/>
  <c r="E10" i="76"/>
  <c r="B7" i="76"/>
  <c r="M24" i="67"/>
  <c r="F42" i="15"/>
  <c r="M28" i="67"/>
  <c r="M9" i="15"/>
  <c r="B10" i="76"/>
  <c r="L48" i="67"/>
  <c r="M21" i="15"/>
  <c r="E8" i="76"/>
  <c r="F26" i="15"/>
  <c r="F8" i="15"/>
  <c r="J15" i="67"/>
  <c r="F35" i="67"/>
  <c r="AO7" i="1"/>
  <c r="B11" i="76"/>
  <c r="M29" i="15"/>
  <c r="AO13" i="1"/>
  <c r="M8" i="15"/>
  <c r="E13" i="76"/>
  <c r="F9" i="15"/>
  <c r="D4" i="73"/>
  <c r="AO8" i="1"/>
  <c r="F7" i="15"/>
  <c r="E12" i="76"/>
  <c r="E2" i="69"/>
  <c r="C76" i="67"/>
  <c r="F16" i="67"/>
  <c r="D2" i="36"/>
  <c r="M29" i="67"/>
  <c r="M8" i="67"/>
  <c r="C5" i="43" l="1"/>
  <c r="T11" i="43" s="1"/>
  <c r="V11" i="43" s="1"/>
  <c r="D5" i="43"/>
  <c r="D7" i="74"/>
  <c r="D8" i="74"/>
  <c r="C7" i="74"/>
  <c r="C8" i="74"/>
  <c r="T14" i="43"/>
  <c r="V14" i="43" s="1"/>
  <c r="F70" i="39"/>
  <c r="G68" i="39"/>
  <c r="G16" i="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10" i="39"/>
  <c r="F10" i="40"/>
  <c r="H10" i="40"/>
  <c r="J10" i="40"/>
  <c r="J10" i="39"/>
  <c r="H10" i="39"/>
  <c r="C29" i="12"/>
  <c r="D28" i="12" s="1"/>
  <c r="C35" i="11"/>
  <c r="C33" i="11" s="1"/>
  <c r="F31" i="67"/>
  <c r="F31" i="15"/>
  <c r="K4" i="4"/>
  <c r="B46" i="48" s="1"/>
  <c r="B4" i="72" s="1"/>
  <c r="B4" i="62"/>
  <c r="B71" i="72" s="1"/>
  <c r="C47" i="69"/>
  <c r="D45" i="69" s="1"/>
  <c r="F45" i="69"/>
  <c r="C29" i="68"/>
  <c r="D27" i="68" s="1"/>
  <c r="F45" i="68"/>
  <c r="D9" i="53"/>
  <c r="B25" i="72" s="1"/>
  <c r="B24" i="72"/>
  <c r="K120" i="9"/>
  <c r="D12" i="71"/>
  <c r="C11" i="71"/>
  <c r="T12" i="43"/>
  <c r="V12" i="43" s="1"/>
  <c r="Y13" i="71"/>
  <c r="Z13" i="71" s="1"/>
  <c r="Y12" i="71"/>
  <c r="AA13" i="71"/>
  <c r="AB3" i="71"/>
  <c r="C35" i="43"/>
  <c r="E35" i="43" s="1"/>
  <c r="C36" i="43"/>
  <c r="E36" i="43" s="1"/>
  <c r="C47" i="68"/>
  <c r="D45" i="68" s="1"/>
  <c r="T9" i="43"/>
  <c r="V9" i="43" s="1"/>
  <c r="C39" i="43"/>
  <c r="D19" i="68"/>
  <c r="C19" i="68" s="1"/>
  <c r="C29" i="69"/>
  <c r="D27" i="69" s="1"/>
  <c r="C37" i="43"/>
  <c r="E37" i="43" s="1"/>
  <c r="B13" i="71"/>
  <c r="B12" i="71" s="1"/>
  <c r="B11" i="71" s="1"/>
  <c r="B10" i="71" s="1"/>
  <c r="B9" i="71" s="1"/>
  <c r="B8" i="71" s="1"/>
  <c r="B7" i="71" s="1"/>
  <c r="B6" i="71" s="1"/>
  <c r="B5" i="71" s="1"/>
  <c r="X13" i="71"/>
  <c r="AB13" i="71"/>
  <c r="T4" i="43"/>
  <c r="V4" i="43" s="1"/>
  <c r="T6" i="43"/>
  <c r="V6" i="43" s="1"/>
  <c r="Z12" i="71"/>
  <c r="Y3" i="71"/>
  <c r="Z3" i="71" s="1"/>
  <c r="D13" i="71"/>
  <c r="F13" i="71"/>
  <c r="F12" i="71" s="1"/>
  <c r="F11" i="71" s="1"/>
  <c r="F10" i="71" s="1"/>
  <c r="F9" i="71" s="1"/>
  <c r="F8" i="71" s="1"/>
  <c r="F7" i="71" s="1"/>
  <c r="F6" i="71" s="1"/>
  <c r="F5" i="71" s="1"/>
  <c r="C12" i="12"/>
  <c r="C14" i="12"/>
  <c r="AF3" i="71"/>
  <c r="P22" i="43" s="1"/>
  <c r="C18" i="12"/>
  <c r="C38" i="69"/>
  <c r="C34" i="43"/>
  <c r="T10" i="43"/>
  <c r="V10" i="43" s="1"/>
  <c r="C33" i="43"/>
  <c r="T13" i="43"/>
  <c r="V13" i="43" s="1"/>
  <c r="T2" i="43"/>
  <c r="V2" i="43" s="1"/>
  <c r="C38" i="43"/>
  <c r="T3" i="43"/>
  <c r="V3" i="43" s="1"/>
  <c r="C8" i="69"/>
  <c r="C5" i="69" s="1"/>
  <c r="G36" i="43"/>
  <c r="I36" i="43" s="1"/>
  <c r="T5" i="43"/>
  <c r="V5" i="43" s="1"/>
  <c r="R16" i="1"/>
  <c r="C36" i="68"/>
  <c r="D19" i="69"/>
  <c r="C19" i="69" s="1"/>
  <c r="C6" i="67"/>
  <c r="C15" i="15"/>
  <c r="C18" i="15"/>
  <c r="C21" i="9"/>
  <c r="D22" i="9"/>
  <c r="G19" i="9"/>
  <c r="C102" i="9"/>
  <c r="B10" i="70"/>
  <c r="D102" i="9"/>
  <c r="D21" i="9"/>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D103" i="9"/>
  <c r="C27" i="67"/>
  <c r="F71" i="67"/>
  <c r="C27" i="15"/>
  <c r="F65" i="15"/>
  <c r="B9" i="70"/>
  <c r="G20" i="9"/>
  <c r="C103" i="9"/>
  <c r="N59" i="67"/>
  <c r="L59" i="67"/>
  <c r="L58" i="67"/>
  <c r="M59" i="67"/>
  <c r="B13" i="70"/>
  <c r="M7" i="67"/>
  <c r="J6" i="67" s="1"/>
  <c r="F50" i="67"/>
  <c r="F63" i="67"/>
  <c r="C62" i="67" s="1"/>
  <c r="C34" i="67"/>
  <c r="F68" i="67"/>
  <c r="F64" i="67"/>
  <c r="J20" i="15"/>
  <c r="F68" i="15"/>
  <c r="C35" i="68"/>
  <c r="C38" i="68"/>
  <c r="C17" i="15"/>
  <c r="C17" i="67"/>
  <c r="C14" i="67"/>
  <c r="C16" i="67"/>
  <c r="C16" i="15"/>
  <c r="G1" i="73"/>
  <c r="T8" i="43" l="1"/>
  <c r="V8" i="43" s="1"/>
  <c r="T16" i="43"/>
  <c r="V16" i="43" s="1"/>
  <c r="T7" i="43"/>
  <c r="V7" i="43" s="1"/>
  <c r="C29" i="43"/>
  <c r="T15" i="43"/>
  <c r="V15" i="43" s="1"/>
  <c r="F59" i="67"/>
  <c r="G35" i="43"/>
  <c r="I35" i="43" s="1"/>
  <c r="D37" i="69"/>
  <c r="C37" i="69" s="1"/>
  <c r="C33" i="69" s="1"/>
  <c r="C39" i="69" s="1"/>
  <c r="G70" i="39"/>
  <c r="H68" i="39"/>
  <c r="H7" i="37"/>
  <c r="AB7" i="37" s="1"/>
  <c r="T42" i="37" s="1"/>
  <c r="G42" i="37" s="1"/>
  <c r="B40" i="1"/>
  <c r="W10" i="39"/>
  <c r="AC10" i="39"/>
  <c r="U10" i="40"/>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W10" i="40"/>
  <c r="AC10" i="40"/>
  <c r="AA10" i="40"/>
  <c r="S10" i="40"/>
  <c r="F7" i="33"/>
  <c r="E58" i="21"/>
  <c r="AC7" i="36"/>
  <c r="V36" i="36" s="1"/>
  <c r="I36" i="36" s="1"/>
  <c r="W7" i="36"/>
  <c r="F7" i="37"/>
  <c r="W7" i="34"/>
  <c r="AC7" i="34"/>
  <c r="V49" i="34" s="1"/>
  <c r="I49" i="34" s="1"/>
  <c r="G37" i="43"/>
  <c r="I37" i="43" s="1"/>
  <c r="D11" i="71"/>
  <c r="C10" i="71"/>
  <c r="C39" i="11"/>
  <c r="C46" i="11" s="1"/>
  <c r="C45" i="11" s="1"/>
  <c r="M17" i="67"/>
  <c r="M17" i="15"/>
  <c r="F59" i="15"/>
  <c r="P24" i="43"/>
  <c r="B66" i="40" s="1"/>
  <c r="C16" i="12"/>
  <c r="C21" i="12" s="1"/>
  <c r="C22" i="12" s="1"/>
  <c r="P21" i="43"/>
  <c r="D37" i="68"/>
  <c r="C37" i="68" s="1"/>
  <c r="C33" i="68" s="1"/>
  <c r="C20" i="69"/>
  <c r="C28" i="69" s="1"/>
  <c r="C27" i="69" s="1"/>
  <c r="C49" i="67"/>
  <c r="E39" i="43"/>
  <c r="G39" i="43"/>
  <c r="I39" i="43" s="1"/>
  <c r="P25" i="43"/>
  <c r="P23" i="43"/>
  <c r="B71" i="39" s="1"/>
  <c r="C30" i="43"/>
  <c r="E30" i="43" s="1"/>
  <c r="E29" i="43"/>
  <c r="E38" i="43"/>
  <c r="G38" i="43"/>
  <c r="I38" i="43" s="1"/>
  <c r="G34" i="43"/>
  <c r="I34" i="43" s="1"/>
  <c r="E34" i="43"/>
  <c r="G33" i="43"/>
  <c r="I33" i="43" s="1"/>
  <c r="E33" i="43"/>
  <c r="C26" i="43" s="1"/>
  <c r="C49" i="15"/>
  <c r="C15" i="67"/>
  <c r="C18" i="67"/>
  <c r="C19" i="15"/>
  <c r="J18" i="15"/>
  <c r="C32" i="67"/>
  <c r="G21" i="9"/>
  <c r="C32" i="9"/>
  <c r="Q60" i="67"/>
  <c r="Q73" i="67"/>
  <c r="M28" i="43"/>
  <c r="N28" i="43"/>
  <c r="O28" i="43"/>
  <c r="P28" i="43"/>
  <c r="M11" i="67"/>
  <c r="J10" i="67" s="1"/>
  <c r="J5" i="67" s="1"/>
  <c r="F11" i="15"/>
  <c r="M11" i="15"/>
  <c r="J10" i="15" s="1"/>
  <c r="J5" i="15" s="1"/>
  <c r="F11" i="67"/>
  <c r="F1" i="15"/>
  <c r="Q52" i="15"/>
  <c r="J18" i="67"/>
  <c r="C32" i="15"/>
  <c r="F1" i="67"/>
  <c r="Q52" i="67"/>
  <c r="Q60" i="15"/>
  <c r="Q73" i="15"/>
  <c r="C20" i="68"/>
  <c r="Q61" i="67"/>
  <c r="Q74" i="67"/>
  <c r="Q74" i="15"/>
  <c r="Q61" i="15"/>
  <c r="B2" i="70"/>
  <c r="B3" i="70" s="1"/>
  <c r="I68" i="39" l="1"/>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C27" i="43"/>
  <c r="C39" i="68"/>
  <c r="C46" i="68" s="1"/>
  <c r="C45" i="68" s="1"/>
  <c r="J26" i="67"/>
  <c r="J29" i="67" s="1"/>
  <c r="J24" i="67"/>
  <c r="J24" i="15"/>
  <c r="J26" i="15"/>
  <c r="J29" i="15" s="1"/>
  <c r="C30" i="12"/>
  <c r="C28" i="12" s="1"/>
  <c r="C53" i="67"/>
  <c r="C48" i="67" s="1"/>
  <c r="C10" i="67"/>
  <c r="C5" i="67" s="1"/>
  <c r="C53" i="15"/>
  <c r="C48" i="15" s="1"/>
  <c r="C10" i="15"/>
  <c r="C5" i="15" s="1"/>
  <c r="F25" i="12"/>
  <c r="F22" i="69"/>
  <c r="F41" i="69" s="1"/>
  <c r="F24" i="67"/>
  <c r="C24" i="67" s="1"/>
  <c r="F22" i="11"/>
  <c r="F22" i="68"/>
  <c r="F24" i="15"/>
  <c r="C24" i="15" s="1"/>
  <c r="C35" i="9"/>
  <c r="C28" i="68"/>
  <c r="C27" i="68" s="1"/>
  <c r="C46" i="69"/>
  <c r="C45" i="69" s="1"/>
  <c r="C20" i="15"/>
  <c r="C26" i="15" s="1"/>
  <c r="E6" i="76"/>
  <c r="D8" i="71" l="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C25" i="68"/>
  <c r="F41" i="68"/>
  <c r="E2" i="76"/>
  <c r="B2" i="43"/>
  <c r="C43" i="68"/>
  <c r="C60" i="15"/>
  <c r="C66" i="15"/>
  <c r="C23" i="15"/>
  <c r="C29" i="15" s="1"/>
  <c r="C26" i="69"/>
  <c r="D22" i="69" s="1"/>
  <c r="C44" i="69"/>
  <c r="D41" i="69" s="1"/>
  <c r="C23" i="69"/>
  <c r="C24" i="69"/>
  <c r="C25" i="69"/>
  <c r="C42" i="69"/>
  <c r="C44" i="68"/>
  <c r="D41" i="68" s="1"/>
  <c r="C23" i="68"/>
  <c r="C26" i="68"/>
  <c r="D22" i="68" s="1"/>
  <c r="C42" i="68"/>
  <c r="C24" i="68"/>
  <c r="C26" i="12"/>
  <c r="D25" i="12" s="1"/>
  <c r="C27" i="12"/>
  <c r="C25" i="12" s="1"/>
  <c r="C44" i="11"/>
  <c r="D41" i="11" s="1"/>
  <c r="C23" i="11"/>
  <c r="C24" i="11"/>
  <c r="C43" i="11"/>
  <c r="C25" i="11"/>
  <c r="C26" i="11"/>
  <c r="D22" i="11" s="1"/>
  <c r="C42" i="11"/>
  <c r="C43" i="69"/>
  <c r="C38" i="67"/>
  <c r="C34" i="9"/>
  <c r="C38" i="15"/>
  <c r="C66" i="67"/>
  <c r="C60" i="67"/>
  <c r="C23" i="67"/>
  <c r="C29" i="67" s="1"/>
  <c r="B6" i="76"/>
  <c r="D7" i="71" l="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22" i="68"/>
  <c r="C31" i="68" s="1"/>
  <c r="C41" i="68"/>
  <c r="C49" i="68" s="1"/>
  <c r="C51" i="68" s="1"/>
  <c r="B2" i="76"/>
  <c r="B3" i="76" s="1"/>
  <c r="B3" i="43"/>
  <c r="C32" i="12"/>
  <c r="B2" i="12" s="1"/>
  <c r="B3" i="12" s="1"/>
  <c r="J14" i="15"/>
  <c r="C57" i="15"/>
  <c r="C61" i="15" s="1"/>
  <c r="C36" i="15"/>
  <c r="C33" i="15"/>
  <c r="C31" i="15" s="1"/>
  <c r="C13" i="15"/>
  <c r="Q49" i="15"/>
  <c r="J19" i="15"/>
  <c r="J17" i="15" s="1"/>
  <c r="J59" i="15"/>
  <c r="J60" i="15" s="1"/>
  <c r="C41" i="11"/>
  <c r="C49" i="11" s="1"/>
  <c r="C51" i="11" s="1"/>
  <c r="C22" i="69"/>
  <c r="C31" i="69" s="1"/>
  <c r="C22" i="11"/>
  <c r="C31" i="11" s="1"/>
  <c r="C41" i="69"/>
  <c r="C49" i="69" s="1"/>
  <c r="C51" i="69" s="1"/>
  <c r="C36" i="67"/>
  <c r="C33" i="67"/>
  <c r="C31" i="67" s="1"/>
  <c r="J14" i="67"/>
  <c r="C13" i="67"/>
  <c r="J19" i="67"/>
  <c r="J17" i="67" s="1"/>
  <c r="C57" i="67"/>
  <c r="C61" i="67" s="1"/>
  <c r="Q49" i="67"/>
  <c r="J59" i="67"/>
  <c r="J60" i="67" s="1"/>
  <c r="D6" i="71" l="1"/>
  <c r="M20" i="43"/>
  <c r="K70" i="39"/>
  <c r="L68" i="39"/>
  <c r="I63" i="40"/>
  <c r="H65" i="40"/>
  <c r="I58" i="21"/>
  <c r="J58" i="21" s="1"/>
  <c r="K58" i="21" s="1"/>
  <c r="L58" i="21" s="1"/>
  <c r="M58" i="21" s="1"/>
  <c r="N58" i="21" s="1"/>
  <c r="O58" i="21" s="1"/>
  <c r="H7" i="21" s="1"/>
  <c r="J7" i="21"/>
  <c r="F7" i="21"/>
  <c r="J48" i="35"/>
  <c r="C52" i="68"/>
  <c r="B2" i="68" s="1"/>
  <c r="B3" i="68" s="1"/>
  <c r="C52" i="11"/>
  <c r="B2" i="11" s="1"/>
  <c r="B3" i="11" s="1"/>
  <c r="Q48" i="15"/>
  <c r="L46" i="15"/>
  <c r="J13" i="67"/>
  <c r="J23" i="67" s="1"/>
  <c r="J22" i="67"/>
  <c r="C59" i="67"/>
  <c r="C64" i="67"/>
  <c r="C52" i="69"/>
  <c r="B2" i="69" s="1"/>
  <c r="B3" i="69" s="1"/>
  <c r="C64" i="15"/>
  <c r="C59" i="15"/>
  <c r="Q48" i="67"/>
  <c r="L46" i="67"/>
  <c r="C56" i="67"/>
  <c r="C65" i="67" s="1"/>
  <c r="C75" i="67"/>
  <c r="Q70" i="67"/>
  <c r="C37" i="67"/>
  <c r="C30" i="67" s="1"/>
  <c r="C39" i="67" s="1"/>
  <c r="C56" i="15"/>
  <c r="C65" i="15" s="1"/>
  <c r="Q70" i="15"/>
  <c r="C37" i="15"/>
  <c r="C30" i="15" s="1"/>
  <c r="C39" i="15" s="1"/>
  <c r="C75" i="15"/>
  <c r="J22" i="15"/>
  <c r="J13" i="15"/>
  <c r="J23" i="15" s="1"/>
  <c r="L51" i="67"/>
  <c r="L51" i="15"/>
  <c r="L70" i="39" l="1"/>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7" i="68"/>
  <c r="C56" i="68" s="1"/>
  <c r="C58" i="15"/>
  <c r="C67" i="15" s="1"/>
  <c r="C68" i="15" s="1"/>
  <c r="C71" i="15" s="1"/>
  <c r="J16" i="15"/>
  <c r="J25" i="15" s="1"/>
  <c r="J16" i="67"/>
  <c r="J25" i="67" s="1"/>
  <c r="C80" i="67"/>
  <c r="C79" i="67" s="1"/>
  <c r="C80" i="15"/>
  <c r="C79" i="15" s="1"/>
  <c r="C58" i="67"/>
  <c r="C67" i="67" s="1"/>
  <c r="C68" i="67" s="1"/>
  <c r="Q69" i="15"/>
  <c r="Q68" i="15" s="1"/>
  <c r="C40" i="15"/>
  <c r="Q69" i="67"/>
  <c r="Q68" i="67" s="1"/>
  <c r="C40" i="67"/>
  <c r="C57" i="69"/>
  <c r="C56" i="69" s="1"/>
  <c r="M70" i="39" l="1"/>
  <c r="N68"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O68" i="39" l="1"/>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H7" i="39" l="1"/>
  <c r="J7" i="39"/>
  <c r="AA7" i="39"/>
  <c r="R47" i="39" s="1"/>
  <c r="S7" i="39"/>
  <c r="R39" i="35"/>
  <c r="E38" i="35"/>
  <c r="M63" i="40"/>
  <c r="L65" i="40"/>
  <c r="E47" i="39" l="1"/>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I4" i="52"/>
  <c r="C105" i="9"/>
  <c r="C104" i="9"/>
  <c r="H4" i="52"/>
  <c r="D53" i="9"/>
  <c r="D52" i="9"/>
  <c r="C5" i="74"/>
  <c r="D5" i="74"/>
  <c r="E14" i="74"/>
  <c r="B5" i="74"/>
  <c r="D14" i="74"/>
  <c r="F14" i="74"/>
  <c r="N61" i="9"/>
  <c r="N60" i="9"/>
  <c r="P57" i="9"/>
  <c r="N58" i="9"/>
  <c r="N59" i="9"/>
  <c r="D6" i="74"/>
  <c r="C6" i="74"/>
  <c r="B6" i="74"/>
  <c r="C78" i="9"/>
  <c r="C73" i="9"/>
  <c r="D8" i="52"/>
  <c r="G14" i="74"/>
  <c r="B48" i="72"/>
  <c r="M48" i="9"/>
  <c r="B20" i="72"/>
  <c r="B21" i="72"/>
  <c r="B32" i="72"/>
  <c r="C93" i="9"/>
  <c r="C86" i="9"/>
  <c r="B49" i="72"/>
  <c r="B53" i="72"/>
  <c r="C81" i="9"/>
  <c r="E4" i="52"/>
  <c r="D119" i="9"/>
  <c r="D5" i="52"/>
  <c r="D59" i="9"/>
  <c r="M55" i="9"/>
  <c r="H102" i="9"/>
  <c r="D7" i="53"/>
  <c r="D56" i="9"/>
  <c r="M54" i="9"/>
  <c r="C97" i="9"/>
  <c r="D58" i="9"/>
  <c r="E97" i="9"/>
  <c r="B30" i="72"/>
  <c r="D13" i="53"/>
  <c r="D14" i="53"/>
  <c r="D5" i="53"/>
  <c r="D6" i="53"/>
  <c r="B22" i="72"/>
  <c r="H119" i="9"/>
  <c r="H5" i="52"/>
  <c r="D122" i="9"/>
  <c r="D123" i="9"/>
  <c r="D9" i="52"/>
  <c r="C64" i="9"/>
  <c r="C63" i="9"/>
  <c r="C67" i="9"/>
  <c r="C68" i="9"/>
  <c r="D54" i="9"/>
  <c r="F4" i="52"/>
  <c r="B51" i="72"/>
  <c r="C72" i="9"/>
  <c r="C79" i="9"/>
  <c r="C80" i="9"/>
  <c r="E80" i="9"/>
  <c r="E81" i="9"/>
  <c r="C85" i="9"/>
  <c r="C95" i="9"/>
  <c r="C96" i="9"/>
  <c r="E96" i="9"/>
  <c r="F119" i="9"/>
  <c r="F5" i="52"/>
  <c r="H107" i="9"/>
  <c r="H108" i="9"/>
  <c r="D15" i="53"/>
  <c r="B31" i="72"/>
  <c r="F118" i="9"/>
  <c r="G118" i="9"/>
  <c r="G4" i="52"/>
  <c r="B52" i="72"/>
  <c r="E118" i="9"/>
  <c r="D118" i="9"/>
  <c r="D4" i="52"/>
  <c r="B47" i="7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<sst xmlns="http://schemas.openxmlformats.org/spreadsheetml/2006/main" count="7618" uniqueCount="3281">
  <si>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</si>
  <si>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</si>
  <si>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</si>
  <si>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</si>
  <si>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</si>
  <si>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</si>
  <si>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</si>
  <si>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</si>
  <si>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</si>
  <si>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</si>
  <si>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</si>
  <si>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</si>
  <si>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</si>
  <si>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</si>
  <si>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</si>
  <si>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</si>
  <si>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</si>
  <si>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</si>
  <si>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</si>
  <si>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</si>
  <si>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</si>
  <si>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</si>
  <si>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</si>
  <si>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</si>
  <si>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</si>
  <si>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</si>
  <si>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</si>
  <si>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</si>
  <si>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</si>
  <si>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</si>
  <si>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</si>
  <si>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</si>
  <si>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</si>
  <si>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</si>
  <si>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</si>
  <si>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</si>
  <si>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</si>
  <si>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</si>
  <si>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</si>
  <si>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</si>
  <si>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</si>
  <si>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</si>
  <si>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</si>
  <si>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</si>
  <si>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</si>
  <si>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</si>
  <si>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</si>
  <si>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</si>
  <si>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</si>
  <si>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</si>
  <si>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</si>
  <si>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</si>
  <si>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</si>
  <si>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</si>
  <si>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</si>
  <si>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</si>
  <si>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</si>
  <si>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</si>
  <si>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</si>
  <si>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</si>
  <si>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</si>
  <si>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</si>
  <si>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</si>
  <si>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</si>
  <si>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</si>
  <si>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</si>
  <si>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</si>
  <si>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</si>
  <si>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</si>
  <si>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</si>
  <si>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</si>
  <si>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</si>
  <si>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</si>
  <si>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</si>
  <si>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</si>
  <si>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</si>
  <si>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</si>
  <si>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</si>
  <si>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</si>
  <si>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</si>
  <si>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</si>
  <si>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</si>
  <si>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</si>
  <si>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</si>
  <si>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</si>
  <si>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</si>
  <si>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</si>
  <si>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</si>
  <si>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</si>
  <si>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</si>
  <si>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</si>
  <si>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</si>
  <si>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</si>
  <si>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</si>
  <si>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</si>
  <si>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</si>
  <si>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</si>
  <si>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</si>
  <si>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</si>
  <si>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</si>
  <si>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</si>
  <si>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</si>
  <si>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</si>
  <si>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</si>
  <si>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</si>
  <si>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</si>
  <si>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</si>
  <si>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</si>
  <si>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</si>
  <si>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</si>
  <si>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</si>
  <si>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</si>
  <si>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</si>
  <si>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</si>
  <si>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</si>
  <si>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</si>
  <si>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</si>
  <si>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</si>
  <si>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</si>
  <si>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</si>
  <si>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</si>
  <si>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</si>
  <si>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</si>
  <si>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</si>
  <si>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</si>
  <si>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</si>
  <si>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</si>
  <si>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</si>
  <si>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</si>
  <si>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</si>
  <si>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</si>
  <si>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</si>
  <si>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</si>
  <si>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</si>
  <si>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</si>
  <si>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</si>
  <si>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</si>
  <si>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</si>
  <si>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</si>
  <si>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</si>
  <si>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</si>
  <si>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</si>
  <si>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</si>
  <si>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</si>
  <si>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</si>
  <si>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</si>
  <si>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</si>
  <si>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</si>
  <si>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</si>
  <si>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</si>
  <si>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</si>
  <si>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</si>
  <si>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</si>
  <si>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</si>
  <si>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</si>
  <si>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</si>
  <si>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</si>
  <si>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</si>
  <si>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</si>
  <si>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</si>
  <si>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</si>
  <si>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</si>
  <si>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</si>
  <si>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</si>
  <si>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</si>
  <si>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</si>
  <si>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</si>
  <si>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</si>
  <si>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</si>
  <si>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</si>
  <si>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</si>
  <si>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</si>
  <si>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</si>
  <si>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</si>
  <si>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</si>
  <si>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</si>
  <si>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</si>
  <si>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</si>
  <si>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</si>
  <si>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</si>
  <si>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</si>
  <si>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</si>
  <si>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</si>
  <si>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</si>
  <si>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</si>
  <si>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</si>
  <si>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</si>
  <si>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</si>
  <si>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</si>
  <si>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</si>
  <si>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</si>
  <si>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</si>
  <si>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</si>
  <si>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</si>
  <si>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</si>
  <si>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</si>
  <si>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</si>
  <si>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</si>
  <si>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</si>
  <si>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</si>
  <si>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</si>
  <si>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</si>
  <si>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</si>
  <si>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</si>
  <si>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</si>
  <si>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</si>
  <si>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</si>
  <si>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</si>
  <si>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</si>
  <si>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</si>
  <si>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</si>
  <si>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</si>
  <si>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</si>
  <si>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</si>
  <si>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</si>
  <si>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</si>
  <si>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</si>
  <si>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</si>
  <si>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</si>
  <si>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</si>
  <si>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</si>
  <si>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</si>
  <si>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</si>
  <si>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</si>
  <si>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</si>
  <si>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</si>
  <si>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</si>
  <si>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</si>
  <si>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</si>
  <si>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</si>
  <si>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</si>
  <si>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</si>
  <si>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</si>
  <si>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</si>
  <si>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</si>
  <si>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</si>
  <si>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</si>
  <si>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</si>
  <si>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</si>
  <si>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</si>
  <si>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</si>
  <si>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</si>
  <si>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</si>
  <si>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</si>
  <si>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</si>
  <si>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</si>
  <si>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</si>
  <si>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</si>
  <si>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</si>
  <si>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</si>
  <si>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</si>
  <si>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</si>
  <si>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</si>
  <si>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</si>
  <si>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</si>
  <si>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</si>
  <si>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</si>
  <si>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</si>
  <si>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</si>
  <si>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</si>
  <si>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</si>
  <si>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</si>
  <si>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</si>
  <si>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</si>
  <si>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</si>
  <si>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</si>
  <si>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</si>
  <si>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</si>
  <si>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</si>
  <si>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</si>
  <si>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</si>
  <si>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</si>
  <si>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</si>
  <si>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</si>
  <si>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</si>
  <si>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</si>
  <si>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</si>
  <si>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</si>
  <si>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</si>
  <si>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</si>
  <si>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</si>
  <si>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</si>
  <si>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</si>
  <si>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</si>
  <si>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</si>
  <si>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</si>
  <si>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</si>
  <si>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</si>
  <si>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</si>
  <si>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</si>
  <si>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</si>
  <si>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</si>
  <si>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</si>
  <si>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</si>
  <si>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</si>
  <si>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</si>
  <si>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</si>
  <si>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</si>
  <si>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</si>
  <si>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</si>
  <si>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</si>
  <si>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</si>
  <si>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</si>
  <si>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</si>
  <si>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</si>
  <si>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</si>
  <si>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</si>
  <si>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</si>
  <si>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</si>
  <si>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</si>
  <si>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</si>
  <si>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</si>
  <si>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</si>
  <si>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</si>
  <si>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</si>
  <si>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</si>
  <si>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</si>
  <si>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</si>
  <si>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</si>
  <si>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</si>
  <si>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</si>
  <si>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</si>
  <si>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</si>
  <si>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</si>
  <si>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</si>
  <si>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</si>
  <si>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</si>
  <si>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</si>
  <si>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</si>
  <si>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</si>
  <si>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</si>
  <si>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</si>
  <si>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</si>
  <si>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</si>
  <si>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</si>
  <si>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</si>
  <si>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</si>
  <si>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</si>
  <si>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</si>
  <si>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</si>
  <si>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</si>
  <si>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</si>
  <si>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</si>
  <si>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</si>
  <si>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</si>
  <si>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</si>
  <si>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</si>
  <si>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</si>
  <si>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</si>
  <si>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</si>
  <si>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</si>
  <si>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</si>
  <si>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</si>
  <si>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</si>
  <si>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</si>
  <si>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</si>
  <si>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</si>
  <si>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</si>
  <si>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</si>
  <si>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</si>
  <si>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</si>
  <si>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</si>
  <si>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</si>
  <si>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</si>
  <si>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</si>
  <si>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</si>
  <si>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</si>
  <si>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</si>
  <si>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</si>
  <si>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</si>
  <si>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</si>
  <si>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</si>
  <si>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</si>
  <si>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</si>
  <si>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</si>
  <si>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</si>
  <si>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</si>
  <si>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</si>
  <si>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</si>
  <si>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</si>
  <si>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</si>
  <si>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</si>
  <si>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</si>
  <si>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</si>
  <si>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</si>
  <si>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</si>
  <si>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</si>
  <si>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</si>
  <si>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</si>
  <si>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</si>
  <si>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</si>
  <si>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</si>
  <si>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</si>
  <si>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</si>
  <si>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</si>
  <si>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</si>
  <si>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</si>
  <si>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</si>
  <si>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</si>
  <si>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</si>
  <si>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</si>
  <si>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</si>
  <si>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</si>
  <si>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</si>
  <si>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</si>
  <si>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</si>
  <si>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</si>
  <si>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</si>
  <si>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</si>
  <si>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</si>
  <si>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</si>
  <si>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</si>
  <si>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</si>
  <si>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</si>
  <si>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</si>
  <si>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</si>
  <si>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</si>
  <si>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</si>
  <si>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</si>
  <si>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</si>
  <si>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</si>
  <si>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</si>
  <si>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</si>
  <si>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</si>
  <si>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</si>
  <si>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</si>
  <si>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</si>
  <si>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</si>
  <si>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</si>
  <si>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</si>
  <si>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</si>
  <si>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</si>
  <si>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</si>
  <si>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</si>
  <si>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</si>
  <si>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</si>
  <si>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</si>
  <si>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</si>
  <si>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</si>
  <si>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</si>
  <si>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</si>
  <si>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</si>
  <si>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</si>
  <si>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</si>
  <si>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</si>
  <si>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</si>
  <si>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</si>
  <si>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</si>
  <si>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</si>
  <si>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</si>
  <si>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</si>
  <si>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</si>
  <si>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</si>
  <si>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</si>
  <si>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</si>
  <si>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</si>
  <si>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</si>
  <si>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</si>
  <si>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</si>
  <si>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</si>
  <si>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</si>
  <si>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</si>
  <si>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</si>
  <si>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</si>
  <si>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</si>
  <si>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</si>
  <si>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</si>
  <si>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</si>
  <si>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</si>
  <si>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</si>
  <si>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</si>
  <si>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</si>
  <si>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</si>
  <si>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</si>
  <si>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</si>
  <si>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</si>
  <si>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</si>
  <si>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</si>
  <si>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</si>
  <si>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</si>
  <si>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</si>
  <si>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</si>
  <si>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</si>
  <si>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</si>
  <si>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</si>
  <si>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</si>
  <si>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</si>
  <si>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</si>
  <si>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</si>
  <si>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</si>
  <si>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</si>
  <si>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</si>
  <si>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</si>
  <si>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</si>
  <si>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</si>
  <si>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</si>
  <si>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</si>
  <si>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</si>
  <si>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</si>
  <si>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</si>
  <si>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</si>
  <si>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</si>
  <si>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</si>
  <si>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</si>
  <si>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</si>
  <si>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</si>
  <si>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</si>
  <si>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</si>
  <si>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</si>
  <si>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</si>
  <si>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</si>
  <si>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</si>
  <si>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</si>
  <si>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</si>
  <si>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</si>
  <si>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</si>
  <si>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</si>
  <si>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</si>
  <si>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</si>
  <si>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</si>
  <si>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</si>
  <si>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</si>
  <si>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</si>
  <si>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</si>
  <si>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</si>
  <si>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</si>
  <si>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</si>
  <si>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</si>
  <si>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</si>
  <si>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</si>
  <si>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</si>
  <si>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</si>
  <si>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</si>
  <si>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</si>
  <si>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</si>
  <si>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</si>
  <si>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</si>
  <si>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</si>
  <si>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</si>
  <si>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</si>
  <si>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</si>
  <si>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</si>
  <si>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</si>
  <si>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</si>
  <si>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</si>
  <si>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</si>
  <si>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</si>
  <si>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</si>
  <si>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</si>
  <si>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</si>
  <si>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</si>
  <si>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</si>
  <si>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</si>
  <si>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</si>
  <si>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</si>
  <si>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</si>
  <si>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</si>
  <si>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</si>
  <si>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</si>
  <si>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</si>
  <si>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</si>
  <si>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</si>
  <si>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</si>
  <si>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</si>
  <si>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</si>
  <si>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</si>
  <si>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</si>
  <si>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</si>
  <si>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</si>
  <si>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</si>
  <si>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</si>
  <si>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</si>
  <si>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</si>
  <si>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</si>
  <si>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</si>
  <si>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</si>
  <si>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</si>
  <si>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</si>
  <si>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</si>
  <si>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</si>
  <si>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</si>
  <si>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</si>
  <si>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</si>
  <si>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</si>
  <si>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</si>
  <si>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</si>
  <si>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</si>
  <si>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</si>
  <si>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</si>
  <si>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</si>
  <si>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</si>
  <si>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</si>
  <si>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</si>
  <si>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</si>
  <si>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</si>
  <si>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</si>
  <si>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</si>
  <si>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</si>
  <si>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</si>
  <si>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</si>
  <si>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</si>
  <si>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</si>
  <si>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</si>
  <si>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</si>
  <si>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</si>
  <si>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</si>
  <si>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</si>
  <si>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</si>
  <si>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</si>
  <si>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</si>
  <si>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</si>
  <si>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</si>
  <si>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</si>
  <si>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</si>
  <si>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</si>
  <si>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</si>
  <si>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</si>
  <si>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</si>
  <si>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</si>
  <si>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</si>
  <si>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</si>
  <si>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</si>
  <si>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</si>
  <si>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</si>
  <si>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</si>
  <si>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</si>
  <si>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</si>
  <si>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</si>
  <si>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</si>
  <si>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</si>
  <si>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</si>
  <si>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</si>
  <si>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</si>
  <si>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</si>
  <si>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</si>
  <si>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</si>
  <si>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</si>
  <si>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</si>
  <si>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</si>
  <si>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</si>
  <si>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</si>
  <si>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</si>
  <si>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</si>
  <si>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</si>
  <si>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</si>
  <si>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</si>
  <si>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</si>
  <si>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</si>
  <si>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</si>
  <si>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</si>
  <si>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</si>
  <si>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</si>
  <si>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</si>
  <si>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</si>
  <si>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</si>
  <si>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</si>
  <si>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</si>
  <si>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</si>
  <si>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</si>
  <si>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</si>
  <si>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</si>
  <si>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</si>
  <si>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</si>
  <si>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</si>
  <si>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</si>
  <si>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</si>
  <si>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</si>
  <si>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</si>
  <si>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</si>
  <si>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</si>
  <si>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</si>
  <si>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</si>
  <si>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</si>
  <si>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</si>
  <si>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</si>
  <si>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</si>
  <si>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</si>
  <si>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</si>
  <si>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</si>
  <si>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</si>
  <si>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</si>
  <si>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</si>
  <si>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</si>
  <si>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</si>
  <si>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</si>
  <si>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</si>
  <si>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</si>
  <si>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</si>
  <si>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</si>
  <si>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</si>
  <si>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</si>
  <si>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</si>
  <si>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</si>
  <si>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</si>
  <si>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</si>
  <si>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</si>
  <si>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</si>
  <si>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</si>
  <si>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</si>
  <si>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</si>
  <si>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</si>
  <si>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</si>
  <si>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</si>
  <si>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</si>
  <si>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</si>
  <si>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</si>
  <si>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</si>
  <si>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</si>
  <si>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</si>
  <si>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</si>
  <si>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</si>
  <si>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</si>
  <si>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</si>
  <si>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</si>
  <si>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</si>
  <si>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</si>
  <si>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</si>
  <si>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</si>
  <si>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</si>
  <si>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</si>
  <si>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</si>
  <si>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</si>
  <si>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</si>
  <si>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</si>
  <si>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</si>
  <si>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</si>
  <si>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</si>
  <si>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</si>
  <si>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</si>
  <si>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</si>
  <si>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</si>
  <si>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</si>
  <si>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</si>
  <si>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</si>
  <si>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</si>
  <si>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</si>
  <si>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</si>
  <si>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</si>
  <si>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</si>
  <si>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</si>
  <si>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</si>
  <si>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</si>
  <si>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</si>
  <si>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</si>
  <si>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</si>
  <si>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</si>
  <si>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</si>
  <si>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</si>
  <si>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</si>
  <si>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</si>
  <si>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</si>
  <si>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</si>
  <si>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</si>
  <si>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</si>
  <si>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</si>
  <si>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</si>
  <si>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</si>
  <si>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</si>
  <si>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</si>
  <si>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</si>
  <si>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</si>
  <si>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</si>
  <si>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</si>
  <si>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</si>
  <si>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</si>
  <si>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</si>
  <si>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</si>
  <si>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</si>
  <si>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</si>
  <si>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</si>
  <si>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</si>
  <si>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</si>
  <si>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</si>
  <si>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</si>
  <si>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</si>
  <si>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</si>
  <si>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</si>
  <si>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</si>
  <si>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</si>
  <si>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</si>
  <si>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</si>
  <si>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</si>
  <si>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</si>
  <si>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</si>
  <si>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</si>
  <si>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</si>
  <si>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</si>
  <si>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</si>
  <si>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</si>
  <si>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</si>
  <si>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</si>
  <si>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</si>
  <si>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</si>
  <si>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</si>
  <si>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</si>
  <si>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</si>
  <si>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</si>
  <si>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</si>
  <si>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</si>
  <si>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</si>
  <si>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</si>
  <si>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</si>
  <si>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</si>
  <si>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</si>
  <si>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</si>
  <si>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</si>
  <si>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</si>
  <si>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</si>
  <si>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</si>
  <si>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</si>
  <si>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</si>
  <si>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</si>
  <si>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</si>
  <si>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</si>
  <si>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</si>
  <si>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</si>
  <si>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</si>
  <si>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</si>
  <si>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</si>
  <si>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</si>
  <si>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</si>
  <si>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</si>
  <si>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</si>
  <si>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</si>
  <si>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</si>
  <si>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</si>
  <si>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</si>
  <si>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</si>
  <si>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</si>
  <si>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</si>
  <si>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</si>
  <si>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</si>
  <si>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</si>
  <si>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</si>
  <si>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</si>
  <si>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</si>
  <si>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</si>
  <si>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</si>
  <si>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</si>
  <si>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</si>
  <si>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</si>
  <si>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</si>
  <si>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</si>
  <si>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</si>
  <si>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</si>
  <si>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</si>
  <si>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</si>
  <si>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</si>
  <si>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</si>
  <si>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</si>
  <si>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</si>
  <si>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</si>
  <si>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</si>
  <si>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</si>
  <si>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</si>
  <si>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</si>
  <si>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</si>
  <si>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</si>
  <si>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</si>
  <si>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</si>
  <si>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</si>
  <si>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</si>
  <si>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</si>
  <si>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</si>
  <si>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</si>
  <si>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</si>
  <si>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</si>
  <si>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</si>
  <si>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</si>
  <si>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</si>
  <si>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</si>
  <si>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</si>
  <si>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</si>
  <si>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</si>
  <si>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</si>
  <si>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</si>
  <si>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</si>
  <si>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</si>
  <si>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</si>
  <si>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</si>
  <si>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</si>
  <si>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</si>
  <si>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</si>
  <si>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</si>
  <si>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</si>
  <si>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</si>
  <si>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</si>
  <si>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</si>
  <si>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</si>
  <si>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</si>
  <si>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</si>
  <si>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</si>
  <si>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</si>
  <si>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</si>
  <si>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</si>
  <si>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</si>
  <si>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</si>
  <si>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</si>
  <si>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</si>
  <si>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</si>
  <si>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</si>
  <si>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</si>
  <si>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</si>
  <si>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</si>
  <si>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</si>
  <si>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</si>
  <si>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</si>
  <si>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</si>
  <si>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</si>
  <si>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</si>
  <si>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</si>
  <si>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</si>
  <si>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</si>
  <si>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</si>
  <si>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</si>
  <si>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</si>
  <si>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</si>
  <si>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</si>
  <si>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</si>
  <si>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</si>
  <si>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</si>
  <si>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</si>
  <si>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</si>
  <si>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</si>
  <si>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</si>
  <si>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</si>
  <si>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</si>
  <si>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</si>
  <si>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</si>
  <si>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</si>
  <si>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</si>
  <si>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</si>
  <si>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</si>
  <si>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</si>
  <si>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</si>
  <si>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</si>
  <si>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</si>
  <si>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</si>
  <si>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</si>
  <si>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</si>
  <si>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</si>
  <si>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</si>
  <si>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</si>
  <si>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</si>
  <si>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</si>
  <si>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</si>
  <si>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</si>
  <si>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</si>
  <si>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</si>
  <si>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</si>
  <si>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</si>
  <si>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</si>
  <si>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</si>
  <si>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</si>
  <si>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</si>
  <si>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</si>
  <si>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</si>
  <si>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</si>
  <si>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</si>
  <si>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</si>
  <si>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</si>
  <si>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</si>
  <si>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</si>
  <si>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</si>
  <si>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</si>
  <si>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</si>
  <si>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</si>
  <si>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</si>
  <si>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</si>
  <si>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</si>
  <si>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</si>
  <si>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</si>
  <si>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</si>
  <si>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</si>
  <si>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</si>
  <si>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</si>
  <si>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</si>
  <si>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</si>
  <si>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</si>
  <si>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</si>
  <si>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</si>
  <si>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</si>
  <si>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</si>
  <si>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</si>
  <si>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</si>
  <si>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</si>
  <si>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</si>
  <si>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</si>
  <si>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</si>
  <si>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</si>
  <si>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</si>
  <si>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</si>
  <si>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</si>
  <si>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</si>
  <si>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</si>
  <si>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</si>
  <si>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</si>
  <si>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</si>
  <si>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</si>
  <si>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</si>
  <si>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</si>
  <si>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</si>
  <si>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</si>
  <si>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</si>
  <si>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</si>
  <si>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</si>
  <si>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</si>
  <si>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</si>
  <si>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</si>
  <si>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</si>
  <si>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</si>
  <si>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</si>
  <si>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</si>
  <si>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</si>
  <si>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</si>
  <si>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</si>
  <si>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</si>
  <si>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</si>
  <si>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</si>
  <si>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</si>
  <si>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</si>
  <si>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</si>
  <si>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</si>
  <si>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</si>
  <si>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</si>
  <si>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</si>
  <si>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</si>
  <si>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</si>
  <si>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</si>
  <si>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</si>
  <si>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</si>
  <si>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</si>
  <si>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</si>
  <si>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</si>
  <si>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</si>
  <si>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</si>
  <si>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</si>
  <si>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</si>
  <si>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</si>
  <si>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</si>
  <si>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</si>
  <si>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</si>
  <si>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</si>
  <si>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</si>
  <si>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</si>
  <si>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</si>
  <si>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</si>
  <si>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</si>
  <si>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</si>
  <si>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</si>
  <si>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</si>
  <si>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</si>
  <si>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</si>
  <si>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</si>
  <si>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</si>
  <si>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</si>
  <si>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</si>
  <si>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</si>
  <si>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</si>
  <si>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</si>
  <si>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</si>
  <si>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</si>
  <si>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</si>
  <si>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</si>
  <si>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</si>
  <si>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</si>
  <si>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</si>
  <si>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</si>
  <si>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</si>
  <si>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</si>
  <si>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</si>
  <si>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</si>
  <si>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</si>
  <si>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</si>
  <si>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</si>
  <si>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</si>
  <si>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</si>
  <si>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</si>
  <si>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</si>
  <si>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</si>
  <si>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</si>
  <si>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</si>
  <si>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</si>
  <si>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</si>
  <si>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</si>
  <si>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</si>
  <si>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</si>
  <si>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</si>
  <si>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</si>
  <si>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</si>
  <si>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</si>
  <si>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</si>
  <si>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</si>
  <si>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</si>
  <si>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</si>
  <si>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</si>
  <si>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</si>
  <si>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</si>
  <si>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</si>
  <si>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</si>
  <si>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</si>
  <si>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</si>
  <si>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</si>
  <si>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</si>
  <si>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</si>
  <si>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</si>
  <si>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</si>
  <si>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</si>
  <si>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</si>
  <si>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</si>
  <si>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</si>
  <si>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</si>
  <si>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</si>
  <si>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</si>
  <si>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</si>
  <si>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</si>
  <si>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</si>
  <si>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</si>
  <si>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</si>
  <si>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</si>
  <si>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</si>
  <si>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</si>
  <si>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</si>
  <si>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</si>
  <si>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</si>
  <si>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</si>
  <si>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</si>
  <si>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</si>
  <si>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</si>
  <si>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</si>
  <si>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</si>
  <si>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</si>
  <si>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</si>
  <si>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</si>
  <si>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</si>
  <si>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</si>
  <si>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</si>
  <si>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</si>
  <si>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</si>
  <si>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</si>
  <si>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</si>
  <si>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</si>
  <si>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</si>
  <si>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</si>
  <si>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</si>
  <si>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</si>
  <si>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</si>
  <si>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</si>
  <si>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</si>
  <si>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</si>
  <si>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</si>
  <si>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</si>
  <si>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</si>
  <si>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</si>
  <si>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</si>
  <si>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</si>
  <si>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</si>
  <si>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</si>
  <si>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</si>
  <si>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</si>
  <si>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</si>
  <si>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</si>
  <si>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</si>
  <si>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</si>
  <si>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</si>
  <si>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</si>
  <si>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</si>
  <si>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</si>
  <si>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</si>
  <si>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</si>
  <si>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</si>
  <si>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</si>
  <si>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</si>
  <si>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</si>
  <si>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</si>
  <si>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</si>
  <si>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</si>
  <si>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</si>
  <si>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</si>
  <si>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</si>
  <si>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</si>
  <si>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</si>
  <si>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</si>
  <si>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</si>
  <si>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</si>
  <si>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</si>
  <si>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</si>
  <si>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</si>
  <si>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</si>
  <si>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</si>
  <si>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</si>
  <si>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</si>
  <si>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</si>
  <si>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</si>
  <si>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</si>
  <si>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</si>
  <si>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</si>
  <si>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</si>
  <si>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</si>
  <si>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</si>
  <si>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</si>
  <si>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</si>
  <si>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</si>
  <si>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</si>
  <si>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</si>
  <si>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</si>
  <si>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</si>
  <si>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</si>
  <si>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</si>
  <si>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</si>
  <si>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</si>
  <si>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</si>
  <si>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</si>
  <si>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</si>
  <si>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</si>
  <si>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</si>
  <si>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</si>
  <si>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</si>
  <si>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</si>
  <si>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</si>
  <si>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</si>
  <si>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</si>
  <si>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</si>
  <si>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</si>
  <si>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</si>
  <si>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</si>
  <si>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</si>
  <si>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</si>
  <si>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</si>
  <si>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</si>
  <si>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</si>
  <si>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</si>
  <si>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</si>
  <si>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</si>
  <si>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</si>
  <si>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</si>
  <si>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</si>
  <si>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</si>
  <si>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</si>
  <si>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</si>
  <si>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</si>
  <si>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</si>
  <si>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</si>
  <si>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</si>
  <si>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</si>
  <si>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</si>
  <si>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</si>
  <si>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</si>
  <si>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</si>
  <si>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</si>
  <si>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</si>
  <si>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</si>
  <si>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</si>
  <si>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</si>
  <si>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</si>
  <si>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</si>
  <si>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</si>
  <si>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</si>
  <si>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</si>
  <si>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</si>
  <si>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</si>
  <si>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</si>
  <si>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</si>
  <si>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</si>
  <si>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</si>
  <si>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</si>
  <si>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</si>
  <si>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</si>
  <si>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</si>
  <si>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</si>
  <si>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</si>
  <si>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</si>
  <si>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</si>
  <si>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</si>
  <si>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</si>
  <si>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</si>
  <si>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</si>
  <si>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</si>
  <si>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</si>
  <si>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</si>
  <si>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</si>
  <si>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</si>
  <si>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</si>
  <si>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</si>
  <si>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</si>
  <si>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</si>
  <si>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</si>
  <si>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</si>
  <si>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</si>
  <si>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</si>
  <si>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</si>
  <si>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</si>
  <si>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</si>
  <si>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</si>
  <si>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</si>
  <si>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</si>
  <si>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</si>
  <si>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</si>
  <si>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</si>
  <si>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</si>
  <si>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</si>
  <si>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</si>
  <si>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</si>
  <si>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</si>
  <si>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</si>
  <si>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</si>
  <si>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</si>
  <si>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</si>
  <si>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</si>
  <si>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</si>
  <si>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</si>
  <si>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</si>
  <si>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</si>
  <si>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</si>
  <si>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</si>
  <si>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</si>
  <si>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</si>
  <si>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</si>
  <si>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</si>
  <si>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</si>
  <si>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</si>
  <si>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</si>
  <si>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</si>
  <si>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</si>
  <si>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</si>
  <si>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</si>
  <si>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</si>
  <si>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</si>
  <si>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</si>
  <si>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</si>
  <si>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</si>
  <si>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</si>
  <si>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</si>
  <si>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</si>
  <si>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</si>
  <si>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</si>
  <si>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</si>
  <si>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</si>
  <si>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</si>
  <si>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</si>
  <si>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</si>
  <si>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</si>
  <si>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</si>
  <si>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</si>
  <si>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</si>
  <si>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</si>
  <si>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</si>
  <si>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</si>
  <si>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</si>
  <si>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</si>
  <si>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</si>
  <si>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</si>
  <si>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</si>
  <si>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</si>
  <si>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</si>
  <si>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</si>
  <si>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</si>
  <si>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</si>
  <si>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</si>
  <si>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</si>
  <si>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</si>
  <si>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</si>
  <si>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</si>
  <si>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</si>
  <si>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</si>
  <si>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</si>
  <si>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</si>
  <si>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</si>
  <si>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</si>
  <si>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</si>
  <si>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</si>
  <si>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</si>
  <si>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</si>
  <si>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</si>
  <si>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</si>
  <si>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</si>
  <si>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</si>
  <si>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</si>
  <si>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</si>
  <si>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</si>
  <si>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</si>
  <si>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</si>
  <si>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</si>
  <si>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</si>
  <si>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</si>
  <si>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</si>
  <si>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</si>
  <si>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</si>
  <si>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</si>
  <si>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</si>
  <si>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</si>
  <si>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</si>
  <si>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</si>
  <si>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</si>
  <si>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</si>
  <si>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</si>
  <si>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</si>
  <si>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</si>
  <si>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</si>
  <si>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</si>
  <si>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</si>
  <si>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</si>
  <si>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</si>
  <si>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</si>
  <si>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</si>
  <si>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</si>
  <si>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</si>
  <si>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</si>
  <si>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</si>
  <si>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</si>
  <si>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</si>
  <si>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</si>
  <si>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</si>
  <si>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</si>
  <si>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</si>
  <si>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</si>
  <si>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</si>
  <si>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</si>
  <si>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</si>
  <si>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</si>
  <si>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</si>
  <si>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</si>
  <si>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</si>
  <si>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</si>
  <si>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</si>
  <si>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</si>
  <si>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</si>
  <si>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</si>
  <si>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</si>
  <si>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</si>
  <si>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</si>
  <si>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</si>
  <si>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</si>
  <si>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</si>
  <si>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</si>
  <si>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</si>
  <si>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</si>
  <si>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</si>
  <si>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</si>
  <si>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</si>
  <si>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</si>
  <si>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</si>
  <si>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</si>
  <si>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</si>
  <si>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</si>
  <si>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</si>
  <si>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</si>
  <si>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</si>
  <si>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</si>
  <si>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</si>
  <si>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</si>
  <si>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</si>
  <si>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</si>
  <si>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</si>
  <si>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</si>
  <si>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</si>
  <si>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</si>
  <si>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</si>
  <si>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</si>
  <si>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</si>
  <si>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</si>
  <si>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</si>
  <si>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</si>
  <si>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</si>
  <si>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</si>
  <si>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</si>
  <si>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</si>
  <si>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</si>
  <si>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</si>
  <si>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</si>
  <si>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</si>
  <si>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</si>
  <si>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</si>
  <si>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</si>
  <si>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</si>
  <si>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</si>
  <si>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</si>
  <si>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</si>
  <si>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</si>
  <si>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</si>
  <si>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</si>
  <si>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</si>
  <si>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</si>
  <si>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</si>
  <si>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</si>
  <si>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</si>
  <si>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</si>
  <si>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</si>
  <si>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</si>
  <si>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</si>
  <si>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</si>
  <si>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</si>
  <si>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</si>
  <si>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</si>
  <si>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</si>
  <si>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</si>
  <si>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</si>
  <si>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</si>
  <si>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</si>
  <si>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</si>
  <si>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</si>
  <si>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</si>
  <si>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</si>
  <si>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</si>
  <si>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</si>
  <si>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</si>
  <si>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</si>
  <si>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</si>
  <si>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</si>
  <si>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</si>
  <si>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</si>
  <si>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</si>
  <si>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</si>
  <si>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</si>
  <si>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</si>
  <si>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</si>
  <si>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</si>
  <si>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</si>
  <si>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</si>
  <si>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</si>
  <si>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</si>
  <si>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</si>
  <si>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</si>
  <si>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</si>
  <si>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</si>
  <si>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</si>
  <si>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</si>
  <si>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</si>
  <si>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</si>
  <si>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</si>
  <si>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</si>
  <si>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</si>
  <si>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</si>
  <si>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</si>
  <si>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</si>
  <si>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</si>
  <si>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</si>
  <si>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</si>
  <si>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</si>
  <si>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</si>
  <si>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</si>
  <si>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</si>
  <si>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</si>
  <si>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</si>
  <si>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</si>
  <si>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</si>
  <si>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</si>
  <si>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</si>
  <si>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</si>
  <si>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</si>
  <si>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</si>
  <si>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</si>
  <si>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</si>
  <si>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</si>
  <si>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</si>
  <si>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</si>
  <si>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</si>
  <si>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</si>
  <si>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</si>
  <si>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</si>
  <si>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</si>
  <si>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</si>
  <si>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</si>
  <si>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</si>
  <si>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</si>
  <si>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</si>
  <si>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</si>
  <si>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</si>
  <si>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</si>
  <si>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</si>
  <si>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</si>
  <si>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</si>
  <si>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</si>
  <si>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</si>
  <si>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</si>
  <si>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</si>
  <si>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</si>
  <si>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</si>
  <si>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</si>
  <si>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</si>
  <si>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</si>
  <si>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</si>
  <si>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</si>
  <si>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</si>
  <si>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</si>
  <si>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</si>
  <si>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</si>
  <si>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</si>
  <si>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</si>
  <si>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</si>
  <si>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</si>
  <si>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</si>
  <si>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</si>
  <si>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</si>
  <si>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</si>
  <si>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</si>
  <si>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</si>
  <si>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</si>
  <si>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</si>
  <si>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</si>
  <si>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</si>
  <si>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</si>
  <si>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</si>
  <si>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</si>
  <si>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</si>
  <si>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</si>
  <si>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</si>
  <si>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</si>
  <si>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</si>
  <si>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</si>
  <si>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</si>
  <si>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</si>
  <si>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</si>
  <si>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</si>
  <si>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</si>
  <si>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</si>
  <si>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</si>
  <si>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</si>
  <si>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</si>
  <si>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</si>
  <si>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</si>
  <si>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</si>
  <si>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</si>
  <si>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</si>
  <si>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</si>
  <si>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</si>
  <si>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</si>
  <si>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</si>
  <si>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</si>
  <si>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</si>
  <si>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</si>
  <si>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</si>
  <si>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</si>
  <si>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</si>
  <si>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</si>
  <si>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</si>
  <si>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</si>
  <si>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</si>
  <si>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</si>
  <si>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</si>
  <si>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</si>
  <si>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</si>
  <si>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</si>
  <si>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</si>
  <si>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</si>
  <si>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</si>
  <si>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</si>
  <si>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</si>
  <si>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</si>
  <si>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</si>
  <si>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</si>
  <si>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</si>
  <si>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</si>
  <si>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</si>
  <si>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</si>
  <si>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</si>
  <si>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</si>
  <si>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</si>
  <si>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</si>
  <si>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</si>
  <si>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</si>
  <si>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</si>
  <si>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</si>
  <si>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</si>
  <si>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</si>
  <si>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</si>
  <si>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</si>
  <si>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</si>
  <si>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</si>
  <si>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</si>
  <si>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</si>
  <si>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</si>
  <si>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</si>
  <si>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</si>
  <si>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</si>
  <si>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</si>
  <si>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</si>
  <si>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</si>
  <si>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</si>
  <si>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</si>
  <si>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</si>
  <si>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</si>
  <si>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</si>
  <si>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</si>
  <si>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</si>
  <si>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</si>
  <si>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</si>
  <si>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</si>
  <si>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</si>
  <si>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</si>
  <si>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</si>
  <si>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</si>
  <si>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</si>
  <si>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</si>
  <si>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</si>
  <si>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</si>
  <si>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</si>
  <si>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</si>
  <si>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</si>
  <si>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</si>
  <si>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</si>
  <si>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</si>
  <si>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</si>
  <si>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</si>
  <si>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</si>
  <si>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</si>
  <si>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</si>
  <si>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</si>
  <si>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</si>
  <si>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</si>
  <si>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</si>
  <si>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</si>
  <si>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</si>
  <si>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</si>
  <si>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</si>
  <si>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</si>
  <si>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</si>
  <si>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</si>
  <si>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</si>
  <si>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</si>
  <si>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</si>
  <si>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</si>
  <si>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</si>
  <si>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</si>
  <si>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</si>
  <si>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</si>
  <si>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</si>
  <si>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</si>
  <si>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</si>
  <si>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</si>
  <si>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</si>
  <si>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</si>
  <si>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</si>
  <si>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</si>
  <si>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</si>
  <si>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</si>
  <si>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</si>
  <si>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</si>
  <si>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</si>
  <si>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</si>
  <si>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</si>
  <si>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</si>
  <si>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</si>
  <si>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</si>
  <si>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</si>
  <si>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</si>
  <si>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</si>
  <si>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</si>
  <si>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</si>
  <si>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</si>
  <si>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</si>
  <si>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</si>
  <si>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</si>
  <si>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</si>
  <si>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</si>
  <si>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</si>
  <si>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</si>
  <si>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</si>
  <si>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</si>
  <si>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</si>
  <si>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</si>
  <si>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</si>
  <si>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</si>
  <si>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</si>
  <si>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</si>
  <si>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</si>
  <si>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</si>
  <si>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</si>
  <si>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</si>
  <si>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</si>
  <si>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</si>
  <si>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</si>
  <si>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</si>
  <si>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</si>
  <si>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</si>
  <si>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</si>
  <si>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</si>
  <si>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</si>
  <si>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</si>
  <si>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</si>
  <si>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</si>
  <si>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</si>
  <si>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</si>
  <si>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</si>
  <si>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</si>
  <si>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</si>
  <si>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</si>
  <si>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</si>
  <si>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</si>
  <si>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</si>
  <si>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</si>
  <si>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</si>
  <si>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</si>
  <si>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</si>
  <si>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</si>
  <si>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</si>
  <si>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</si>
  <si>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</si>
  <si>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</si>
  <si>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</si>
  <si>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</si>
  <si>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</si>
  <si>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</si>
  <si>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</si>
  <si>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</si>
  <si>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</si>
  <si>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</si>
  <si>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</si>
  <si>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</si>
  <si>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</si>
  <si>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</si>
  <si>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</si>
  <si>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</si>
  <si>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</si>
  <si>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</si>
  <si>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</si>
  <si>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</si>
  <si>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</si>
  <si>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</si>
  <si>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</si>
  <si>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</si>
  <si>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</si>
  <si>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</si>
  <si>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</si>
  <si>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</si>
  <si>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</si>
  <si>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</si>
  <si>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</si>
  <si>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</si>
  <si>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</si>
  <si>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</si>
  <si>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</si>
  <si>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</si>
  <si>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</si>
  <si>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</si>
  <si>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</si>
  <si>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</si>
  <si>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</si>
  <si>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</si>
  <si>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</si>
  <si>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</si>
  <si>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</si>
  <si>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</si>
  <si>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</si>
  <si>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</si>
  <si>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</si>
  <si>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</si>
  <si>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</si>
  <si>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</si>
  <si>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</si>
  <si>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</si>
  <si>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</si>
  <si>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</si>
  <si>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</si>
  <si>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</si>
  <si>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</si>
  <si>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</si>
  <si>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</si>
  <si>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</si>
  <si>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</si>
  <si>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</si>
  <si>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</si>
  <si>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</si>
  <si>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</si>
  <si>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</si>
  <si>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</si>
  <si>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</si>
  <si>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</si>
  <si>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</si>
  <si>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</si>
  <si>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</si>
  <si>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</si>
  <si>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</si>
  <si>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</si>
  <si>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</si>
  <si>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</si>
  <si>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</si>
  <si>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</si>
  <si>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</si>
  <si>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</si>
  <si>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</si>
  <si>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</si>
  <si>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</si>
  <si>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</si>
  <si>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</si>
  <si>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</si>
  <si>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</si>
  <si>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</si>
  <si>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</si>
  <si>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</si>
  <si>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</si>
  <si>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</si>
  <si>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</si>
  <si>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</si>
  <si>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</si>
  <si>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</si>
  <si>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</si>
  <si>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</si>
  <si>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</si>
  <si>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</si>
  <si>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</si>
  <si>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</si>
  <si>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</si>
  <si>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</si>
  <si>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</si>
  <si>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</si>
  <si>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</si>
  <si>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</si>
  <si>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</si>
  <si>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</si>
  <si>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</si>
  <si>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</si>
  <si>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</si>
  <si>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</si>
  <si>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</si>
  <si>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</si>
  <si>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</si>
  <si>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</si>
  <si>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</si>
  <si>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</si>
  <si>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</si>
  <si>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</si>
  <si>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</si>
  <si>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</si>
  <si>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</si>
  <si>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</si>
  <si>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</si>
  <si>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</si>
  <si>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</si>
  <si>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</si>
  <si>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</si>
  <si>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</si>
  <si>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</si>
  <si>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</si>
  <si>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</si>
  <si>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</si>
  <si>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</si>
  <si>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</si>
  <si>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</si>
  <si>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</si>
  <si>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</si>
  <si>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</si>
  <si>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</si>
  <si>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</si>
  <si>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</si>
  <si>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</si>
  <si>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</si>
  <si>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</si>
  <si>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</si>
  <si>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</si>
  <si>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</si>
  <si>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</si>
  <si>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</si>
  <si>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</si>
  <si>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</si>
  <si>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</si>
  <si>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</si>
  <si>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</si>
  <si>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</si>
  <si>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</si>
  <si>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</si>
  <si>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</si>
  <si>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</si>
  <si>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</si>
  <si>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</si>
  <si>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</si>
  <si>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</si>
  <si>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</si>
  <si>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</si>
  <si>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</si>
  <si>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</si>
  <si>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</si>
  <si>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</si>
  <si>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</si>
  <si>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</si>
  <si>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</si>
  <si>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</si>
  <si>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</si>
  <si>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</si>
  <si>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</si>
  <si>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</si>
  <si>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</si>
  <si>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</si>
  <si>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</si>
  <si>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</si>
  <si>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</si>
  <si>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</si>
  <si>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</si>
  <si>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</si>
  <si>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</si>
  <si>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</si>
  <si>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</si>
  <si>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</si>
  <si>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</si>
  <si>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</si>
  <si>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</si>
  <si>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</si>
  <si>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</si>
  <si>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</si>
  <si>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</si>
  <si>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</si>
  <si>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</si>
  <si>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</si>
  <si>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</si>
  <si>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</si>
  <si>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</si>
  <si>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</si>
  <si>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</si>
  <si>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</si>
  <si>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</si>
  <si>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</si>
  <si>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</si>
  <si>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</si>
  <si>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</si>
  <si>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</si>
  <si>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</si>
  <si>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</si>
  <si>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</si>
  <si>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</si>
  <si>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</si>
  <si>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</si>
  <si>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</si>
  <si>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</si>
  <si>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</si>
  <si>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</si>
  <si>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</si>
  <si>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</si>
  <si>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</si>
  <si>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</si>
  <si>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</si>
  <si>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</si>
  <si>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</si>
  <si>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</si>
  <si>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</si>
  <si>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</si>
  <si>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</si>
  <si>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</si>
  <si>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</si>
  <si>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</si>
  <si>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</si>
  <si>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</si>
  <si>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</si>
  <si>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</si>
  <si>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</si>
  <si>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</si>
  <si>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</si>
  <si>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</si>
  <si>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</si>
  <si>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</si>
  <si>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</si>
  <si>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</si>
  <si>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</si>
  <si>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</si>
  <si>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</si>
  <si>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</si>
  <si>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</si>
  <si>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</si>
  <si>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</si>
  <si>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</si>
  <si>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</si>
  <si>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</si>
  <si>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</si>
  <si>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</si>
  <si>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</si>
  <si>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</si>
  <si>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</si>
  <si>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</si>
  <si>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</si>
  <si>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</si>
  <si>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</si>
  <si>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</si>
  <si>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</si>
  <si>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</si>
  <si>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</si>
  <si>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</si>
  <si>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</si>
  <si>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</si>
  <si>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</si>
  <si>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</si>
  <si>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</si>
  <si>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</si>
  <si>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</si>
  <si>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</si>
  <si>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</si>
  <si>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</si>
  <si>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</si>
  <si>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</si>
  <si>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</si>
  <si>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</si>
  <si>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</si>
  <si>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</si>
  <si>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</si>
  <si>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</si>
  <si>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</si>
  <si>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</si>
  <si>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</si>
  <si>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</si>
  <si>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</si>
  <si>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</si>
  <si>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</si>
  <si>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</si>
  <si>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</si>
  <si>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</si>
  <si>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</si>
  <si>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</si>
  <si>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</si>
  <si>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</si>
  <si>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</si>
  <si>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</si>
  <si>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</si>
  <si>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</si>
  <si>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</si>
  <si>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</si>
  <si>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</si>
  <si>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</si>
  <si>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</si>
  <si>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</si>
  <si>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</si>
  <si>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</si>
  <si>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</si>
  <si>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</si>
  <si>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</si>
  <si>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</si>
  <si>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</si>
  <si>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</si>
  <si>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</si>
  <si>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</si>
  <si>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</si>
  <si>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</si>
  <si>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</si>
  <si>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</si>
  <si>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</si>
  <si>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</si>
  <si>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</si>
  <si>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</si>
  <si>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</si>
  <si>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</si>
  <si>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</si>
  <si>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</si>
  <si>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</si>
  <si>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</si>
  <si>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</si>
  <si>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</si>
  <si>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</si>
  <si>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</si>
  <si>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</si>
  <si>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</si>
  <si>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</si>
  <si>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</si>
  <si>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</si>
  <si>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</si>
  <si>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</si>
  <si>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</si>
  <si>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</si>
  <si>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</si>
  <si>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</si>
  <si>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</si>
  <si>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</si>
  <si>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</si>
  <si>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</si>
  <si>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</si>
  <si>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</si>
  <si>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</si>
  <si>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</si>
  <si>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</si>
  <si>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</si>
  <si>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</si>
  <si>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</si>
  <si>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</si>
  <si>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</si>
  <si>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</si>
  <si>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</si>
  <si>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</si>
  <si>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</si>
  <si>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</si>
  <si>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</si>
  <si>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</si>
  <si>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</si>
  <si>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</si>
  <si>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</si>
  <si>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</si>
  <si>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</si>
  <si>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</si>
  <si>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</si>
  <si>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</si>
  <si>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</si>
  <si>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</si>
  <si>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</si>
  <si>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</si>
  <si>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</si>
  <si>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</si>
  <si>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</si>
  <si>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</si>
  <si>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</si>
  <si>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</si>
  <si>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</si>
  <si>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</si>
  <si>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</si>
  <si>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</si>
  <si>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</si>
  <si>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</si>
  <si>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</si>
  <si>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</si>
  <si>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</si>
  <si>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</si>
  <si>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</si>
  <si>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</si>
  <si>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</si>
  <si>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</si>
  <si>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</si>
  <si>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</si>
  <si>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</si>
  <si>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</si>
  <si>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</si>
  <si>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</si>
  <si>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</si>
  <si>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</si>
  <si>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</si>
  <si>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</si>
  <si>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</si>
  <si>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</si>
  <si>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</si>
  <si>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</si>
  <si>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</si>
  <si>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</si>
  <si>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</si>
  <si>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</si>
  <si>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</si>
  <si>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</si>
  <si>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</si>
  <si>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</si>
  <si>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</si>
  <si>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</si>
  <si>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</si>
  <si>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</si>
  <si>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</si>
  <si>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</si>
  <si>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</si>
  <si>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</si>
  <si>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</si>
  <si>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</si>
  <si>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</si>
  <si>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</si>
  <si>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</si>
  <si>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</si>
  <si>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</si>
  <si>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</si>
  <si>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</si>
  <si>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</si>
  <si>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</si>
  <si>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</si>
  <si>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</si>
  <si>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</si>
  <si>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</si>
  <si>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</si>
  <si>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</si>
  <si>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</si>
  <si>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</si>
  <si>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</si>
  <si>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</si>
  <si>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</si>
  <si>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</si>
  <si>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</si>
  <si>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</si>
  <si>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</si>
  <si>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</si>
  <si>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</si>
  <si>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</si>
  <si>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</si>
  <si>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</si>
  <si>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</si>
  <si>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</si>
  <si>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</si>
  <si>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</si>
  <si>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</si>
  <si>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</si>
  <si>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</si>
  <si>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</si>
  <si>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</si>
  <si>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</si>
  <si>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</si>
  <si>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</si>
  <si>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</si>
  <si>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</si>
  <si>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</si>
  <si>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</si>
  <si>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</si>
  <si>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</si>
  <si>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</si>
  <si>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</si>
  <si>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</si>
  <si>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</si>
  <si>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</si>
  <si>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</si>
  <si>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</si>
  <si>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</si>
  <si>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</si>
  <si>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</si>
  <si>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</si>
  <si>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</si>
  <si>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</si>
  <si>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</si>
  <si>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</si>
  <si>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</si>
  <si>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</si>
  <si>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</si>
  <si>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</si>
  <si>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</si>
  <si>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</si>
  <si>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</si>
  <si>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</si>
  <si>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</si>
  <si>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</si>
  <si>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</si>
  <si>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</si>
  <si>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</si>
  <si>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</si>
  <si>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</si>
  <si>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</si>
  <si>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</si>
  <si>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</si>
  <si>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</si>
  <si>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</si>
  <si>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</si>
  <si>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</si>
  <si>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</si>
  <si>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</si>
  <si>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</si>
  <si>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</si>
  <si>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</si>
  <si>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</si>
  <si>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</si>
  <si>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</si>
  <si>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</si>
  <si>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</si>
  <si>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</si>
  <si>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</si>
  <si>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</si>
  <si>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</si>
  <si>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</si>
  <si>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</si>
  <si>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</si>
  <si>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</si>
  <si>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</si>
  <si>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</si>
  <si>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</si>
  <si>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</si>
  <si>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</si>
  <si>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</si>
  <si>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</si>
  <si>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</si>
  <si>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</si>
  <si>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</si>
  <si>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</si>
  <si>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</si>
  <si>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</si>
  <si>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</si>
  <si>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</si>
  <si>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</si>
  <si>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</si>
  <si>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</si>
  <si>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</si>
  <si>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</si>
  <si>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</si>
  <si>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</si>
  <si>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</si>
  <si>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</si>
  <si>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</si>
  <si>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</si>
  <si>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</si>
  <si>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</si>
  <si>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</si>
  <si>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</si>
  <si>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</si>
  <si>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</si>
  <si>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</si>
  <si>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</si>
  <si>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</si>
  <si>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</si>
  <si>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</si>
  <si>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</si>
  <si>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</si>
  <si>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</si>
  <si>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</si>
  <si>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</si>
  <si>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</si>
  <si>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</si>
  <si>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</si>
  <si>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</si>
  <si>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</si>
  <si>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</si>
  <si>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</si>
  <si>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</si>
  <si>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</si>
  <si>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</si>
  <si>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</si>
  <si>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</si>
  <si>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</si>
  <si>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</si>
  <si>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</si>
  <si>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</si>
  <si>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</si>
  <si>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</si>
  <si>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</si>
  <si>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</si>
  <si>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</si>
  <si>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</si>
  <si>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</si>
  <si>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</si>
  <si>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</si>
  <si>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</si>
  <si>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</si>
  <si>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</si>
  <si>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</si>
  <si>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</si>
  <si>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</si>
  <si>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</si>
  <si>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</si>
  <si>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</si>
  <si>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</si>
  <si>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</si>
  <si>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</si>
  <si>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</si>
  <si>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</si>
  <si>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</si>
  <si>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</si>
  <si>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</si>
  <si>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</si>
  <si>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</si>
  <si>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</si>
  <si>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</si>
  <si>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</si>
  <si>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</si>
  <si>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</si>
  <si>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</si>
  <si>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</si>
  <si>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</si>
  <si>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</si>
  <si>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</si>
  <si>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</si>
  <si>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</si>
  <si>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</si>
  <si>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</si>
  <si>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</si>
  <si>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</si>
  <si>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</si>
  <si>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</si>
  <si>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</si>
  <si>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</si>
  <si>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</si>
  <si>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</si>
  <si>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</si>
  <si>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</si>
  <si>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</si>
  <si>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</si>
  <si>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</si>
  <si>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</si>
  <si>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</si>
  <si>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</si>
  <si>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</si>
  <si>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</si>
  <si>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</si>
  <si>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</si>
  <si>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</si>
  <si>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</si>
  <si>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</si>
  <si>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</si>
  <si>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</si>
  <si>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</si>
  <si>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</si>
  <si>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</si>
  <si>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</si>
  <si>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</si>
  <si>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</si>
  <si>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</si>
  <si>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</si>
  <si>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</si>
  <si>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</si>
  <si>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</si>
  <si>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</si>
  <si>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</si>
  <si>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</si>
  <si>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</si>
  <si>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</si>
  <si>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</si>
  <si>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</si>
  <si>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</si>
  <si>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</si>
  <si>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</si>
  <si>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</si>
  <si>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</si>
  <si>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</si>
  <si>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</si>
  <si>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</si>
  <si>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</si>
  <si>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</si>
  <si>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</si>
  <si>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</si>
  <si>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</si>
  <si>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</si>
  <si>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</si>
  <si>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</si>
  <si>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</si>
  <si>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</si>
  <si>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</si>
  <si>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</si>
  <si>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</si>
  <si>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</si>
  <si>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</si>
  <si>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</si>
  <si>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</si>
  <si>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</si>
  <si>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</si>
  <si>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</si>
  <si>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</si>
  <si>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</si>
  <si>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</si>
  <si>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</si>
  <si>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</si>
  <si>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</si>
  <si>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</si>
  <si>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</si>
  <si>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</si>
  <si>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</si>
  <si>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</si>
  <si>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</si>
  <si>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</si>
  <si>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</si>
  <si>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</si>
  <si>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</si>
  <si>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</si>
  <si>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</si>
  <si>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</si>
  <si>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</si>
  <si>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</si>
  <si>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</si>
  <si>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</si>
  <si>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</si>
  <si>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</si>
  <si>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</si>
  <si>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</si>
  <si>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</si>
  <si>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</si>
  <si>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</si>
  <si>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</si>
  <si>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</si>
  <si>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</si>
  <si>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</si>
  <si>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</si>
  <si>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</si>
  <si>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</si>
  <si>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</si>
  <si>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</si>
  <si>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</si>
  <si>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</si>
  <si>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</si>
  <si>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</si>
  <si>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</si>
  <si>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</si>
  <si>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</si>
  <si>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</si>
  <si>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</si>
  <si>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</si>
  <si>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</si>
  <si>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</si>
  <si>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</si>
  <si>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</si>
  <si>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</si>
  <si>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</si>
  <si>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</si>
  <si>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</si>
  <si>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</si>
  <si>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</si>
  <si>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</si>
  <si>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</si>
  <si>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</si>
  <si>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</si>
  <si>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</si>
  <si>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</si>
  <si>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</si>
  <si>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</si>
  <si>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</si>
  <si>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</si>
  <si>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</si>
  <si>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</si>
  <si>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</si>
  <si>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</si>
  <si>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</si>
  <si>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</si>
  <si>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</si>
  <si>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</si>
  <si>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</si>
  <si>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</si>
  <si>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</si>
  <si>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</si>
  <si>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</si>
  <si>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</si>
  <si>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</si>
  <si>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</si>
  <si>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</si>
  <si>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</si>
  <si>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</si>
  <si>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</si>
  <si>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</si>
  <si>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</si>
  <si>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</si>
  <si>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</si>
  <si>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</si>
  <si>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</si>
  <si>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</si>
  <si>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</si>
  <si>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</si>
  <si>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</si>
  <si>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</si>
  <si>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</si>
  <si>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</si>
  <si>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</si>
  <si>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</si>
  <si>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</si>
  <si>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</si>
  <si>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</si>
  <si>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</si>
  <si>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</si>
  <si>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</si>
  <si>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</si>
  <si>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</si>
  <si>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</si>
  <si>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</si>
  <si>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</si>
  <si>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</si>
  <si>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</si>
  <si>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</si>
  <si>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</si>
  <si>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</si>
  <si>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</si>
  <si>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</si>
  <si>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</si>
  <si>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</si>
  <si>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</si>
  <si>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</si>
  <si>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</si>
  <si>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</si>
  <si>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</si>
  <si>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</si>
  <si>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</si>
  <si>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</si>
  <si>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</si>
  <si>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</si>
  <si>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</si>
  <si>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</si>
  <si>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</si>
  <si>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</si>
  <si>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</si>
  <si>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</si>
  <si>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</si>
  <si>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</si>
  <si>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</si>
  <si>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</si>
  <si>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</si>
  <si>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</si>
  <si>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</si>
  <si>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</si>
  <si>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</si>
  <si>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</si>
  <si>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</si>
  <si>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</si>
  <si>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</si>
  <si>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</si>
  <si>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</si>
  <si>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</si>
  <si>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</si>
  <si>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</si>
  <si>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</si>
  <si>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</si>
  <si>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</si>
  <si>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</si>
  <si>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</si>
  <si>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</si>
  <si>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</si>
  <si>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</si>
  <si>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</si>
  <si>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</si>
  <si>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</si>
  <si>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</si>
  <si>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</si>
  <si>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</si>
  <si>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</si>
  <si>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</si>
  <si>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</si>
  <si>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</si>
  <si>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</si>
  <si>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</si>
  <si>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</si>
  <si>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</si>
  <si>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</si>
  <si>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</si>
  <si>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</si>
  <si>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</si>
  <si>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</si>
  <si>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</si>
  <si>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</si>
  <si>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</si>
  <si>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</si>
  <si>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</si>
  <si>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</si>
  <si>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</si>
  <si>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</si>
  <si>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</si>
  <si>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</si>
  <si>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</si>
  <si>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</si>
  <si>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</si>
  <si>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</si>
  <si>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</si>
  <si>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</si>
  <si>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</si>
  <si>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</si>
  <si>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</si>
  <si>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</si>
  <si>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</si>
  <si>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</si>
  <si>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</si>
  <si>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</si>
  <si>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</si>
  <si>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</si>
  <si>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</si>
  <si>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</si>
  <si>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</si>
  <si>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</si>
  <si>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</si>
  <si>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</si>
  <si>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</si>
  <si>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</si>
  <si>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</si>
  <si>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</si>
  <si>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</si>
  <si>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</si>
  <si>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</si>
  <si>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</si>
  <si>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</si>
  <si>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</si>
  <si>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</si>
  <si>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</si>
  <si>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</si>
  <si>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</si>
  <si>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</si>
  <si>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</si>
  <si>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</si>
  <si>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</si>
  <si>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</si>
  <si>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</si>
  <si>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</si>
  <si>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</si>
  <si>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</si>
  <si>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</si>
  <si>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</si>
  <si>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</si>
  <si>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</si>
  <si>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</si>
  <si>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</si>
  <si>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</si>
  <si>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</si>
  <si>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</si>
  <si>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</si>
  <si>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</si>
  <si>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</si>
  <si>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</si>
  <si>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</si>
  <si>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</si>
  <si>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</si>
  <si>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</si>
  <si>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</si>
  <si>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</si>
  <si>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</si>
  <si>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</si>
  <si>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</si>
  <si>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</si>
  <si>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</si>
  <si>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</si>
  <si>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</si>
  <si>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</si>
  <si>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</si>
  <si>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</si>
  <si>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</si>
  <si>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</si>
  <si>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</si>
  <si>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</si>
  <si>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</si>
  <si>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</si>
  <si>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</si>
  <si>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</si>
  <si>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</si>
  <si>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</si>
  <si>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</si>
  <si>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</si>
  <si>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</si>
  <si>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</si>
  <si>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</si>
  <si>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</si>
  <si>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</si>
  <si>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</si>
  <si>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</si>
  <si>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</si>
  <si>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</si>
  <si>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</si>
  <si>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</si>
  <si>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</si>
  <si>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</si>
  <si>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</si>
  <si>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</si>
  <si>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</si>
  <si>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</si>
  <si>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</si>
  <si>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</si>
  <si>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</si>
  <si>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</si>
  <si>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</si>
  <si>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</si>
  <si>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</si>
  <si>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</si>
  <si>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</si>
  <si>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</si>
  <si>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</si>
  <si>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</si>
  <si>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</si>
  <si>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</si>
  <si>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</si>
  <si>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</si>
  <si>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</si>
  <si>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</si>
  <si>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</si>
  <si>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</si>
  <si>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</si>
  <si>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</si>
  <si>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</si>
  <si>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</si>
  <si>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</si>
  <si>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</si>
  <si>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</si>
  <si>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</si>
  <si>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</si>
  <si>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</si>
  <si>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</si>
  <si>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</si>
  <si>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</si>
  <si>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</si>
  <si>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</si>
  <si>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</si>
  <si>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</si>
  <si>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</si>
  <si>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</si>
  <si>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</si>
  <si>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</si>
  <si>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</si>
  <si>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</si>
  <si>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</si>
  <si>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</si>
  <si>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</si>
  <si>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</si>
  <si>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</si>
  <si>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</si>
  <si>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</si>
  <si>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</si>
  <si>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</si>
  <si>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</si>
  <si>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</si>
  <si>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</si>
  <si>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</si>
  <si>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</si>
  <si>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</si>
  <si>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</si>
  <si>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</si>
  <si>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</si>
  <si>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</si>
  <si>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</si>
  <si>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</si>
  <si>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</si>
  <si>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</si>
  <si>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</si>
  <si>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</si>
  <si>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</si>
  <si>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</si>
  <si>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</si>
  <si>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</si>
  <si>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</si>
  <si>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</si>
  <si>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</si>
  <si>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</si>
  <si>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</si>
  <si>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</si>
  <si>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</si>
  <si>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</si>
  <si>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</si>
  <si>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</si>
  <si>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</si>
  <si>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</si>
  <si>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</si>
  <si>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</si>
  <si>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</si>
  <si>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</si>
  <si>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</si>
  <si>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</si>
  <si>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</si>
  <si>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</si>
  <si>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</si>
  <si>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</si>
  <si>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</si>
  <si>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</si>
  <si>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</si>
  <si>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</si>
  <si>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</si>
  <si>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</si>
  <si>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</si>
  <si>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</si>
  <si>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</si>
  <si>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</si>
  <si>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</si>
  <si>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</si>
  <si>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</si>
  <si>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</si>
  <si>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</si>
  <si>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</si>
  <si>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</si>
  <si>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</si>
  <si>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</si>
  <si>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</si>
  <si>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</si>
  <si>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</si>
  <si>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</si>
  <si>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</si>
  <si>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</si>
  <si>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</si>
  <si>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</si>
  <si>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</si>
  <si>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</si>
  <si>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</si>
  <si>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</si>
  <si>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</si>
  <si>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</si>
  <si>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</si>
  <si>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</si>
  <si>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</si>
  <si>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</si>
  <si>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</si>
  <si>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</si>
  <si>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</si>
  <si>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</si>
  <si>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</si>
  <si>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</si>
  <si>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</si>
  <si>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</si>
  <si>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</si>
  <si>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</si>
  <si>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</si>
  <si>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</si>
  <si>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</si>
  <si>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</si>
  <si>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</si>
  <si>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</si>
  <si>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</si>
  <si>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</si>
  <si>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</si>
  <si>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</si>
  <si>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</si>
  <si>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</si>
  <si>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</si>
  <si>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</si>
  <si>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</si>
  <si>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</si>
  <si>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</si>
  <si>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</si>
  <si>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</si>
  <si>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</si>
  <si>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</si>
  <si>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</si>
  <si>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</si>
  <si>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</si>
  <si>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</si>
  <si>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</si>
  <si>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</si>
  <si>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</si>
  <si>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</si>
  <si>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</si>
  <si>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</si>
  <si>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</si>
  <si>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</si>
  <si>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</si>
  <si>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</si>
  <si>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</si>
  <si>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</si>
  <si>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</si>
  <si>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</si>
  <si>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</si>
  <si>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</si>
  <si>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</si>
  <si>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</si>
  <si>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</si>
  <si>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</si>
  <si>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</si>
  <si>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</si>
  <si>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</si>
  <si>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</si>
  <si>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</si>
  <si>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</si>
  <si>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</si>
  <si>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</si>
  <si>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</si>
  <si>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</si>
  <si>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</si>
  <si>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</si>
  <si>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</si>
  <si>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</si>
  <si>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</si>
  <si>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</si>
  <si>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</si>
  <si>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</si>
  <si>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</si>
  <si>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</si>
  <si>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</si>
  <si>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</si>
  <si>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</si>
  <si>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</si>
  <si>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</si>
  <si>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</si>
  <si>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</si>
  <si>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</si>
  <si>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</si>
  <si>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</si>
  <si>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</si>
  <si>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</si>
  <si>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</si>
  <si>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</si>
  <si>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</si>
  <si>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</si>
  <si>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</si>
  <si>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</si>
  <si>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</si>
  <si>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</si>
  <si>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</si>
  <si>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</si>
  <si>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</si>
  <si>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</si>
  <si>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</si>
  <si>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</si>
  <si>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</si>
  <si>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</si>
  <si>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</si>
  <si>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</si>
  <si>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</si>
  <si>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</si>
  <si>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</si>
  <si>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</si>
  <si>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</si>
  <si>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</si>
  <si>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</si>
  <si>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</si>
  <si>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</si>
  <si>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</si>
  <si>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</si>
  <si>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</si>
  <si>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</si>
  <si>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</si>
  <si>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</si>
  <si>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</si>
  <si>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</si>
  <si>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</si>
  <si>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</si>
  <si>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</si>
  <si>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</si>
  <si>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</si>
  <si>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</si>
  <si>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</si>
  <si>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</si>
  <si>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</si>
  <si>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</si>
  <si>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</si>
  <si>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</si>
  <si>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</si>
  <si>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</si>
  <si>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</si>
  <si>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</si>
  <si>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</si>
  <si>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</si>
  <si>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</si>
  <si>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</si>
  <si>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</si>
  <si>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</si>
  <si>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</si>
  <si>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</si>
  <si>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</si>
  <si>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</si>
  <si>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</si>
  <si>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</si>
  <si>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</si>
  <si>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</si>
  <si>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</si>
  <si>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</si>
  <si>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</si>
  <si>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</si>
  <si>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</si>
  <si>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</si>
  <si>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</si>
  <si>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</si>
  <si>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</si>
  <si>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</si>
  <si>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</si>
  <si>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</si>
  <si>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</si>
  <si>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</si>
  <si>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</si>
  <si>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</si>
  <si>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</si>
  <si>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</si>
  <si>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</si>
  <si>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</si>
  <si>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</si>
  <si>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</si>
  <si>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</si>
  <si>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</si>
  <si>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</si>
  <si>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</si>
  <si>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</si>
  <si>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</si>
  <si>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</si>
  <si>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</si>
  <si>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</si>
  <si>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</si>
  <si>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</si>
  <si>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</si>
  <si>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</si>
  <si>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</si>
  <si>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A区房产清单</t>
  </si>
  <si>
    <t>序号</t>
  </si>
  <si>
    <t>区域</t>
  </si>
  <si>
    <t>层次</t>
  </si>
  <si>
    <t>编号</t>
  </si>
  <si>
    <t>面积（㎡）</t>
  </si>
  <si>
    <t>不动产权证书号</t>
  </si>
  <si>
    <t>备注</t>
  </si>
  <si>
    <t>A区</t>
  </si>
  <si>
    <t>1层</t>
  </si>
  <si>
    <t>7号</t>
  </si>
  <si>
    <t>店铺</t>
  </si>
  <si>
    <t>2016LC14217</t>
  </si>
  <si>
    <t>11号</t>
  </si>
  <si>
    <t>2016LC14221</t>
  </si>
  <si>
    <t>21号</t>
  </si>
  <si>
    <t>2016LC14223</t>
  </si>
  <si>
    <t>24号</t>
  </si>
  <si>
    <t>2016LC14230</t>
  </si>
  <si>
    <t>32号</t>
  </si>
  <si>
    <t>2016LC14216</t>
  </si>
  <si>
    <t>33号</t>
  </si>
  <si>
    <t>2016LC14219</t>
  </si>
  <si>
    <t>34号</t>
  </si>
  <si>
    <t>2016LC14220</t>
  </si>
  <si>
    <t>35号</t>
  </si>
  <si>
    <t>2016LC14224</t>
  </si>
  <si>
    <t>36号</t>
  </si>
  <si>
    <t>2016LC14225</t>
  </si>
  <si>
    <t>37号</t>
  </si>
  <si>
    <t>2016LC14229</t>
  </si>
  <si>
    <t>38号</t>
  </si>
  <si>
    <t>2016LC14218</t>
  </si>
  <si>
    <t>2层</t>
  </si>
  <si>
    <t>A2-2</t>
  </si>
  <si>
    <t>商场</t>
  </si>
  <si>
    <t>2016LC14226</t>
  </si>
  <si>
    <t>3层</t>
  </si>
  <si>
    <t>A3-1</t>
  </si>
  <si>
    <t>2016LC14231</t>
  </si>
  <si>
    <t>A3-2</t>
  </si>
  <si>
    <t>2016LC14232</t>
  </si>
  <si>
    <t>4层</t>
  </si>
  <si>
    <t>A4-1</t>
  </si>
  <si>
    <t>2016LC14236</t>
  </si>
  <si>
    <t>A4-2</t>
  </si>
  <si>
    <t>2016LC14227</t>
  </si>
  <si>
    <t>5层</t>
  </si>
  <si>
    <t>A5-1</t>
  </si>
  <si>
    <t>2016LC14234</t>
  </si>
  <si>
    <t>A5-2</t>
  </si>
  <si>
    <t>2016LC14235</t>
  </si>
  <si>
    <t>A区合计</t>
  </si>
  <si>
    <t>B区商铺产权证面积合计</t>
  </si>
  <si>
    <t>楼层</t>
  </si>
  <si>
    <t>产权证面积（㎡）</t>
  </si>
  <si>
    <t>负一层</t>
  </si>
  <si>
    <t>一层</t>
  </si>
  <si>
    <t>二层</t>
  </si>
  <si>
    <t>三层</t>
  </si>
  <si>
    <t>四层</t>
  </si>
  <si>
    <t>A1#商场</t>
  </si>
  <si>
    <t>A2#商场</t>
  </si>
  <si>
    <t>B1#商场</t>
  </si>
  <si>
    <t>B2#商场</t>
  </si>
  <si>
    <t>B3#商场</t>
  </si>
  <si>
    <t>已售产权面积</t>
  </si>
  <si>
    <t>可售产权面积</t>
  </si>
  <si>
    <t>C区房产清单</t>
  </si>
  <si>
    <t>序</t>
  </si>
  <si>
    <t>楼号</t>
  </si>
  <si>
    <t>层数</t>
  </si>
  <si>
    <t>编</t>
  </si>
  <si>
    <t>不动产权证书</t>
  </si>
  <si>
    <t>C区</t>
  </si>
  <si>
    <t>11-12楼裙楼</t>
  </si>
  <si>
    <t>2017LC24600</t>
  </si>
  <si>
    <t>2017LC24596</t>
  </si>
  <si>
    <t>2017LC24599</t>
  </si>
  <si>
    <t>2017LC24597</t>
  </si>
  <si>
    <t>2017LC24595</t>
  </si>
  <si>
    <t>C31</t>
  </si>
  <si>
    <t>2017LC24598</t>
  </si>
  <si>
    <t>11#</t>
  </si>
  <si>
    <t>32层</t>
  </si>
  <si>
    <t>住宅</t>
  </si>
  <si>
    <t>2018LC00231</t>
  </si>
  <si>
    <t>15层</t>
  </si>
  <si>
    <t>2018LC00230</t>
  </si>
  <si>
    <t>14层</t>
  </si>
  <si>
    <t>2018lC00229</t>
  </si>
  <si>
    <t>13层</t>
  </si>
  <si>
    <t>2018LC00228</t>
  </si>
  <si>
    <t>12#</t>
  </si>
  <si>
    <t>24层</t>
  </si>
  <si>
    <t>2018LC00245</t>
  </si>
  <si>
    <t>20层</t>
  </si>
  <si>
    <t>2016LC00244</t>
  </si>
  <si>
    <t>18层</t>
  </si>
  <si>
    <t>2018LC00242</t>
  </si>
  <si>
    <t>2018LC00240</t>
  </si>
  <si>
    <t>8层</t>
  </si>
  <si>
    <t>2018LC00238</t>
  </si>
  <si>
    <t>7层</t>
  </si>
  <si>
    <t>2018LC00235</t>
  </si>
  <si>
    <t>6层</t>
  </si>
  <si>
    <t>2018LC00232</t>
  </si>
  <si>
    <t>2018LC00241</t>
  </si>
  <si>
    <t>2018LC00239</t>
  </si>
  <si>
    <t>2018lc00236</t>
  </si>
  <si>
    <t>2018LC00233</t>
  </si>
  <si>
    <t>2018LC00237</t>
  </si>
  <si>
    <t>2018LC00234</t>
  </si>
  <si>
    <t>C区合计</t>
  </si>
  <si>
    <t>D区商场房产清单</t>
  </si>
  <si>
    <t>产权证编</t>
  </si>
  <si>
    <t>D区</t>
  </si>
  <si>
    <t>13-16楼裙楼</t>
  </si>
  <si>
    <t>D22</t>
  </si>
  <si>
    <t>2018LC08518</t>
  </si>
  <si>
    <t>D2-3</t>
  </si>
  <si>
    <t>D3-1</t>
  </si>
  <si>
    <t>D3-2</t>
  </si>
  <si>
    <t>D4-1</t>
  </si>
  <si>
    <t>D4-2</t>
  </si>
  <si>
    <t>D区合计</t>
  </si>
  <si>
    <t>楼层</t>
    <phoneticPr fontId="140" type="noConversion"/>
  </si>
  <si>
    <t>地下1层</t>
    <phoneticPr fontId="140" type="noConversion"/>
  </si>
  <si>
    <t>1层</t>
    <phoneticPr fontId="140" type="noConversion"/>
  </si>
  <si>
    <t>2层</t>
    <phoneticPr fontId="140" type="noConversion"/>
  </si>
  <si>
    <t>3层</t>
    <phoneticPr fontId="140" type="noConversion"/>
  </si>
  <si>
    <t>4层</t>
    <phoneticPr fontId="140" type="noConversion"/>
  </si>
  <si>
    <t>面积</t>
    <phoneticPr fontId="140" type="noConversion"/>
  </si>
  <si>
    <t>5层</t>
    <phoneticPr fontId="140" type="noConversion"/>
  </si>
  <si>
    <r>
      <t>1至</t>
    </r>
    <r>
      <rPr>
        <sz val="11"/>
        <color theme="1"/>
        <rFont val="宋体"/>
        <family val="3"/>
        <charset val="134"/>
        <scheme val="minor"/>
      </rPr>
      <t>4层</t>
    </r>
    <phoneticPr fontId="140" type="noConversion"/>
  </si>
  <si>
    <t>1至3层</t>
    <phoneticPr fontId="140" type="noConversion"/>
  </si>
  <si>
    <t>3至4层</t>
    <phoneticPr fontId="140" type="noConversion"/>
  </si>
  <si>
    <t>莆田项目ABCD区剩余住宅、车位、商铺货值预估统计</t>
  </si>
  <si>
    <t>区位</t>
  </si>
  <si>
    <t>可售住宅面积（㎡）</t>
  </si>
  <si>
    <t>可售商铺面积（㎡）</t>
  </si>
  <si>
    <t>可售车位个数（个）</t>
  </si>
  <si>
    <t>住宅可销售金额（元）</t>
  </si>
  <si>
    <t>商铺可销售金额（元）</t>
  </si>
  <si>
    <t>车位可销售金额（元）</t>
  </si>
  <si>
    <t>合计剩余货值金额（元）</t>
  </si>
  <si>
    <t>已抵押住宅面积（㎡）</t>
  </si>
  <si>
    <t>已抵押商铺面积（㎡）</t>
  </si>
  <si>
    <t>已抵押车位个数（个）</t>
  </si>
  <si>
    <t>B区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</si>
</sst>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20"/>
      <color theme="1"/>
      <name val="宋体"/>
      <family val="3"/>
      <charset val="134"/>
      <scheme val="minor"/>
    </font>
    <font>
      <b/>
      <sz val="9"/>
      <color theme="1"/>
      <name val="宋体"/>
      <family val="3"/>
      <charset val="134"/>
      <scheme val="minor"/>
    </font>
    <font>
      <sz val="14"/>
      <name val="宋体"/>
      <family val="3"/>
      <charset val="134"/>
    </font>
    <font>
      <sz val="11"/>
      <color rgb="FFFF000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3999450666829432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256" fillId="7" borderId="0" xfId="0" applyFont="1" applyFill="1" applyBorder="1" applyAlignment="1">
      <alignment vertical="center"/>
    </xf>
    <xf numFmtId="0" fontId="153" fillId="7" borderId="1" xfId="0" applyFont="1" applyFill="1" applyBorder="1" applyAlignment="1">
      <alignment horizontal="center" vertical="center"/>
    </xf>
    <xf numFmtId="0" fontId="153" fillId="7" borderId="1" xfId="0" applyFont="1" applyFill="1" applyBorder="1" applyAlignment="1">
      <alignment vertical="center"/>
    </xf>
    <xf numFmtId="0" fontId="122" fillId="7" borderId="1" xfId="0" applyFont="1" applyFill="1" applyBorder="1" applyAlignment="1">
      <alignment vertical="center"/>
    </xf>
    <xf numFmtId="0" fontId="203" fillId="0" borderId="1" xfId="0" applyFont="1" applyFill="1" applyBorder="1" applyAlignment="1">
      <alignment horizontal="center" vertical="center" wrapText="1"/>
    </xf>
    <xf numFmtId="0" fontId="204" fillId="0" borderId="1" xfId="0" applyFont="1" applyBorder="1" applyAlignment="1">
      <alignment horizontal="center" vertical="center"/>
    </xf>
    <xf numFmtId="0" fontId="204" fillId="0" borderId="1" xfId="0" applyFont="1" applyFill="1" applyBorder="1" applyAlignment="1">
      <alignment horizontal="center" vertical="center" wrapText="1"/>
    </xf>
    <xf numFmtId="179" fontId="204" fillId="5" borderId="1" xfId="0" applyNumberFormat="1" applyFont="1" applyFill="1" applyBorder="1" applyAlignment="1">
      <alignment horizontal="center" vertical="center" wrapText="1"/>
    </xf>
    <xf numFmtId="179" fontId="204" fillId="0" borderId="1" xfId="0" applyNumberFormat="1" applyFont="1" applyFill="1" applyBorder="1" applyAlignment="1">
      <alignment horizontal="center" vertical="center" wrapText="1"/>
    </xf>
    <xf numFmtId="0" fontId="204" fillId="0" borderId="1" xfId="0" applyFont="1" applyBorder="1">
      <alignment vertical="center"/>
    </xf>
    <xf numFmtId="0" fontId="257" fillId="0" borderId="1" xfId="0" applyFont="1" applyFill="1" applyBorder="1" applyAlignment="1">
      <alignment horizontal="center"/>
    </xf>
    <xf numFmtId="179" fontId="257" fillId="5" borderId="1" xfId="0" applyNumberFormat="1" applyFont="1" applyFill="1" applyBorder="1" applyAlignment="1">
      <alignment horizontal="center"/>
    </xf>
    <xf numFmtId="0" fontId="256" fillId="7" borderId="60" xfId="0" applyFont="1" applyFill="1" applyBorder="1" applyAlignment="1">
      <alignment vertical="center"/>
    </xf>
    <xf numFmtId="179" fontId="153" fillId="7" borderId="1" xfId="0" applyNumberFormat="1" applyFont="1" applyFill="1" applyBorder="1" applyAlignment="1">
      <alignment vertical="center"/>
    </xf>
    <xf numFmtId="0" fontId="122" fillId="7" borderId="1" xfId="0" applyFont="1" applyFill="1" applyBorder="1" applyAlignment="1">
      <alignment horizontal="center" vertical="center"/>
    </xf>
    <xf numFmtId="179" fontId="122" fillId="7" borderId="1" xfId="0" applyNumberFormat="1" applyFont="1" applyFill="1" applyBorder="1" applyAlignment="1">
      <alignment vertical="center"/>
    </xf>
    <xf numFmtId="0" fontId="256" fillId="0" borderId="60" xfId="0" applyFont="1" applyFill="1" applyBorder="1" applyAlignment="1">
      <alignment vertical="center"/>
    </xf>
    <xf numFmtId="0" fontId="153" fillId="0" borderId="1" xfId="0" applyFont="1" applyFill="1" applyBorder="1" applyAlignment="1">
      <alignment vertical="center"/>
    </xf>
    <xf numFmtId="179" fontId="153" fillId="0" borderId="1" xfId="0" applyNumberFormat="1" applyFont="1" applyFill="1" applyBorder="1" applyAlignment="1">
      <alignment vertical="center"/>
    </xf>
    <xf numFmtId="0" fontId="122" fillId="0" borderId="1" xfId="0" applyFont="1" applyFill="1" applyBorder="1" applyAlignment="1">
      <alignment horizontal="center" vertical="center"/>
    </xf>
    <xf numFmtId="0" fontId="122" fillId="0" borderId="1" xfId="0" applyFont="1" applyFill="1" applyBorder="1" applyAlignment="1">
      <alignment vertical="center"/>
    </xf>
    <xf numFmtId="179" fontId="122" fillId="0" borderId="1" xfId="0" applyNumberFormat="1" applyFont="1" applyFill="1" applyBorder="1" applyAlignment="1">
      <alignment vertical="center"/>
    </xf>
    <xf numFmtId="0" fontId="98" fillId="0" borderId="0" xfId="0" applyFont="1">
      <alignment vertical="center"/>
    </xf>
    <xf numFmtId="179" fontId="0" fillId="0" borderId="0" xfId="0" applyNumberFormat="1">
      <alignment vertical="center"/>
    </xf>
    <xf numFmtId="58" fontId="0" fillId="0" borderId="0" xfId="0" applyNumberFormat="1">
      <alignment vertical="center"/>
    </xf>
    <xf numFmtId="58" fontId="98" fillId="0" borderId="0" xfId="0" applyNumberFormat="1" applyFont="1">
      <alignment vertical="center"/>
    </xf>
    <xf numFmtId="0" fontId="0" fillId="0" borderId="1" xfId="0" applyBorder="1" applyAlignment="1">
      <alignment horizontal="center" vertical="center"/>
    </xf>
    <xf numFmtId="0" fontId="0" fillId="20" borderId="1" xfId="0" applyFill="1" applyBorder="1" applyAlignment="1">
      <alignment horizontal="center" vertical="center"/>
    </xf>
    <xf numFmtId="0" fontId="98" fillId="0" borderId="1" xfId="0" applyFont="1" applyBorder="1" applyAlignment="1">
      <alignment horizontal="center" vertical="center"/>
    </xf>
    <xf numFmtId="0" fontId="0" fillId="21" borderId="1" xfId="0" applyFill="1" applyBorder="1" applyAlignment="1">
      <alignment horizontal="center" vertical="center"/>
    </xf>
    <xf numFmtId="197" fontId="0" fillId="0" borderId="1" xfId="0" applyNumberFormat="1" applyBorder="1" applyAlignment="1">
      <alignment horizontal="center" vertical="center"/>
    </xf>
    <xf numFmtId="0" fontId="0" fillId="0" borderId="1" xfId="0" applyBorder="1">
      <alignment vertical="center"/>
    </xf>
    <xf numFmtId="197" fontId="0" fillId="0" borderId="1" xfId="0" applyNumberFormat="1" applyBorder="1">
      <alignment vertical="center"/>
    </xf>
    <xf numFmtId="0" fontId="0" fillId="22" borderId="1" xfId="0" applyFill="1" applyBorder="1" applyAlignment="1">
      <alignment horizontal="center" vertical="center"/>
    </xf>
    <xf numFmtId="0" fontId="0" fillId="23" borderId="1" xfId="0" applyFill="1" applyBorder="1" applyAlignment="1">
      <alignment horizontal="center" vertical="center"/>
    </xf>
    <xf numFmtId="0" fontId="0" fillId="24" borderId="1" xfId="0" applyFill="1" applyBorder="1" applyAlignment="1">
      <alignment horizontal="center" vertical="center"/>
    </xf>
    <xf numFmtId="197" fontId="0" fillId="20" borderId="1" xfId="0" applyNumberFormat="1" applyFill="1" applyBorder="1" applyAlignment="1">
      <alignment horizontal="center" vertical="center"/>
    </xf>
    <xf numFmtId="197" fontId="0" fillId="0" borderId="0" xfId="0" applyNumberForma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5" fillId="0" borderId="60" xfId="0" applyFont="1" applyFill="1" applyBorder="1" applyAlignment="1">
      <alignment horizontal="center" vertical="center"/>
    </xf>
    <xf numFmtId="0" fontId="153" fillId="0" borderId="13" xfId="0" applyFont="1" applyFill="1" applyBorder="1" applyAlignment="1">
      <alignment horizontal="center" vertical="center"/>
    </xf>
    <xf numFmtId="0" fontId="153" fillId="0" borderId="15" xfId="0" applyFont="1" applyFill="1" applyBorder="1" applyAlignment="1">
      <alignment horizontal="center" vertical="center"/>
    </xf>
    <xf numFmtId="0" fontId="122" fillId="0" borderId="1" xfId="0" applyFont="1" applyFill="1" applyBorder="1" applyAlignment="1">
      <alignment horizontal="center" vertical="center"/>
    </xf>
    <xf numFmtId="0" fontId="255" fillId="7" borderId="60" xfId="0" applyFont="1" applyFill="1" applyBorder="1" applyAlignment="1">
      <alignment horizontal="center" vertical="center"/>
    </xf>
    <xf numFmtId="0" fontId="153" fillId="7" borderId="1" xfId="0" applyFont="1" applyFill="1" applyBorder="1" applyAlignment="1">
      <alignment horizontal="center" vertical="center"/>
    </xf>
    <xf numFmtId="0" fontId="153" fillId="7" borderId="5" xfId="0" applyFont="1" applyFill="1" applyBorder="1" applyAlignment="1">
      <alignment horizontal="center" vertical="center"/>
    </xf>
    <xf numFmtId="0" fontId="153" fillId="7" borderId="54" xfId="0" applyFont="1" applyFill="1" applyBorder="1" applyAlignment="1">
      <alignment horizontal="center" vertical="center"/>
    </xf>
    <xf numFmtId="0" fontId="153" fillId="7" borderId="3" xfId="0" applyFont="1" applyFill="1" applyBorder="1" applyAlignment="1">
      <alignment horizontal="center" vertical="center"/>
    </xf>
    <xf numFmtId="0" fontId="122" fillId="7" borderId="1" xfId="0" applyFont="1" applyFill="1" applyBorder="1" applyAlignment="1">
      <alignment horizontal="center" vertical="center"/>
    </xf>
    <xf numFmtId="0" fontId="255" fillId="7" borderId="0" xfId="0" applyFont="1" applyFill="1" applyBorder="1" applyAlignment="1">
      <alignment horizontal="center" vertical="center"/>
    </xf>
    <xf numFmtId="0" fontId="153" fillId="7" borderId="15" xfId="0" applyFont="1" applyFill="1" applyBorder="1" applyAlignment="1">
      <alignment horizontal="center" vertical="center"/>
    </xf>
    <xf numFmtId="0" fontId="153" fillId="7" borderId="2" xfId="0" applyFont="1" applyFill="1" applyBorder="1" applyAlignment="1">
      <alignment horizontal="center" vertical="center"/>
    </xf>
    <xf numFmtId="0" fontId="204" fillId="0" borderId="0" xfId="0" applyFont="1" applyBorder="1" applyAlignment="1">
      <alignment horizontal="center" vertical="center"/>
    </xf>
    <xf numFmtId="0" fontId="0" fillId="5" borderId="0" xfId="0" applyFill="1" applyAlignment="1">
      <alignment horizontal="center" vertical="center"/>
    </xf>
    <xf numFmtId="0" fontId="0" fillId="20" borderId="13" xfId="0" applyFill="1" applyBorder="1" applyAlignment="1">
      <alignment horizontal="center" vertical="center"/>
    </xf>
    <xf numFmtId="0" fontId="0" fillId="20" borderId="15" xfId="0" applyFill="1" applyBorder="1" applyAlignment="1">
      <alignment horizontal="center" vertical="center"/>
    </xf>
    <xf numFmtId="0" fontId="0" fillId="20" borderId="2" xfId="0" applyFill="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8" fillId="5" borderId="0" xfId="0" applyFont="1" applyFill="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受贵公司委托，我公司对进行了预评估。</v>
      </c>
    </row>
    <row r="7" spans="1:2" s="1337" customFormat="1">
      <c r="A7" s="1335" t="s">
        <v>1172</v>
      </c>
      <c r="B7" s="1336" t="e">
        <f>'预评函-1'!A7</f>
        <v>#DIV/0!</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e">
        <f>'预评函-1'!A10</f>
        <v>#DIV/0!</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为估价委托人了解估价对象房地产市场价值提供参考依据。</v>
      </c>
    </row>
    <row r="12" spans="1:2" s="1337" customFormat="1">
      <c r="A12" s="1335" t="s">
        <v>1134</v>
      </c>
      <c r="B12" s="1336" t="str">
        <f>'预评函-1'!A15</f>
        <v>（评估专业人员实地查勘之日）</v>
      </c>
    </row>
    <row r="13" spans="1:2" s="1337" customFormat="1">
      <c r="A13" s="1335" t="s">
        <v>1135</v>
      </c>
      <c r="B13" s="1336" t="str">
        <f>'预评函-1'!A18</f>
        <v>本次估价的“房地产价值”是指在正常市场情况下，在价值时点，估价对象规划用途为，土地取得方式为，假定未设立法定优先受偿款下的房地产市场价值。</v>
      </c>
    </row>
    <row r="14" spans="1:2" s="1337" customFormat="1">
      <c r="A14" s="1335" t="s">
        <v>1136</v>
      </c>
      <c r="B14" s="1336"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本次评估采用的主估价方法为基准地价系数修正法和基准地价系数修正法。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t="e">
        <f ca="1">'预评函-2'!D5</f>
        <v>#REF!</v>
      </c>
    </row>
    <row r="21" spans="1:2" s="1337" customFormat="1">
      <c r="A21" s="1335" t="s">
        <v>1143</v>
      </c>
      <c r="B21" s="1336" t="e">
        <f ca="1">'预评函-2'!D7</f>
        <v>#REF!</v>
      </c>
    </row>
    <row r="22" spans="1:2" s="1337" customFormat="1">
      <c r="A22" s="1335" t="s">
        <v>1144</v>
      </c>
      <c r="B22" s="1336" t="e">
        <f ca="1">'预评函-2'!D6</f>
        <v>#REF!</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t="e">
        <f ca="1">'预评函-2'!D13</f>
        <v>#REF!</v>
      </c>
    </row>
    <row r="31" spans="1:2" s="1337" customFormat="1">
      <c r="A31" s="1335" t="s">
        <v>1182</v>
      </c>
      <c r="B31" s="1336" t="e">
        <f ca="1">'预评函-2'!D15</f>
        <v>#REF!</v>
      </c>
    </row>
    <row r="32" spans="1:2" s="1337" customFormat="1">
      <c r="A32" s="1335" t="s">
        <v>1149</v>
      </c>
      <c r="B32" s="1336" t="e">
        <f ca="1">'预评函-2'!D14</f>
        <v>#REF!</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房地产</v>
      </c>
    </row>
    <row r="42" spans="1:2" s="1337" customFormat="1">
      <c r="A42" s="1335" t="s">
        <v>1196</v>
      </c>
      <c r="B42" s="1336" t="str">
        <f>'预评函-3'!B2</f>
        <v>建筑面积</v>
      </c>
    </row>
    <row r="43" spans="1:2" s="1337" customFormat="1">
      <c r="A43" s="1335" t="s">
        <v>1197</v>
      </c>
      <c r="B43" s="1336">
        <f>'预评函-3'!B4</f>
        <v>0</v>
      </c>
    </row>
    <row r="44" spans="1:2" s="1337" customFormat="1">
      <c r="A44" s="1335" t="s">
        <v>1181</v>
      </c>
      <c r="B44" s="1336" t="str">
        <f>'预评函-3'!C2</f>
        <v>(分摊)土地面积</v>
      </c>
    </row>
    <row r="45" spans="1:2" s="1337" customFormat="1">
      <c r="A45" s="1335" t="s">
        <v>1153</v>
      </c>
      <c r="B45" s="1336" t="e">
        <f>'预评函-3'!C4</f>
        <v>#DIV/0!</v>
      </c>
    </row>
    <row r="46" spans="1:2" s="1337" customFormat="1">
      <c r="A46" s="1335" t="s">
        <v>1179</v>
      </c>
      <c r="B46" s="1336" t="str">
        <f>'预评函-3'!D2</f>
        <v>出让国有建设用地使用权价值</v>
      </c>
    </row>
    <row r="47" spans="1:2" s="1337" customFormat="1">
      <c r="A47" s="1335" t="s">
        <v>1154</v>
      </c>
      <c r="B47" s="1336" t="e">
        <f ca="1">'预评函-3'!D4</f>
        <v>#REF!</v>
      </c>
    </row>
    <row r="48" spans="1:2" s="1337" customFormat="1">
      <c r="A48" s="1335" t="s">
        <v>1155</v>
      </c>
      <c r="B48" s="1336" t="e">
        <f ca="1">'预评函-3'!E4</f>
        <v>#REF!</v>
      </c>
    </row>
    <row r="49" spans="1:2" s="1337" customFormat="1">
      <c r="A49" s="1335" t="s">
        <v>1156</v>
      </c>
      <c r="B49" s="1336" t="e">
        <f ca="1">'预评函-3'!D5</f>
        <v>#REF!</v>
      </c>
    </row>
    <row r="50" spans="1:2" s="1337" customFormat="1">
      <c r="A50" s="1335" t="s">
        <v>1180</v>
      </c>
      <c r="B50" s="1336" t="str">
        <f>'预评函-3'!F2</f>
        <v>在建建筑物价值</v>
      </c>
    </row>
    <row r="51" spans="1:2" s="1337" customFormat="1">
      <c r="A51" s="1335" t="s">
        <v>1157</v>
      </c>
      <c r="B51" s="1336" t="e">
        <f ca="1">'预评函-3'!F4</f>
        <v>#REF!</v>
      </c>
    </row>
    <row r="52" spans="1:2" s="1337" customFormat="1">
      <c r="A52" s="1335" t="s">
        <v>1158</v>
      </c>
      <c r="B52" s="1336" t="e">
        <f ca="1">'预评函-3'!G4</f>
        <v>#REF!</v>
      </c>
    </row>
    <row r="53" spans="1:2" s="1337" customFormat="1">
      <c r="A53" s="1335" t="s">
        <v>1186</v>
      </c>
      <c r="B53" s="1336" t="e">
        <f ca="1">'预评函-3'!F5</f>
        <v>#REF!</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2.本次评估设定估价对象房地产权属无争议，未被查封或者以其他形式限制其房地产权利，未设定抵押权等他项权利，不涉及第三方权利义务。</v>
      </c>
    </row>
    <row r="59" spans="1:2" s="1337" customFormat="1">
      <c r="A59" s="1335" t="s">
        <v>1160</v>
      </c>
      <c r="B59" s="1336" t="str">
        <f>'预评函-4'!A13</f>
        <v>——</v>
      </c>
    </row>
    <row r="60" spans="1:2" s="1337" customFormat="1">
      <c r="A60" s="1335" t="s">
        <v>1161</v>
      </c>
      <c r="B60" s="1336" t="str">
        <f>'预评函-4'!A14</f>
        <v>——</v>
      </c>
    </row>
    <row r="61" spans="1:2" s="1337" customFormat="1">
      <c r="A61" s="1335" t="s">
        <v>1162</v>
      </c>
      <c r="B61" s="1336" t="str">
        <f>'预评函-4'!A15</f>
        <v>——</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v>
      </c>
    </row>
    <row r="65" spans="1:2" s="1337" customFormat="1">
      <c r="A65" s="1335" t="s">
        <v>1165</v>
      </c>
      <c r="B65" s="133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7" sqref="I17"/>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2981</v>
      </c>
      <c r="C17" s="1702"/>
    </row>
    <row r="18" spans="1:3">
      <c r="A18" s="1701" t="s">
        <v>1672</v>
      </c>
      <c r="B18" s="1701" t="s">
        <v>3126</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87"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7"/>
      <c r="B54" s="1709" t="s">
        <v>832</v>
      </c>
      <c r="C54" s="1706" t="s">
        <v>1189</v>
      </c>
    </row>
    <row r="55" spans="1:4">
      <c r="A55" s="3287"/>
      <c r="B55" s="1709" t="s">
        <v>833</v>
      </c>
      <c r="C55" s="1706" t="s">
        <v>1190</v>
      </c>
    </row>
    <row r="56" spans="1:4">
      <c r="A56" s="3287"/>
      <c r="B56" s="1709" t="s">
        <v>834</v>
      </c>
      <c r="C56" s="1706" t="s">
        <v>1194</v>
      </c>
    </row>
    <row r="57" spans="1:4">
      <c r="A57" s="3287"/>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2" sqref="H22"/>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2856</v>
      </c>
      <c r="B1" s="3288" t="str">
        <f>IF(B10="北京市","北京市",C10)&amp;F10&amp;IF(结果表!G1="在建","出让国有建设用地使用权及在建建筑物",IF(结果表!G1="土地","出让国有建设用地使用权",))&amp;B9&amp;"预评估"</f>
        <v>预评估</v>
      </c>
      <c r="C1" s="3289"/>
      <c r="D1" s="3289"/>
      <c r="E1" s="3289"/>
      <c r="F1" s="3289"/>
      <c r="G1" s="3289"/>
      <c r="H1" s="3289"/>
      <c r="I1" s="3290"/>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
      </c>
      <c r="T1" s="1901"/>
      <c r="U1" s="1901"/>
      <c r="V1" s="1901"/>
      <c r="W1" s="1901"/>
      <c r="X1" s="1901"/>
      <c r="Y1" s="1901"/>
      <c r="Z1" s="1901"/>
      <c r="AA1" s="1901"/>
      <c r="AB1" s="1901"/>
    </row>
    <row r="2" spans="1:28">
      <c r="A2" s="2561" t="s">
        <v>2857</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房地产</v>
      </c>
      <c r="T2" s="1901"/>
      <c r="U2" s="1901"/>
      <c r="V2" s="1901"/>
      <c r="W2" s="1901"/>
      <c r="X2" s="1901"/>
      <c r="Y2" s="1901"/>
      <c r="Z2" s="1901"/>
      <c r="AA2" s="1901"/>
      <c r="AB2" s="1901"/>
    </row>
    <row r="3" spans="1:28">
      <c r="A3" s="308" t="s">
        <v>2858</v>
      </c>
      <c r="B3" s="2567"/>
      <c r="C3" s="2568" t="s">
        <v>2859</v>
      </c>
      <c r="D3" s="2567"/>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2860</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2861</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2862</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2863</v>
      </c>
      <c r="B7" s="2581"/>
      <c r="C7" s="2579"/>
      <c r="D7" s="2580"/>
      <c r="E7" s="2859"/>
      <c r="F7" s="2861"/>
      <c r="G7" s="2861"/>
      <c r="H7" s="2861"/>
      <c r="I7" s="2861"/>
      <c r="J7" s="2635"/>
      <c r="K7" s="2812"/>
      <c r="L7" s="2809"/>
      <c r="M7" s="2809"/>
      <c r="N7" s="2635"/>
      <c r="O7" s="2646"/>
      <c r="P7" s="2635"/>
      <c r="Q7" s="2635"/>
      <c r="R7" s="2635"/>
    </row>
    <row r="8" spans="1:28">
      <c r="A8" s="2582" t="s">
        <v>2864</v>
      </c>
      <c r="B8" s="2583"/>
      <c r="C8" s="2584"/>
      <c r="D8" s="3291" t="s">
        <v>2865</v>
      </c>
      <c r="E8" s="2585"/>
      <c r="F8" s="2586"/>
      <c r="G8" s="2860"/>
      <c r="H8" s="2860"/>
      <c r="I8" s="2860"/>
      <c r="J8" s="2635"/>
      <c r="K8" s="2810"/>
      <c r="L8" s="2809"/>
      <c r="M8" s="2809"/>
      <c r="N8" s="2635"/>
      <c r="O8" s="2646"/>
      <c r="P8" s="2635"/>
      <c r="Q8" s="2635"/>
      <c r="R8" s="2635"/>
    </row>
    <row r="9" spans="1:28" ht="13.5" thickBot="1">
      <c r="A9" s="2587" t="s">
        <v>2866</v>
      </c>
      <c r="B9" s="2588"/>
      <c r="C9" s="2589"/>
      <c r="D9" s="3292"/>
      <c r="E9" s="2588"/>
      <c r="F9" s="2590"/>
      <c r="G9" s="2862"/>
      <c r="H9" s="2862"/>
      <c r="I9" s="2862"/>
      <c r="J9" s="2635"/>
      <c r="K9" s="2812"/>
      <c r="L9" s="2809"/>
      <c r="M9" s="2809"/>
      <c r="N9" s="2635"/>
      <c r="O9" s="2646"/>
      <c r="P9" s="2635"/>
      <c r="Q9" s="2635"/>
      <c r="R9" s="2635"/>
    </row>
    <row r="10" spans="1:28" ht="13.5" thickTop="1">
      <c r="A10" s="2591" t="s">
        <v>2867</v>
      </c>
      <c r="B10" s="2592"/>
      <c r="C10" s="2593"/>
      <c r="D10" s="2576"/>
      <c r="E10" s="2594" t="s">
        <v>2868</v>
      </c>
      <c r="F10" s="2863"/>
      <c r="G10" s="2864"/>
      <c r="H10" s="2865"/>
      <c r="I10" s="2866"/>
      <c r="J10" s="2635"/>
      <c r="K10" s="2812"/>
      <c r="L10" s="2809"/>
      <c r="M10" s="2809"/>
      <c r="N10" s="2635"/>
      <c r="O10" s="2646"/>
      <c r="P10" s="2635"/>
      <c r="Q10" s="2635"/>
      <c r="R10" s="2635"/>
    </row>
    <row r="11" spans="1:28">
      <c r="A11" s="2595" t="s">
        <v>2869</v>
      </c>
      <c r="B11" s="2596"/>
      <c r="C11" s="2597"/>
      <c r="D11" s="2598"/>
      <c r="E11" s="2564"/>
      <c r="F11" s="2564"/>
      <c r="G11" s="2564"/>
      <c r="H11" s="2564"/>
      <c r="I11" s="2564"/>
      <c r="J11" s="2635"/>
      <c r="K11" s="2812"/>
      <c r="L11" s="2809"/>
      <c r="M11" s="2809"/>
      <c r="N11" s="2635"/>
      <c r="O11" s="2646"/>
      <c r="P11" s="2635"/>
      <c r="Q11" s="2635"/>
      <c r="R11" s="2635"/>
    </row>
    <row r="12" spans="1:28">
      <c r="A12" s="2599" t="s">
        <v>2870</v>
      </c>
      <c r="B12" s="2596"/>
      <c r="C12" s="329" t="s">
        <v>2871</v>
      </c>
      <c r="D12" s="2600" t="s">
        <v>2872</v>
      </c>
      <c r="E12" s="2600" t="s">
        <v>2873</v>
      </c>
      <c r="F12" s="2600" t="s">
        <v>2874</v>
      </c>
      <c r="G12" s="2600" t="s">
        <v>2875</v>
      </c>
      <c r="H12" s="2600" t="s">
        <v>2876</v>
      </c>
      <c r="I12" s="2600" t="s">
        <v>2877</v>
      </c>
      <c r="J12" s="2635"/>
      <c r="K12" s="2812"/>
      <c r="L12" s="2809"/>
      <c r="M12" s="2809"/>
      <c r="N12" s="2635"/>
      <c r="O12" s="2646"/>
      <c r="P12" s="2635"/>
      <c r="Q12" s="2635"/>
      <c r="R12" s="2635"/>
    </row>
    <row r="13" spans="1:28">
      <c r="A13" s="1213"/>
      <c r="B13" s="2601"/>
      <c r="C13" s="2602" t="s">
        <v>2878</v>
      </c>
      <c r="D13" s="965"/>
      <c r="E13" s="965"/>
      <c r="F13" s="965"/>
      <c r="G13" s="965"/>
      <c r="H13" s="965"/>
      <c r="I13" s="965"/>
      <c r="J13" s="2635"/>
      <c r="K13" s="2812"/>
      <c r="L13" s="2809"/>
      <c r="M13" s="2809"/>
      <c r="N13" s="2635"/>
      <c r="O13" s="2646"/>
      <c r="P13" s="2635"/>
      <c r="Q13" s="2635"/>
      <c r="R13" s="2635"/>
    </row>
    <row r="14" spans="1:28">
      <c r="A14" s="1213"/>
      <c r="B14" s="2601"/>
      <c r="C14" s="2602" t="s">
        <v>2879</v>
      </c>
      <c r="D14" s="2603"/>
      <c r="E14" s="2603"/>
      <c r="F14" s="2603"/>
      <c r="G14" s="2603"/>
      <c r="H14" s="2603"/>
      <c r="I14" s="2603"/>
      <c r="J14" s="2635"/>
      <c r="K14" s="2813"/>
      <c r="L14" s="2809"/>
      <c r="M14" s="2809"/>
      <c r="N14" s="2635"/>
      <c r="O14" s="2646"/>
      <c r="P14" s="2635"/>
      <c r="Q14" s="2635"/>
      <c r="R14" s="2635"/>
    </row>
    <row r="15" spans="1:28">
      <c r="A15" s="326"/>
      <c r="B15" s="2604"/>
      <c r="C15" s="2605" t="s">
        <v>2880</v>
      </c>
      <c r="D15" s="2606">
        <f>IF(B12="出让",IF(D13="","",ROUNDDOWN(MIN((D13-$D$3)/365,D14),2)),D14)</f>
        <v>0</v>
      </c>
      <c r="E15" s="2606">
        <f>IF(B12="出让",IF(E13="","",ROUNDDOWN(MIN((E13-$D$3)/365,E14),2)),E14)</f>
        <v>0</v>
      </c>
      <c r="F15" s="2606">
        <f>IF(B12="出让",IF(F13="","",ROUNDDOWN(MIN((F13-$D$3)/365,F14),2)),F14)</f>
        <v>0</v>
      </c>
      <c r="G15" s="2606">
        <f>IF(B12="出让",IF(G13="","",ROUNDDOWN(MIN((G13-$D$3)/365,G14),2)),G14)</f>
        <v>0</v>
      </c>
      <c r="H15" s="2606">
        <f>IF(B12="出让",IF(H13="","",ROUNDDOWN(MIN((H13-$D$3)/365,H14),2)),H14)</f>
        <v>0</v>
      </c>
      <c r="I15" s="2606">
        <f>IF(B12="出让",IF(I13="","",ROUNDDOWN(MIN((I13-$D$3)/365,I14),2)),I14)</f>
        <v>0</v>
      </c>
      <c r="J15" s="2635"/>
      <c r="K15" s="2814"/>
      <c r="L15" s="2647"/>
      <c r="M15" s="2647"/>
      <c r="N15" s="2705"/>
      <c r="O15" s="2647"/>
      <c r="P15" s="2705"/>
      <c r="Q15" s="2635"/>
      <c r="R15" s="2635"/>
    </row>
    <row r="16" spans="1:28">
      <c r="A16" s="2594" t="s">
        <v>2881</v>
      </c>
      <c r="B16" s="3298"/>
      <c r="C16" s="3299"/>
      <c r="D16" s="3300"/>
      <c r="E16" s="2609" t="s">
        <v>2882</v>
      </c>
      <c r="F16" s="3301"/>
      <c r="G16" s="3302"/>
      <c r="H16" s="3302"/>
      <c r="I16" s="3303"/>
      <c r="J16" s="2635"/>
      <c r="K16" s="2814"/>
      <c r="L16" s="2647"/>
      <c r="M16" s="2647"/>
      <c r="N16" s="2705"/>
      <c r="O16" s="2647"/>
      <c r="P16" s="2705"/>
      <c r="Q16" s="2635"/>
      <c r="R16" s="2635"/>
    </row>
    <row r="17" spans="1:28">
      <c r="A17" s="319" t="s">
        <v>2883</v>
      </c>
      <c r="B17" s="308" t="s">
        <v>2884</v>
      </c>
      <c r="C17" s="11">
        <f>'数据-汇总表'!E3</f>
        <v>0</v>
      </c>
      <c r="D17" s="2515" t="s">
        <v>2885</v>
      </c>
      <c r="E17" s="3304" t="s">
        <v>2886</v>
      </c>
      <c r="F17" s="3305"/>
      <c r="G17" s="3305"/>
      <c r="H17" s="3305"/>
      <c r="I17" s="3306"/>
      <c r="J17" s="2635"/>
      <c r="K17" s="2815"/>
      <c r="L17" s="2647"/>
      <c r="M17" s="2647"/>
      <c r="N17" s="2705"/>
      <c r="O17" s="2647"/>
      <c r="P17" s="2705"/>
      <c r="Q17" s="2635"/>
      <c r="R17" s="2635"/>
      <c r="S17" s="2635"/>
      <c r="T17" s="2635"/>
      <c r="U17" s="2635"/>
      <c r="V17" s="2635"/>
    </row>
    <row r="18" spans="1:28" ht="24.75" thickBot="1">
      <c r="A18" s="2610" t="s">
        <v>2887</v>
      </c>
      <c r="B18" s="1222" t="s">
        <v>2888</v>
      </c>
      <c r="C18" s="2611" t="e">
        <f>'数据-汇总表'!D3</f>
        <v>#DIV/0!</v>
      </c>
      <c r="D18" s="1224" t="s">
        <v>2889</v>
      </c>
      <c r="E18" s="3307" t="s">
        <v>2890</v>
      </c>
      <c r="F18" s="3308"/>
      <c r="G18" s="3308"/>
      <c r="H18" s="3308"/>
      <c r="I18" s="3309"/>
      <c r="J18" s="2635"/>
      <c r="K18" s="2815"/>
      <c r="L18" s="2647"/>
      <c r="M18" s="2647"/>
      <c r="N18" s="2705"/>
      <c r="O18" s="2647"/>
      <c r="P18" s="2705"/>
      <c r="Q18" s="2635"/>
      <c r="R18" s="2635"/>
      <c r="S18" s="2635"/>
      <c r="T18" s="2635"/>
      <c r="U18" s="2635"/>
      <c r="V18" s="2635"/>
    </row>
    <row r="19" spans="1:28" ht="37.5" thickTop="1" thickBot="1">
      <c r="A19" s="333" t="s">
        <v>1681</v>
      </c>
      <c r="B19" s="313" t="s">
        <v>2891</v>
      </c>
      <c r="C19" s="1718"/>
      <c r="D19" s="1719" t="s">
        <v>2892</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2893</v>
      </c>
      <c r="B20" s="3294" t="s">
        <v>2894</v>
      </c>
      <c r="C20" s="3295"/>
      <c r="D20" s="3296" t="s">
        <v>2895</v>
      </c>
      <c r="E20" s="3297"/>
      <c r="F20" s="2844" t="s">
        <v>1682</v>
      </c>
      <c r="G20" s="2861"/>
      <c r="H20" s="2861"/>
      <c r="I20" s="2861"/>
      <c r="J20" s="2635"/>
      <c r="K20" s="3293" t="s">
        <v>2896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2897</v>
      </c>
      <c r="C21" s="2831" t="s">
        <v>1683</v>
      </c>
      <c r="D21" s="1723" t="s">
        <v>2898</v>
      </c>
      <c r="E21" s="2832" t="s">
        <v>1683</v>
      </c>
      <c r="F21" s="2845"/>
      <c r="G21" s="2861"/>
      <c r="H21" s="2861"/>
      <c r="I21" s="2861"/>
      <c r="J21" s="2635"/>
      <c r="K21" s="329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2899</v>
      </c>
      <c r="C22" s="2831" t="s">
        <v>1684</v>
      </c>
      <c r="D22" s="2860"/>
      <c r="E22" s="2860"/>
      <c r="F22" s="2860"/>
      <c r="G22" s="2861"/>
      <c r="H22" s="2861"/>
      <c r="I22" s="2861"/>
      <c r="J22" s="2635"/>
      <c r="K22" s="329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2900</v>
      </c>
      <c r="B23" s="2698" t="s">
        <v>2901</v>
      </c>
      <c r="C23" s="2835"/>
      <c r="D23" s="2836" t="s">
        <v>2901</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311" t="s">
        <v>2902</v>
      </c>
      <c r="B27" s="326" t="s">
        <v>2903</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311"/>
      <c r="B28" s="308" t="s">
        <v>2904</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311"/>
      <c r="B29" s="308" t="s">
        <v>2905</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312"/>
      <c r="B30" s="308" t="s">
        <v>2906</v>
      </c>
      <c r="C30" s="3313"/>
      <c r="D30" s="3314"/>
      <c r="E30" s="2861"/>
      <c r="F30" s="2861"/>
      <c r="G30" s="2861"/>
      <c r="H30" s="2861"/>
      <c r="I30" s="2861"/>
      <c r="J30" s="2635"/>
      <c r="K30" s="2812"/>
      <c r="L30" s="2809"/>
      <c r="M30" s="2809"/>
      <c r="N30" s="2635"/>
      <c r="O30" s="2646"/>
      <c r="P30" s="2635"/>
      <c r="Q30" s="2635"/>
      <c r="R30" s="2635"/>
      <c r="S30" s="2635"/>
      <c r="T30" s="2635"/>
      <c r="U30" s="2635"/>
      <c r="V30" s="2635"/>
    </row>
    <row r="31" spans="1:28">
      <c r="A31" s="3315" t="s">
        <v>2907</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316"/>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316"/>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2908</v>
      </c>
      <c r="B34" s="2184"/>
      <c r="C34" s="2184"/>
      <c r="D34" s="2184"/>
      <c r="E34" s="2184"/>
      <c r="F34" s="2184"/>
      <c r="G34" s="2184"/>
      <c r="H34" s="2184"/>
      <c r="I34" s="2861"/>
      <c r="J34" s="2635"/>
      <c r="K34" s="2623">
        <f>COUNTIF(B34:H34,"——")</f>
        <v>0</v>
      </c>
      <c r="L34" s="329" t="s">
        <v>2909</v>
      </c>
      <c r="M34" s="329" t="s">
        <v>2910</v>
      </c>
      <c r="N34" s="329" t="s">
        <v>2911</v>
      </c>
      <c r="O34" s="329" t="s">
        <v>2912</v>
      </c>
      <c r="P34" s="329" t="s">
        <v>2913</v>
      </c>
      <c r="Q34" s="329" t="s">
        <v>2914</v>
      </c>
      <c r="R34" s="329" t="s">
        <v>2915</v>
      </c>
      <c r="S34" s="3310" t="s">
        <v>2916</v>
      </c>
      <c r="T34" s="2624" t="str">
        <f>NUMBERSTRING(7-K34,1)&amp;"通"</f>
        <v>七通</v>
      </c>
      <c r="U34" s="2635"/>
      <c r="V34" s="2635"/>
    </row>
    <row r="35" spans="1:30">
      <c r="A35" s="2625"/>
      <c r="B35" s="3317" t="s">
        <v>2917</v>
      </c>
      <c r="C35" s="3317"/>
      <c r="D35" s="3317"/>
      <c r="E35" s="3317"/>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0"/>
      <c r="T35" s="335" t="str">
        <f>IF(T34="一通",L35,IF(T34="二通",M35,IF(T34="三通",N35,IF(T34="四通",O35,IF(T34="五通",P35,IF(T34="六通",Q35,R35))))))</f>
        <v>、、、、、、</v>
      </c>
      <c r="U35" s="2635"/>
      <c r="V35" s="2635"/>
    </row>
    <row r="36" spans="1:30">
      <c r="A36" s="2626"/>
      <c r="B36" s="673" t="s">
        <v>2873</v>
      </c>
      <c r="C36" s="673" t="s">
        <v>2874</v>
      </c>
      <c r="D36" s="673" t="s">
        <v>2872</v>
      </c>
      <c r="E36" s="673" t="s">
        <v>2877</v>
      </c>
      <c r="F36" s="2867"/>
      <c r="G36" s="2861"/>
      <c r="H36" s="2861"/>
      <c r="I36" s="2861"/>
      <c r="J36" s="2635"/>
      <c r="K36" s="2812"/>
      <c r="L36" s="2809"/>
      <c r="M36" s="2809"/>
      <c r="N36" s="2635"/>
      <c r="O36" s="2646"/>
      <c r="P36" s="2635"/>
      <c r="Q36" s="2635"/>
      <c r="R36" s="2635"/>
      <c r="S36" s="2635"/>
      <c r="T36" s="2635"/>
      <c r="U36" s="2635"/>
      <c r="V36" s="2635"/>
    </row>
    <row r="37" spans="1:30">
      <c r="A37" s="2827" t="s">
        <v>2918</v>
      </c>
      <c r="B37" s="2627"/>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2919</v>
      </c>
      <c r="B38" s="2628"/>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2920</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2921</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2922</v>
      </c>
      <c r="B42" s="11" t="s">
        <v>2923</v>
      </c>
      <c r="C42" s="11" t="s">
        <v>2924</v>
      </c>
      <c r="D42" s="11" t="s">
        <v>2925</v>
      </c>
      <c r="E42" s="11" t="s">
        <v>2926</v>
      </c>
      <c r="F42" s="11" t="s">
        <v>2927</v>
      </c>
      <c r="G42" s="11" t="s">
        <v>2928</v>
      </c>
      <c r="H42" s="11" t="s">
        <v>2929</v>
      </c>
      <c r="I42" s="11" t="s">
        <v>2930</v>
      </c>
      <c r="J42" s="2823" t="s">
        <v>2931</v>
      </c>
      <c r="K42" s="2824" t="s">
        <v>2932</v>
      </c>
      <c r="L42" s="2824" t="s">
        <v>2933</v>
      </c>
      <c r="M42" s="2824" t="s">
        <v>2934</v>
      </c>
      <c r="N42" s="2817" t="s">
        <v>2935</v>
      </c>
      <c r="O42" s="2817" t="s">
        <v>2936</v>
      </c>
      <c r="P42" s="2817" t="s">
        <v>2937</v>
      </c>
      <c r="Q42" s="2818" t="s">
        <v>2938</v>
      </c>
      <c r="R42" s="2818" t="s">
        <v>2939</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0</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0</v>
      </c>
      <c r="H5" s="16">
        <f t="shared" ref="H5:AT5" si="0">SUM(H13:H656)</f>
        <v>0</v>
      </c>
      <c r="I5" s="16">
        <f t="shared" si="0"/>
        <v>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0</v>
      </c>
      <c r="BA5" s="18">
        <f t="shared" si="1"/>
        <v>0</v>
      </c>
      <c r="BB5" s="18">
        <f t="shared" si="1"/>
        <v>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t="e">
        <f>H6+AC6+AT6</f>
        <v>#DIV/0!</v>
      </c>
      <c r="F6" s="16" t="s">
        <v>1</v>
      </c>
      <c r="G6" s="16" t="s">
        <v>2</v>
      </c>
      <c r="H6" s="20" t="e">
        <f>SUMIF(I$12:AB$12,"总值",I6:AB6)</f>
        <v>#DIV/0!</v>
      </c>
      <c r="I6" s="16" t="e">
        <f t="shared" ref="I6:AB6" si="2">ROUND($A$3*I5/$B$3,2)</f>
        <v>#DIV/0!</v>
      </c>
      <c r="J6" s="16" t="e">
        <f t="shared" si="2"/>
        <v>#DIV/0!</v>
      </c>
      <c r="K6" s="16" t="e">
        <f t="shared" si="2"/>
        <v>#DIV/0!</v>
      </c>
      <c r="L6" s="16" t="e">
        <f t="shared" si="2"/>
        <v>#DIV/0!</v>
      </c>
      <c r="M6" s="16" t="e">
        <f t="shared" si="2"/>
        <v>#DIV/0!</v>
      </c>
      <c r="N6" s="16" t="e">
        <f t="shared" si="2"/>
        <v>#DIV/0!</v>
      </c>
      <c r="O6" s="16" t="e">
        <f t="shared" si="2"/>
        <v>#DIV/0!</v>
      </c>
      <c r="P6" s="16" t="e">
        <f t="shared" si="2"/>
        <v>#DIV/0!</v>
      </c>
      <c r="Q6" s="16" t="e">
        <f t="shared" si="2"/>
        <v>#DIV/0!</v>
      </c>
      <c r="R6" s="16" t="e">
        <f t="shared" si="2"/>
        <v>#DIV/0!</v>
      </c>
      <c r="S6" s="16" t="e">
        <f t="shared" si="2"/>
        <v>#DIV/0!</v>
      </c>
      <c r="T6" s="16" t="e">
        <f t="shared" si="2"/>
        <v>#DIV/0!</v>
      </c>
      <c r="U6" s="16" t="e">
        <f t="shared" si="2"/>
        <v>#DIV/0!</v>
      </c>
      <c r="V6" s="16" t="e">
        <f t="shared" si="2"/>
        <v>#DIV/0!</v>
      </c>
      <c r="W6" s="16" t="e">
        <f t="shared" si="2"/>
        <v>#DIV/0!</v>
      </c>
      <c r="X6" s="16" t="e">
        <f t="shared" si="2"/>
        <v>#DIV/0!</v>
      </c>
      <c r="Y6" s="16" t="e">
        <f t="shared" si="2"/>
        <v>#DIV/0!</v>
      </c>
      <c r="Z6" s="16" t="e">
        <f t="shared" si="2"/>
        <v>#DIV/0!</v>
      </c>
      <c r="AA6" s="16" t="e">
        <f t="shared" si="2"/>
        <v>#DIV/0!</v>
      </c>
      <c r="AB6" s="16" t="e">
        <f t="shared" si="2"/>
        <v>#DIV/0!</v>
      </c>
      <c r="AC6" s="20" t="e">
        <f>SUMIF(AD$12:AS$12,"总值",AD6:AS6)</f>
        <v>#DIV/0!</v>
      </c>
      <c r="AD6" s="16" t="e">
        <f t="shared" ref="AD6:AS6" si="3">ROUND($A$3*AD5/$B$3,2)</f>
        <v>#DIV/0!</v>
      </c>
      <c r="AE6" s="16" t="e">
        <f t="shared" si="3"/>
        <v>#DIV/0!</v>
      </c>
      <c r="AF6" s="16" t="e">
        <f t="shared" si="3"/>
        <v>#DIV/0!</v>
      </c>
      <c r="AG6" s="16" t="e">
        <f t="shared" si="3"/>
        <v>#DIV/0!</v>
      </c>
      <c r="AH6" s="16" t="e">
        <f t="shared" si="3"/>
        <v>#DIV/0!</v>
      </c>
      <c r="AI6" s="16" t="e">
        <f t="shared" si="3"/>
        <v>#DIV/0!</v>
      </c>
      <c r="AJ6" s="16" t="e">
        <f t="shared" si="3"/>
        <v>#DIV/0!</v>
      </c>
      <c r="AK6" s="16" t="e">
        <f t="shared" si="3"/>
        <v>#DIV/0!</v>
      </c>
      <c r="AL6" s="16" t="e">
        <f t="shared" si="3"/>
        <v>#DIV/0!</v>
      </c>
      <c r="AM6" s="16" t="e">
        <f t="shared" si="3"/>
        <v>#DIV/0!</v>
      </c>
      <c r="AN6" s="16" t="e">
        <f t="shared" si="3"/>
        <v>#DIV/0!</v>
      </c>
      <c r="AO6" s="16" t="e">
        <f t="shared" si="3"/>
        <v>#DIV/0!</v>
      </c>
      <c r="AP6" s="16" t="e">
        <f t="shared" si="3"/>
        <v>#DIV/0!</v>
      </c>
      <c r="AQ6" s="16" t="e">
        <f t="shared" si="3"/>
        <v>#DIV/0!</v>
      </c>
      <c r="AR6" s="16" t="e">
        <f t="shared" si="3"/>
        <v>#DIV/0!</v>
      </c>
      <c r="AS6" s="16" t="e">
        <f t="shared" si="3"/>
        <v>#DIV/0!</v>
      </c>
      <c r="AT6" s="20">
        <f>IF(C3="是",ROUND($A$3*AT5/$B$3,2),0)</f>
        <v>0</v>
      </c>
      <c r="AU6" s="1743"/>
      <c r="AV6" s="15" t="s">
        <v>1698</v>
      </c>
      <c r="AW6" s="1741"/>
      <c r="AX6" s="1741"/>
      <c r="AY6" s="21" t="e">
        <f>IF(AY3&gt;0,AY3,ROUND($A$3*AZ5/$B$3,2))</f>
        <v>#DIV/0!</v>
      </c>
      <c r="AZ6" s="16" t="s">
        <v>3</v>
      </c>
      <c r="BA6" s="16" t="e">
        <f>ROUND($AY$6*BA5/$AZ$5,2)</f>
        <v>#DIV/0!</v>
      </c>
      <c r="BB6" s="16" t="e">
        <f>ROUND($AY$6*BB5/$AZ$5,2)</f>
        <v>#DIV/0!</v>
      </c>
      <c r="BC6" s="16" t="e">
        <f t="shared" ref="BC6:BH6" si="4">ROUND($AY$6*BC5/$AZ$5,2)</f>
        <v>#DIV/0!</v>
      </c>
      <c r="BD6" s="16" t="e">
        <f t="shared" si="4"/>
        <v>#DIV/0!</v>
      </c>
      <c r="BE6" s="16" t="e">
        <f t="shared" si="4"/>
        <v>#DIV/0!</v>
      </c>
      <c r="BF6" s="16" t="e">
        <f t="shared" si="4"/>
        <v>#DIV/0!</v>
      </c>
      <c r="BG6" s="16" t="e">
        <f t="shared" si="4"/>
        <v>#DIV/0!</v>
      </c>
      <c r="BH6" s="16" t="e">
        <f t="shared" si="4"/>
        <v>#DIV/0!</v>
      </c>
      <c r="BI6" s="16" t="e">
        <f t="shared" ref="BI6:BT6" si="5">ROUND($AY$6*BI5/$AZ$5,2)</f>
        <v>#DIV/0!</v>
      </c>
      <c r="BJ6" s="16" t="e">
        <f t="shared" si="5"/>
        <v>#DIV/0!</v>
      </c>
      <c r="BK6" s="16" t="e">
        <f t="shared" si="5"/>
        <v>#DIV/0!</v>
      </c>
      <c r="BL6" s="16" t="e">
        <f t="shared" si="5"/>
        <v>#DIV/0!</v>
      </c>
      <c r="BM6" s="16" t="e">
        <f t="shared" si="5"/>
        <v>#DIV/0!</v>
      </c>
      <c r="BN6" s="16" t="e">
        <f t="shared" si="5"/>
        <v>#DIV/0!</v>
      </c>
      <c r="BO6" s="16" t="e">
        <f t="shared" si="5"/>
        <v>#DIV/0!</v>
      </c>
      <c r="BP6" s="16" t="e">
        <f t="shared" si="5"/>
        <v>#DIV/0!</v>
      </c>
      <c r="BQ6" s="16" t="e">
        <f t="shared" si="5"/>
        <v>#DIV/0!</v>
      </c>
      <c r="BR6" s="16" t="e">
        <f t="shared" si="5"/>
        <v>#DIV/0!</v>
      </c>
      <c r="BS6" s="16" t="e">
        <f t="shared" si="5"/>
        <v>#DIV/0!</v>
      </c>
      <c r="BT6" s="22" t="e">
        <f t="shared" si="5"/>
        <v>#DIV/0!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f>I9</f>
        <v>0</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f>I10</f>
        <v>0</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c r="E13" s="16" t="e">
        <f>IF($C$3="是",ROUND($A$3*G13/$B$3,2),ROUND($A$3*(G13-AT13)/$B$3,2))</f>
        <v>#DIV/0!</v>
      </c>
      <c r="F13" s="32"/>
      <c r="G13" s="33">
        <f>H13+AC13+AT13</f>
        <v>0</v>
      </c>
      <c r="H13" s="20">
        <f>SUMIF(I$12:AB$12,"总值",I13:AB13)</f>
        <v>0</v>
      </c>
      <c r="I13" s="1781"/>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t="e">
        <f>ROUND($AY$6*AZ13/$AZ$5,2)</f>
        <v>#DIV/0!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t="e">
        <f>IF($C$3="是",ROUND($A$3*G14/$B$3,2),ROUND($A$3*(G14-AT14)/$B$3,2))</f>
        <v>#DIV/0!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t="e">
        <f>ROUND($AY$6*AZ14/$AZ$5,2)</f>
        <v>#DIV/0!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t="e">
        <f>IF($C$3="是",ROUND($A$3*G15/$B$3,2),ROUND($A$3*(G15-AT15)/$B$3,2))</f>
        <v>#DIV/0!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t="e">
        <f>ROUND($AY$6*AZ15/$AZ$5,2)</f>
        <v>#DIV/0!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t="e">
        <f>IF($C$3="是",ROUND($A$3*G16/$B$3,2),ROUND($A$3*(G16-AT16)/$B$3,2))</f>
        <v>#DIV/0!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t="e">
        <f>ROUND($AY$6*AZ16/$AZ$5,2)</f>
        <v>#DIV/0!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t="e">
        <f>IF($C$3="是",ROUND($A$3*G17/$B$3,2),ROUND($A$3*(G17-AT17)/$B$3,2))</f>
        <v>#DIV/0!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t="e">
        <f>ROUND($AY$6*AZ17/$AZ$5,2)</f>
        <v>#DIV/0!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t="e">
        <f t="shared" ref="E18:E112" si="7">IF($C$3="是",ROUND($A$3*G18/$B$3,2),ROUND($A$3*(G18-AT18)/$B$3,2))</f>
        <v>#DIV/0!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t="e">
        <f t="shared" ref="AY18:AY109" si="14">ROUND($AY$6*AZ18/$AZ$5,2)</f>
        <v>#DIV/0!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t="e">
        <f t="shared" si="7"/>
        <v>#DIV/0!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t="e">
        <f t="shared" si="14"/>
        <v>#DIV/0!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t="e">
        <f t="shared" si="7"/>
        <v>#DIV/0!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t="e">
        <f t="shared" si="14"/>
        <v>#DIV/0!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t="e">
        <f t="shared" si="7"/>
        <v>#DIV/0!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t="e">
        <f t="shared" si="14"/>
        <v>#DIV/0!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t="e">
        <f t="shared" si="7"/>
        <v>#DIV/0!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t="e">
        <f t="shared" si="14"/>
        <v>#DIV/0!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t="e">
        <f t="shared" si="7"/>
        <v>#DIV/0!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t="e">
        <f t="shared" si="14"/>
        <v>#DIV/0!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t="e">
        <f t="shared" si="7"/>
        <v>#DIV/0!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t="e">
        <f t="shared" si="14"/>
        <v>#DIV/0!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t="e">
        <f t="shared" si="7"/>
        <v>#DIV/0!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t="e">
        <f t="shared" si="14"/>
        <v>#DIV/0!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t="e">
        <f t="shared" si="7"/>
        <v>#DIV/0!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t="e">
        <f t="shared" si="14"/>
        <v>#DIV/0!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t="e">
        <f t="shared" si="7"/>
        <v>#DIV/0!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t="e">
        <f t="shared" si="14"/>
        <v>#DIV/0!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t="e">
        <f t="shared" si="7"/>
        <v>#DIV/0!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t="e">
        <f t="shared" si="14"/>
        <v>#DIV/0!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t="e">
        <f t="shared" si="7"/>
        <v>#DIV/0!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t="e">
        <f t="shared" si="14"/>
        <v>#DIV/0!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t="e">
        <f t="shared" si="7"/>
        <v>#DIV/0!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t="e">
        <f t="shared" si="14"/>
        <v>#DIV/0!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t="e">
        <f t="shared" si="7"/>
        <v>#DIV/0!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t="e">
        <f t="shared" si="14"/>
        <v>#DIV/0!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t="e">
        <f t="shared" si="7"/>
        <v>#DIV/0!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t="e">
        <f t="shared" si="14"/>
        <v>#DIV/0!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t="e">
        <f t="shared" si="7"/>
        <v>#DIV/0!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t="e">
        <f t="shared" si="14"/>
        <v>#DIV/0!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t="e">
        <f t="shared" si="7"/>
        <v>#DIV/0!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t="e">
        <f t="shared" si="14"/>
        <v>#DIV/0!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t="e">
        <f t="shared" si="7"/>
        <v>#DIV/0!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t="e">
        <f t="shared" si="14"/>
        <v>#DIV/0!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t="e">
        <f t="shared" si="7"/>
        <v>#DIV/0!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t="e">
        <f t="shared" si="14"/>
        <v>#DIV/0!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t="e">
        <f t="shared" si="7"/>
        <v>#DIV/0!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t="e">
        <f t="shared" si="14"/>
        <v>#DIV/0!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t="e">
        <f t="shared" si="7"/>
        <v>#DIV/0!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t="e">
        <f t="shared" si="14"/>
        <v>#DIV/0!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t="e">
        <f t="shared" si="7"/>
        <v>#DIV/0!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t="e">
        <f t="shared" si="14"/>
        <v>#DIV/0!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t="e">
        <f t="shared" si="7"/>
        <v>#DIV/0!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t="e">
        <f t="shared" si="14"/>
        <v>#DIV/0!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t="e">
        <f t="shared" si="7"/>
        <v>#DIV/0!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t="e">
        <f t="shared" si="14"/>
        <v>#DIV/0!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t="e">
        <f t="shared" si="7"/>
        <v>#DIV/0!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t="e">
        <f t="shared" si="14"/>
        <v>#DIV/0!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t="e">
        <f t="shared" si="7"/>
        <v>#DIV/0!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t="e">
        <f t="shared" si="14"/>
        <v>#DIV/0!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t="e">
        <f t="shared" si="7"/>
        <v>#DIV/0!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t="e">
        <f t="shared" si="14"/>
        <v>#DIV/0!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t="e">
        <f t="shared" si="7"/>
        <v>#DIV/0!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t="e">
        <f t="shared" si="14"/>
        <v>#DIV/0!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t="e">
        <f t="shared" si="7"/>
        <v>#DIV/0!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t="e">
        <f t="shared" si="14"/>
        <v>#DIV/0!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t="e">
        <f t="shared" si="7"/>
        <v>#DIV/0!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t="e">
        <f t="shared" si="14"/>
        <v>#DIV/0!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t="e">
        <f t="shared" si="7"/>
        <v>#DIV/0!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t="e">
        <f t="shared" si="14"/>
        <v>#DIV/0!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t="e">
        <f t="shared" si="7"/>
        <v>#DIV/0!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t="e">
        <f t="shared" si="14"/>
        <v>#DIV/0!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t="e">
        <f t="shared" si="7"/>
        <v>#DIV/0!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t="e">
        <f t="shared" si="14"/>
        <v>#DIV/0!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t="e">
        <f t="shared" si="7"/>
        <v>#DIV/0!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t="e">
        <f t="shared" si="14"/>
        <v>#DIV/0!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t="e">
        <f t="shared" si="7"/>
        <v>#DIV/0!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t="e">
        <f t="shared" si="14"/>
        <v>#DIV/0!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t="e">
        <f t="shared" si="7"/>
        <v>#DIV/0!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t="e">
        <f t="shared" si="14"/>
        <v>#DIV/0!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t="e">
        <f t="shared" si="7"/>
        <v>#DIV/0!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t="e">
        <f t="shared" si="14"/>
        <v>#DIV/0!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t="e">
        <f t="shared" si="7"/>
        <v>#DIV/0!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t="e">
        <f t="shared" si="14"/>
        <v>#DIV/0!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t="e">
        <f t="shared" si="7"/>
        <v>#DIV/0!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t="e">
        <f t="shared" si="14"/>
        <v>#DIV/0!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t="e">
        <f t="shared" si="7"/>
        <v>#DIV/0!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t="e">
        <f t="shared" si="14"/>
        <v>#DIV/0!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t="e">
        <f t="shared" si="7"/>
        <v>#DIV/0!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t="e">
        <f t="shared" si="14"/>
        <v>#DIV/0!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t="e">
        <f t="shared" si="7"/>
        <v>#DIV/0!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t="e">
        <f t="shared" si="14"/>
        <v>#DIV/0!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t="e">
        <f t="shared" si="7"/>
        <v>#DIV/0!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t="e">
        <f t="shared" si="14"/>
        <v>#DIV/0!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t="e">
        <f t="shared" si="7"/>
        <v>#DIV/0!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t="e">
        <f t="shared" si="14"/>
        <v>#DIV/0!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t="e">
        <f t="shared" si="7"/>
        <v>#DIV/0!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t="e">
        <f t="shared" si="14"/>
        <v>#DIV/0!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t="e">
        <f t="shared" si="7"/>
        <v>#DIV/0!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t="e">
        <f t="shared" si="14"/>
        <v>#DIV/0!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t="e">
        <f t="shared" si="7"/>
        <v>#DIV/0!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t="e">
        <f t="shared" si="14"/>
        <v>#DIV/0!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t="e">
        <f t="shared" si="7"/>
        <v>#DIV/0!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t="e">
        <f t="shared" si="14"/>
        <v>#DIV/0!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t="e">
        <f t="shared" si="7"/>
        <v>#DIV/0!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t="e">
        <f t="shared" si="14"/>
        <v>#DIV/0!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t="e">
        <f t="shared" si="7"/>
        <v>#DIV/0!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t="e">
        <f t="shared" si="14"/>
        <v>#DIV/0!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t="e">
        <f t="shared" si="7"/>
        <v>#DIV/0!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t="e">
        <f t="shared" si="14"/>
        <v>#DIV/0!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t="e">
        <f t="shared" si="7"/>
        <v>#DIV/0!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t="e">
        <f t="shared" si="14"/>
        <v>#DIV/0!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t="e">
        <f t="shared" si="7"/>
        <v>#DIV/0!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t="e">
        <f t="shared" si="14"/>
        <v>#DIV/0!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t="e">
        <f t="shared" si="7"/>
        <v>#DIV/0!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t="e">
        <f t="shared" si="14"/>
        <v>#DIV/0!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t="e">
        <f t="shared" si="7"/>
        <v>#DIV/0!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t="e">
        <f t="shared" si="14"/>
        <v>#DIV/0!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t="e">
        <f t="shared" si="7"/>
        <v>#DIV/0!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t="e">
        <f t="shared" si="14"/>
        <v>#DIV/0!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t="e">
        <f t="shared" si="7"/>
        <v>#DIV/0!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t="e">
        <f t="shared" si="14"/>
        <v>#DIV/0!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t="e">
        <f t="shared" si="7"/>
        <v>#DIV/0!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t="e">
        <f t="shared" si="14"/>
        <v>#DIV/0!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t="e">
        <f t="shared" si="7"/>
        <v>#DIV/0!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t="e">
        <f t="shared" si="14"/>
        <v>#DIV/0!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t="e">
        <f t="shared" si="7"/>
        <v>#DIV/0!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t="e">
        <f t="shared" si="14"/>
        <v>#DIV/0!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t="e">
        <f t="shared" si="7"/>
        <v>#DIV/0!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t="e">
        <f t="shared" si="14"/>
        <v>#DIV/0!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t="e">
        <f t="shared" si="7"/>
        <v>#DIV/0!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t="e">
        <f t="shared" si="14"/>
        <v>#DIV/0!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t="e">
        <f t="shared" si="7"/>
        <v>#DIV/0!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t="e">
        <f t="shared" si="14"/>
        <v>#DIV/0!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t="e">
        <f t="shared" si="7"/>
        <v>#DIV/0!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t="e">
        <f t="shared" si="14"/>
        <v>#DIV/0!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t="e">
        <f t="shared" si="7"/>
        <v>#DIV/0!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t="e">
        <f t="shared" si="14"/>
        <v>#DIV/0!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t="e">
        <f t="shared" si="7"/>
        <v>#DIV/0!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t="e">
        <f t="shared" si="14"/>
        <v>#DIV/0!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t="e">
        <f t="shared" si="7"/>
        <v>#DIV/0!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t="e">
        <f t="shared" si="14"/>
        <v>#DIV/0!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t="e">
        <f t="shared" si="7"/>
        <v>#DIV/0!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t="e">
        <f t="shared" si="14"/>
        <v>#DIV/0!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t="e">
        <f t="shared" si="7"/>
        <v>#DIV/0!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t="e">
        <f t="shared" si="14"/>
        <v>#DIV/0!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t="e">
        <f t="shared" si="7"/>
        <v>#DIV/0!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t="e">
        <f t="shared" si="14"/>
        <v>#DIV/0!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t="e">
        <f t="shared" si="7"/>
        <v>#DIV/0!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t="e">
        <f t="shared" si="14"/>
        <v>#DIV/0!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t="e">
        <f t="shared" si="7"/>
        <v>#DIV/0!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t="e">
        <f t="shared" si="14"/>
        <v>#DIV/0!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t="e">
        <f t="shared" si="7"/>
        <v>#DIV/0!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t="e">
        <f t="shared" si="14"/>
        <v>#DIV/0!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t="e">
        <f t="shared" si="7"/>
        <v>#DIV/0!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t="e">
        <f t="shared" si="14"/>
        <v>#DIV/0!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t="e">
        <f t="shared" si="7"/>
        <v>#DIV/0!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t="e">
        <f t="shared" si="14"/>
        <v>#DIV/0!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t="e">
        <f t="shared" si="7"/>
        <v>#DIV/0!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t="e">
        <f t="shared" si="14"/>
        <v>#DIV/0!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t="e">
        <f t="shared" si="7"/>
        <v>#DIV/0!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t="e">
        <f t="shared" si="14"/>
        <v>#DIV/0!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t="e">
        <f t="shared" si="7"/>
        <v>#DIV/0!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t="e">
        <f t="shared" si="14"/>
        <v>#DIV/0!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t="e">
        <f t="shared" si="7"/>
        <v>#DIV/0!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t="e">
        <f t="shared" si="14"/>
        <v>#DIV/0!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t="e">
        <f t="shared" si="7"/>
        <v>#DIV/0!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t="e">
        <f t="shared" si="14"/>
        <v>#DIV/0!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t="e">
        <f t="shared" si="7"/>
        <v>#DIV/0!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t="e">
        <f t="shared" si="14"/>
        <v>#DIV/0!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t="e">
        <f t="shared" si="7"/>
        <v>#DIV/0!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t="e">
        <f t="shared" si="14"/>
        <v>#DIV/0!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t="e">
        <f t="shared" si="7"/>
        <v>#DIV/0!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t="e">
        <f t="shared" si="14"/>
        <v>#DIV/0!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t="e">
        <f t="shared" si="7"/>
        <v>#DIV/0!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t="e">
        <f t="shared" si="14"/>
        <v>#DIV/0!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t="e">
        <f t="shared" si="7"/>
        <v>#DIV/0!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t="e">
        <f t="shared" si="14"/>
        <v>#DIV/0!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t="e">
        <f t="shared" si="7"/>
        <v>#DIV/0!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t="e">
        <f t="shared" si="14"/>
        <v>#DIV/0!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t="e">
        <f t="shared" si="7"/>
        <v>#DIV/0!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t="e">
        <f t="shared" si="14"/>
        <v>#DIV/0!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t="e">
        <f t="shared" si="7"/>
        <v>#DIV/0!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t="e">
        <f t="shared" si="14"/>
        <v>#DIV/0!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t="e">
        <f t="shared" si="7"/>
        <v>#DIV/0!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t="e">
        <f t="shared" si="14"/>
        <v>#DIV/0!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t="e">
        <f t="shared" si="7"/>
        <v>#DIV/0!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t="e">
        <f t="shared" si="14"/>
        <v>#DIV/0!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t="e">
        <f t="shared" si="7"/>
        <v>#DIV/0!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t="e">
        <f t="shared" si="14"/>
        <v>#DIV/0!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t="e">
        <f t="shared" si="7"/>
        <v>#DIV/0!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t="e">
        <f t="shared" si="14"/>
        <v>#DIV/0!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t="e">
        <f t="shared" si="7"/>
        <v>#DIV/0!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t="e">
        <f t="shared" ref="AY110:AY141" si="39">ROUND($AY$6*AZ110/$AZ$5,2)</f>
        <v>#DIV/0!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t="e">
        <f t="shared" si="7"/>
        <v>#DIV/0!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t="e">
        <f t="shared" si="39"/>
        <v>#DIV/0!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t="e">
        <f t="shared" si="7"/>
        <v>#DIV/0!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t="e">
        <f t="shared" si="39"/>
        <v>#DIV/0!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t="e">
        <f t="shared" ref="E113:E144" si="61">IF($C$3="是",ROUND($A$3*G113/$B$3,2),ROUND($A$3*(G113-AT113)/$B$3,2))</f>
        <v>#DIV/0!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t="e">
        <f t="shared" si="39"/>
        <v>#DIV/0!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t="e">
        <f t="shared" si="61"/>
        <v>#DIV/0!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t="e">
        <f t="shared" si="39"/>
        <v>#DIV/0!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t="e">
        <f t="shared" si="61"/>
        <v>#DIV/0!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t="e">
        <f t="shared" si="39"/>
        <v>#DIV/0!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t="e">
        <f t="shared" si="61"/>
        <v>#DIV/0!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t="e">
        <f t="shared" si="39"/>
        <v>#DIV/0!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t="e">
        <f t="shared" si="61"/>
        <v>#DIV/0!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t="e">
        <f t="shared" si="39"/>
        <v>#DIV/0!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t="e">
        <f t="shared" si="61"/>
        <v>#DIV/0!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t="e">
        <f t="shared" si="39"/>
        <v>#DIV/0!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t="e">
        <f t="shared" si="61"/>
        <v>#DIV/0!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t="e">
        <f t="shared" si="39"/>
        <v>#DIV/0!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t="e">
        <f t="shared" si="61"/>
        <v>#DIV/0!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t="e">
        <f t="shared" si="39"/>
        <v>#DIV/0!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t="e">
        <f t="shared" si="61"/>
        <v>#DIV/0!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t="e">
        <f t="shared" si="39"/>
        <v>#DIV/0!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t="e">
        <f t="shared" si="61"/>
        <v>#DIV/0!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t="e">
        <f t="shared" si="39"/>
        <v>#DIV/0!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t="e">
        <f t="shared" si="61"/>
        <v>#DIV/0!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t="e">
        <f t="shared" si="39"/>
        <v>#DIV/0!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t="e">
        <f t="shared" si="61"/>
        <v>#DIV/0!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t="e">
        <f t="shared" si="39"/>
        <v>#DIV/0!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t="e">
        <f t="shared" si="61"/>
        <v>#DIV/0!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t="e">
        <f t="shared" si="39"/>
        <v>#DIV/0!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t="e">
        <f t="shared" si="61"/>
        <v>#DIV/0!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t="e">
        <f t="shared" si="39"/>
        <v>#DIV/0!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t="e">
        <f t="shared" si="61"/>
        <v>#DIV/0!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t="e">
        <f t="shared" si="39"/>
        <v>#DIV/0!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t="e">
        <f t="shared" si="61"/>
        <v>#DIV/0!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t="e">
        <f t="shared" si="39"/>
        <v>#DIV/0!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t="e">
        <f t="shared" si="61"/>
        <v>#DIV/0!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t="e">
        <f t="shared" si="39"/>
        <v>#DIV/0!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t="e">
        <f t="shared" si="61"/>
        <v>#DIV/0!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t="e">
        <f t="shared" si="39"/>
        <v>#DIV/0!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t="e">
        <f t="shared" si="61"/>
        <v>#DIV/0!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t="e">
        <f t="shared" si="39"/>
        <v>#DIV/0!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t="e">
        <f t="shared" si="61"/>
        <v>#DIV/0!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t="e">
        <f t="shared" si="39"/>
        <v>#DIV/0!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t="e">
        <f t="shared" si="61"/>
        <v>#DIV/0!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t="e">
        <f t="shared" si="39"/>
        <v>#DIV/0!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t="e">
        <f t="shared" si="61"/>
        <v>#DIV/0!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t="e">
        <f t="shared" si="39"/>
        <v>#DIV/0!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t="e">
        <f t="shared" si="61"/>
        <v>#DIV/0!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t="e">
        <f t="shared" si="39"/>
        <v>#DIV/0!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t="e">
        <f t="shared" si="61"/>
        <v>#DIV/0!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t="e">
        <f t="shared" si="39"/>
        <v>#DIV/0!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t="e">
        <f t="shared" si="61"/>
        <v>#DIV/0!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t="e">
        <f t="shared" si="39"/>
        <v>#DIV/0!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t="e">
        <f t="shared" si="61"/>
        <v>#DIV/0!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t="e">
        <f t="shared" si="39"/>
        <v>#DIV/0!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t="e">
        <f t="shared" si="61"/>
        <v>#DIV/0!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t="e">
        <f t="shared" si="39"/>
        <v>#DIV/0!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t="e">
        <f t="shared" si="61"/>
        <v>#DIV/0!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t="e">
        <f t="shared" si="39"/>
        <v>#DIV/0!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t="e">
        <f t="shared" si="61"/>
        <v>#DIV/0!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t="e">
        <f t="shared" si="39"/>
        <v>#DIV/0!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t="e">
        <f t="shared" si="61"/>
        <v>#DIV/0!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t="e">
        <f t="shared" ref="AY142:AY173" si="68">ROUND($AY$6*AZ142/$AZ$5,2)</f>
        <v>#DIV/0!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t="e">
        <f t="shared" si="61"/>
        <v>#DIV/0!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t="e">
        <f t="shared" si="68"/>
        <v>#DIV/0!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t="e">
        <f t="shared" si="61"/>
        <v>#DIV/0!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t="e">
        <f t="shared" si="68"/>
        <v>#DIV/0!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t="e">
        <f t="shared" ref="E145:E176" si="90">IF($C$3="是",ROUND($A$3*G145/$B$3,2),ROUND($A$3*(G145-AT145)/$B$3,2))</f>
        <v>#DIV/0!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t="e">
        <f t="shared" si="68"/>
        <v>#DIV/0!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t="e">
        <f t="shared" si="90"/>
        <v>#DIV/0!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t="e">
        <f t="shared" si="68"/>
        <v>#DIV/0!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t="e">
        <f t="shared" si="90"/>
        <v>#DIV/0!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t="e">
        <f t="shared" si="68"/>
        <v>#DIV/0!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t="e">
        <f t="shared" si="90"/>
        <v>#DIV/0!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t="e">
        <f t="shared" si="68"/>
        <v>#DIV/0!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t="e">
        <f t="shared" si="90"/>
        <v>#DIV/0!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t="e">
        <f t="shared" si="68"/>
        <v>#DIV/0!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t="e">
        <f t="shared" si="90"/>
        <v>#DIV/0!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t="e">
        <f t="shared" si="68"/>
        <v>#DIV/0!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t="e">
        <f t="shared" si="90"/>
        <v>#DIV/0!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t="e">
        <f t="shared" si="68"/>
        <v>#DIV/0!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t="e">
        <f t="shared" si="90"/>
        <v>#DIV/0!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t="e">
        <f t="shared" si="68"/>
        <v>#DIV/0!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t="e">
        <f t="shared" si="90"/>
        <v>#DIV/0!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t="e">
        <f t="shared" si="68"/>
        <v>#DIV/0!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t="e">
        <f t="shared" si="90"/>
        <v>#DIV/0!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t="e">
        <f t="shared" si="68"/>
        <v>#DIV/0!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t="e">
        <f t="shared" si="90"/>
        <v>#DIV/0!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t="e">
        <f t="shared" si="68"/>
        <v>#DIV/0!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t="e">
        <f t="shared" si="90"/>
        <v>#DIV/0!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t="e">
        <f t="shared" si="68"/>
        <v>#DIV/0!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t="e">
        <f t="shared" si="90"/>
        <v>#DIV/0!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t="e">
        <f t="shared" si="68"/>
        <v>#DIV/0!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t="e">
        <f t="shared" si="90"/>
        <v>#DIV/0!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t="e">
        <f t="shared" si="68"/>
        <v>#DIV/0!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t="e">
        <f t="shared" si="90"/>
        <v>#DIV/0!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t="e">
        <f t="shared" si="68"/>
        <v>#DIV/0!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t="e">
        <f t="shared" si="90"/>
        <v>#DIV/0!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t="e">
        <f t="shared" si="68"/>
        <v>#DIV/0!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t="e">
        <f t="shared" si="90"/>
        <v>#DIV/0!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t="e">
        <f t="shared" si="68"/>
        <v>#DIV/0!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t="e">
        <f t="shared" si="90"/>
        <v>#DIV/0!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t="e">
        <f t="shared" si="68"/>
        <v>#DIV/0!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t="e">
        <f t="shared" si="90"/>
        <v>#DIV/0!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t="e">
        <f t="shared" si="68"/>
        <v>#DIV/0!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t="e">
        <f t="shared" si="90"/>
        <v>#DIV/0!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t="e">
        <f t="shared" si="68"/>
        <v>#DIV/0!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t="e">
        <f t="shared" si="90"/>
        <v>#DIV/0!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t="e">
        <f t="shared" si="68"/>
        <v>#DIV/0!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t="e">
        <f t="shared" si="90"/>
        <v>#DIV/0!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t="e">
        <f t="shared" si="68"/>
        <v>#DIV/0!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t="e">
        <f t="shared" si="90"/>
        <v>#DIV/0!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t="e">
        <f t="shared" si="68"/>
        <v>#DIV/0!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t="e">
        <f t="shared" si="90"/>
        <v>#DIV/0!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t="e">
        <f t="shared" si="68"/>
        <v>#DIV/0!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t="e">
        <f t="shared" si="90"/>
        <v>#DIV/0!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t="e">
        <f t="shared" si="68"/>
        <v>#DIV/0!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t="e">
        <f t="shared" si="90"/>
        <v>#DIV/0!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t="e">
        <f t="shared" si="68"/>
        <v>#DIV/0!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t="e">
        <f t="shared" si="90"/>
        <v>#DIV/0!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t="e">
        <f t="shared" si="68"/>
        <v>#DIV/0!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t="e">
        <f t="shared" si="90"/>
        <v>#DIV/0!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t="e">
        <f t="shared" si="68"/>
        <v>#DIV/0!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t="e">
        <f t="shared" si="90"/>
        <v>#DIV/0!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t="e">
        <f t="shared" si="68"/>
        <v>#DIV/0!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t="e">
        <f t="shared" si="90"/>
        <v>#DIV/0!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t="e">
        <f t="shared" ref="AY174:AY205" si="97">ROUND($AY$6*AZ174/$AZ$5,2)</f>
        <v>#DIV/0!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t="e">
        <f t="shared" si="90"/>
        <v>#DIV/0!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t="e">
        <f t="shared" si="97"/>
        <v>#DIV/0!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t="e">
        <f t="shared" si="90"/>
        <v>#DIV/0!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t="e">
        <f t="shared" si="97"/>
        <v>#DIV/0!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t="e">
        <f t="shared" ref="E177:E207" si="119">IF($C$3="是",ROUND($A$3*G177/$B$3,2),ROUND($A$3*(G177-AT177)/$B$3,2))</f>
        <v>#DIV/0!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t="e">
        <f t="shared" si="97"/>
        <v>#DIV/0!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t="e">
        <f t="shared" si="119"/>
        <v>#DIV/0!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t="e">
        <f t="shared" si="97"/>
        <v>#DIV/0!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t="e">
        <f t="shared" si="119"/>
        <v>#DIV/0!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t="e">
        <f t="shared" si="97"/>
        <v>#DIV/0!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t="e">
        <f t="shared" si="119"/>
        <v>#DIV/0!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t="e">
        <f t="shared" si="97"/>
        <v>#DIV/0!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t="e">
        <f t="shared" si="119"/>
        <v>#DIV/0!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t="e">
        <f t="shared" si="97"/>
        <v>#DIV/0!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t="e">
        <f t="shared" si="119"/>
        <v>#DIV/0!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t="e">
        <f t="shared" si="97"/>
        <v>#DIV/0!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t="e">
        <f t="shared" si="119"/>
        <v>#DIV/0!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t="e">
        <f t="shared" si="97"/>
        <v>#DIV/0!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t="e">
        <f t="shared" si="119"/>
        <v>#DIV/0!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t="e">
        <f t="shared" si="97"/>
        <v>#DIV/0!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t="e">
        <f t="shared" si="119"/>
        <v>#DIV/0!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t="e">
        <f t="shared" si="97"/>
        <v>#DIV/0!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t="e">
        <f t="shared" si="119"/>
        <v>#DIV/0!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t="e">
        <f t="shared" si="97"/>
        <v>#DIV/0!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t="e">
        <f t="shared" si="119"/>
        <v>#DIV/0!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t="e">
        <f t="shared" si="97"/>
        <v>#DIV/0!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t="e">
        <f t="shared" si="119"/>
        <v>#DIV/0!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t="e">
        <f t="shared" si="97"/>
        <v>#DIV/0!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t="e">
        <f t="shared" si="119"/>
        <v>#DIV/0!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t="e">
        <f t="shared" si="97"/>
        <v>#DIV/0!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t="e">
        <f t="shared" si="119"/>
        <v>#DIV/0!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t="e">
        <f t="shared" si="97"/>
        <v>#DIV/0!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t="e">
        <f t="shared" si="119"/>
        <v>#DIV/0!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t="e">
        <f t="shared" si="97"/>
        <v>#DIV/0!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t="e">
        <f t="shared" si="119"/>
        <v>#DIV/0!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t="e">
        <f t="shared" si="97"/>
        <v>#DIV/0!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t="e">
        <f t="shared" si="119"/>
        <v>#DIV/0!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t="e">
        <f t="shared" si="97"/>
        <v>#DIV/0!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t="e">
        <f t="shared" si="119"/>
        <v>#DIV/0!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t="e">
        <f t="shared" si="97"/>
        <v>#DIV/0!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t="e">
        <f t="shared" si="119"/>
        <v>#DIV/0!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t="e">
        <f t="shared" si="97"/>
        <v>#DIV/0!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t="e">
        <f t="shared" si="119"/>
        <v>#DIV/0!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t="e">
        <f t="shared" si="97"/>
        <v>#DIV/0!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t="e">
        <f t="shared" si="119"/>
        <v>#DIV/0!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t="e">
        <f t="shared" si="97"/>
        <v>#DIV/0!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t="e">
        <f t="shared" si="119"/>
        <v>#DIV/0!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t="e">
        <f t="shared" si="97"/>
        <v>#DIV/0!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t="e">
        <f t="shared" si="119"/>
        <v>#DIV/0!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t="e">
        <f t="shared" si="97"/>
        <v>#DIV/0!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t="e">
        <f t="shared" si="119"/>
        <v>#DIV/0!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t="e">
        <f t="shared" si="97"/>
        <v>#DIV/0!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t="e">
        <f t="shared" si="119"/>
        <v>#DIV/0!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t="e">
        <f t="shared" si="97"/>
        <v>#DIV/0!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t="e">
        <f t="shared" si="119"/>
        <v>#DIV/0!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t="e">
        <f t="shared" si="97"/>
        <v>#DIV/0!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t="e">
        <f t="shared" si="119"/>
        <v>#DIV/0!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t="e">
        <f t="shared" si="97"/>
        <v>#DIV/0!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t="e">
        <f t="shared" si="119"/>
        <v>#DIV/0!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t="e">
        <f t="shared" si="97"/>
        <v>#DIV/0!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t="e">
        <f t="shared" si="119"/>
        <v>#DIV/0!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t="e">
        <f t="shared" si="97"/>
        <v>#DIV/0!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t="e">
        <f t="shared" si="119"/>
        <v>#DIV/0!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t="e">
        <f>ROUND($AY$6*AZ206/$AZ$5,2)</f>
        <v>#DIV/0!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t="e">
        <f t="shared" si="119"/>
        <v>#DIV/0!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t="e">
        <f>ROUND($AY$6*AZ207/$AZ$5,2)</f>
        <v>#DIV/0!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t="e">
        <f t="shared" ref="E208:E302" si="123">IF($C$3="是",ROUND($A$3*G208/$B$3,2),ROUND($A$3*(G208-AT208)/$B$3,2))</f>
        <v>#DIV/0!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t="e">
        <f t="shared" ref="AY208:AY299" si="130">ROUND($AY$6*AZ208/$AZ$5,2)</f>
        <v>#DIV/0!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t="e">
        <f t="shared" si="123"/>
        <v>#DIV/0!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t="e">
        <f t="shared" si="130"/>
        <v>#DIV/0!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t="e">
        <f t="shared" si="123"/>
        <v>#DIV/0!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t="e">
        <f t="shared" si="130"/>
        <v>#DIV/0!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t="e">
        <f t="shared" si="123"/>
        <v>#DIV/0!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t="e">
        <f t="shared" si="130"/>
        <v>#DIV/0!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t="e">
        <f t="shared" si="123"/>
        <v>#DIV/0!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t="e">
        <f t="shared" si="130"/>
        <v>#DIV/0!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t="e">
        <f t="shared" si="123"/>
        <v>#DIV/0!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t="e">
        <f t="shared" si="130"/>
        <v>#DIV/0!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t="e">
        <f t="shared" si="123"/>
        <v>#DIV/0!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t="e">
        <f t="shared" si="130"/>
        <v>#DIV/0!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t="e">
        <f t="shared" si="123"/>
        <v>#DIV/0!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t="e">
        <f t="shared" si="130"/>
        <v>#DIV/0!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t="e">
        <f t="shared" si="123"/>
        <v>#DIV/0!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t="e">
        <f t="shared" si="130"/>
        <v>#DIV/0!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t="e">
        <f t="shared" si="123"/>
        <v>#DIV/0!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t="e">
        <f t="shared" si="130"/>
        <v>#DIV/0!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t="e">
        <f t="shared" si="123"/>
        <v>#DIV/0!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t="e">
        <f t="shared" si="130"/>
        <v>#DIV/0!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t="e">
        <f t="shared" si="123"/>
        <v>#DIV/0!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t="e">
        <f t="shared" si="130"/>
        <v>#DIV/0!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t="e">
        <f t="shared" si="123"/>
        <v>#DIV/0!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t="e">
        <f t="shared" si="130"/>
        <v>#DIV/0!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t="e">
        <f t="shared" si="123"/>
        <v>#DIV/0!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t="e">
        <f t="shared" si="130"/>
        <v>#DIV/0!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t="e">
        <f t="shared" si="123"/>
        <v>#DIV/0!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t="e">
        <f t="shared" si="130"/>
        <v>#DIV/0!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t="e">
        <f t="shared" si="123"/>
        <v>#DIV/0!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t="e">
        <f t="shared" si="130"/>
        <v>#DIV/0!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t="e">
        <f t="shared" si="123"/>
        <v>#DIV/0!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t="e">
        <f t="shared" si="130"/>
        <v>#DIV/0!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t="e">
        <f t="shared" si="123"/>
        <v>#DIV/0!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t="e">
        <f t="shared" si="130"/>
        <v>#DIV/0!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t="e">
        <f t="shared" si="123"/>
        <v>#DIV/0!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t="e">
        <f t="shared" si="130"/>
        <v>#DIV/0!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t="e">
        <f t="shared" si="123"/>
        <v>#DIV/0!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t="e">
        <f t="shared" si="130"/>
        <v>#DIV/0!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t="e">
        <f t="shared" si="123"/>
        <v>#DIV/0!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t="e">
        <f t="shared" si="130"/>
        <v>#DIV/0!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t="e">
        <f t="shared" si="123"/>
        <v>#DIV/0!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t="e">
        <f t="shared" si="130"/>
        <v>#DIV/0!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t="e">
        <f t="shared" si="123"/>
        <v>#DIV/0!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t="e">
        <f t="shared" si="130"/>
        <v>#DIV/0!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t="e">
        <f t="shared" si="123"/>
        <v>#DIV/0!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t="e">
        <f t="shared" si="130"/>
        <v>#DIV/0!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t="e">
        <f t="shared" si="123"/>
        <v>#DIV/0!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t="e">
        <f t="shared" si="130"/>
        <v>#DIV/0!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t="e">
        <f t="shared" si="123"/>
        <v>#DIV/0!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t="e">
        <f t="shared" si="130"/>
        <v>#DIV/0!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t="e">
        <f t="shared" si="123"/>
        <v>#DIV/0!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t="e">
        <f t="shared" si="130"/>
        <v>#DIV/0!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t="e">
        <f t="shared" si="123"/>
        <v>#DIV/0!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t="e">
        <f t="shared" si="130"/>
        <v>#DIV/0!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t="e">
        <f t="shared" si="123"/>
        <v>#DIV/0!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t="e">
        <f t="shared" si="130"/>
        <v>#DIV/0!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t="e">
        <f t="shared" si="123"/>
        <v>#DIV/0!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t="e">
        <f t="shared" si="130"/>
        <v>#DIV/0!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t="e">
        <f t="shared" si="123"/>
        <v>#DIV/0!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t="e">
        <f t="shared" si="130"/>
        <v>#DIV/0!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t="e">
        <f t="shared" si="123"/>
        <v>#DIV/0!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t="e">
        <f t="shared" si="130"/>
        <v>#DIV/0!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t="e">
        <f t="shared" si="123"/>
        <v>#DIV/0!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t="e">
        <f t="shared" si="130"/>
        <v>#DIV/0!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t="e">
        <f t="shared" si="123"/>
        <v>#DIV/0!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t="e">
        <f t="shared" si="130"/>
        <v>#DIV/0!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t="e">
        <f t="shared" si="123"/>
        <v>#DIV/0!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t="e">
        <f t="shared" si="130"/>
        <v>#DIV/0!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t="e">
        <f t="shared" si="123"/>
        <v>#DIV/0!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t="e">
        <f t="shared" si="130"/>
        <v>#DIV/0!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t="e">
        <f t="shared" si="123"/>
        <v>#DIV/0!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t="e">
        <f t="shared" si="130"/>
        <v>#DIV/0!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t="e">
        <f t="shared" si="123"/>
        <v>#DIV/0!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t="e">
        <f t="shared" si="130"/>
        <v>#DIV/0!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t="e">
        <f t="shared" si="123"/>
        <v>#DIV/0!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t="e">
        <f t="shared" si="130"/>
        <v>#DIV/0!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t="e">
        <f t="shared" si="123"/>
        <v>#DIV/0!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t="e">
        <f t="shared" si="130"/>
        <v>#DIV/0!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t="e">
        <f t="shared" si="123"/>
        <v>#DIV/0!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t="e">
        <f t="shared" si="130"/>
        <v>#DIV/0!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t="e">
        <f t="shared" si="123"/>
        <v>#DIV/0!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t="e">
        <f t="shared" si="130"/>
        <v>#DIV/0!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t="e">
        <f t="shared" si="123"/>
        <v>#DIV/0!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t="e">
        <f t="shared" si="130"/>
        <v>#DIV/0!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t="e">
        <f t="shared" si="123"/>
        <v>#DIV/0!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t="e">
        <f t="shared" si="130"/>
        <v>#DIV/0!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t="e">
        <f t="shared" si="123"/>
        <v>#DIV/0!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t="e">
        <f t="shared" si="130"/>
        <v>#DIV/0!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t="e">
        <f t="shared" si="123"/>
        <v>#DIV/0!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t="e">
        <f t="shared" si="130"/>
        <v>#DIV/0!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t="e">
        <f t="shared" si="123"/>
        <v>#DIV/0!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t="e">
        <f t="shared" si="130"/>
        <v>#DIV/0!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t="e">
        <f t="shared" si="123"/>
        <v>#DIV/0!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t="e">
        <f t="shared" si="130"/>
        <v>#DIV/0!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t="e">
        <f t="shared" si="123"/>
        <v>#DIV/0!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t="e">
        <f t="shared" si="130"/>
        <v>#DIV/0!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t="e">
        <f t="shared" si="123"/>
        <v>#DIV/0!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t="e">
        <f t="shared" si="130"/>
        <v>#DIV/0!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t="e">
        <f t="shared" si="123"/>
        <v>#DIV/0!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t="e">
        <f t="shared" si="130"/>
        <v>#DIV/0!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t="e">
        <f t="shared" si="123"/>
        <v>#DIV/0!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t="e">
        <f t="shared" si="130"/>
        <v>#DIV/0!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t="e">
        <f t="shared" si="123"/>
        <v>#DIV/0!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t="e">
        <f t="shared" si="130"/>
        <v>#DIV/0!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t="e">
        <f t="shared" si="123"/>
        <v>#DIV/0!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t="e">
        <f t="shared" si="130"/>
        <v>#DIV/0!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t="e">
        <f t="shared" si="123"/>
        <v>#DIV/0!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t="e">
        <f t="shared" si="130"/>
        <v>#DIV/0!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t="e">
        <f t="shared" si="123"/>
        <v>#DIV/0!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t="e">
        <f t="shared" si="130"/>
        <v>#DIV/0!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t="e">
        <f t="shared" si="123"/>
        <v>#DIV/0!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t="e">
        <f t="shared" si="130"/>
        <v>#DIV/0!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t="e">
        <f t="shared" si="123"/>
        <v>#DIV/0!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t="e">
        <f t="shared" si="130"/>
        <v>#DIV/0!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t="e">
        <f t="shared" si="123"/>
        <v>#DIV/0!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t="e">
        <f t="shared" si="130"/>
        <v>#DIV/0!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t="e">
        <f t="shared" si="123"/>
        <v>#DIV/0!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t="e">
        <f t="shared" si="130"/>
        <v>#DIV/0!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t="e">
        <f t="shared" si="123"/>
        <v>#DIV/0!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t="e">
        <f t="shared" si="130"/>
        <v>#DIV/0!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t="e">
        <f t="shared" si="123"/>
        <v>#DIV/0!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t="e">
        <f t="shared" si="130"/>
        <v>#DIV/0!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t="e">
        <f t="shared" si="123"/>
        <v>#DIV/0!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t="e">
        <f t="shared" si="130"/>
        <v>#DIV/0!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t="e">
        <f t="shared" si="123"/>
        <v>#DIV/0!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t="e">
        <f t="shared" si="130"/>
        <v>#DIV/0!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t="e">
        <f t="shared" si="123"/>
        <v>#DIV/0!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t="e">
        <f t="shared" si="130"/>
        <v>#DIV/0!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t="e">
        <f t="shared" si="123"/>
        <v>#DIV/0!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t="e">
        <f t="shared" si="130"/>
        <v>#DIV/0!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t="e">
        <f t="shared" si="123"/>
        <v>#DIV/0!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t="e">
        <f t="shared" si="130"/>
        <v>#DIV/0!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t="e">
        <f t="shared" si="123"/>
        <v>#DIV/0!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t="e">
        <f t="shared" si="130"/>
        <v>#DIV/0!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t="e">
        <f t="shared" si="123"/>
        <v>#DIV/0!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t="e">
        <f t="shared" si="130"/>
        <v>#DIV/0!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t="e">
        <f t="shared" si="123"/>
        <v>#DIV/0!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t="e">
        <f t="shared" si="130"/>
        <v>#DIV/0!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t="e">
        <f t="shared" si="123"/>
        <v>#DIV/0!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t="e">
        <f t="shared" si="130"/>
        <v>#DIV/0!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t="e">
        <f t="shared" si="123"/>
        <v>#DIV/0!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t="e">
        <f t="shared" si="130"/>
        <v>#DIV/0!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t="e">
        <f t="shared" si="123"/>
        <v>#DIV/0!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t="e">
        <f t="shared" si="130"/>
        <v>#DIV/0!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t="e">
        <f t="shared" si="123"/>
        <v>#DIV/0!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t="e">
        <f t="shared" si="130"/>
        <v>#DIV/0!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t="e">
        <f t="shared" si="123"/>
        <v>#DIV/0!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t="e">
        <f t="shared" si="130"/>
        <v>#DIV/0!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t="e">
        <f t="shared" si="123"/>
        <v>#DIV/0!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t="e">
        <f t="shared" si="130"/>
        <v>#DIV/0!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t="e">
        <f t="shared" si="123"/>
        <v>#DIV/0!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t="e">
        <f t="shared" si="130"/>
        <v>#DIV/0!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t="e">
        <f t="shared" si="123"/>
        <v>#DIV/0!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t="e">
        <f t="shared" si="130"/>
        <v>#DIV/0!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t="e">
        <f t="shared" si="123"/>
        <v>#DIV/0!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t="e">
        <f t="shared" si="130"/>
        <v>#DIV/0!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t="e">
        <f t="shared" si="123"/>
        <v>#DIV/0!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t="e">
        <f t="shared" si="130"/>
        <v>#DIV/0!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t="e">
        <f t="shared" si="123"/>
        <v>#DIV/0!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t="e">
        <f t="shared" si="130"/>
        <v>#DIV/0!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t="e">
        <f t="shared" si="123"/>
        <v>#DIV/0!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t="e">
        <f t="shared" si="130"/>
        <v>#DIV/0!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t="e">
        <f t="shared" si="123"/>
        <v>#DIV/0!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t="e">
        <f t="shared" si="130"/>
        <v>#DIV/0!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t="e">
        <f t="shared" si="123"/>
        <v>#DIV/0!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t="e">
        <f t="shared" si="130"/>
        <v>#DIV/0!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t="e">
        <f t="shared" si="123"/>
        <v>#DIV/0!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t="e">
        <f t="shared" si="130"/>
        <v>#DIV/0!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t="e">
        <f t="shared" si="123"/>
        <v>#DIV/0!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t="e">
        <f t="shared" si="130"/>
        <v>#DIV/0!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t="e">
        <f t="shared" si="123"/>
        <v>#DIV/0!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t="e">
        <f t="shared" si="130"/>
        <v>#DIV/0!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t="e">
        <f t="shared" si="123"/>
        <v>#DIV/0!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t="e">
        <f t="shared" si="130"/>
        <v>#DIV/0!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t="e">
        <f t="shared" si="123"/>
        <v>#DIV/0!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t="e">
        <f t="shared" si="130"/>
        <v>#DIV/0!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t="e">
        <f t="shared" si="123"/>
        <v>#DIV/0!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t="e">
        <f t="shared" si="130"/>
        <v>#DIV/0!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t="e">
        <f t="shared" si="123"/>
        <v>#DIV/0!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t="e">
        <f t="shared" si="130"/>
        <v>#DIV/0!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t="e">
        <f t="shared" si="123"/>
        <v>#DIV/0!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t="e">
        <f t="shared" si="130"/>
        <v>#DIV/0!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t="e">
        <f t="shared" si="123"/>
        <v>#DIV/0!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t="e">
        <f t="shared" ref="AY300:AY331" si="155">ROUND($AY$6*AZ300/$AZ$5,2)</f>
        <v>#DIV/0!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t="e">
        <f t="shared" si="123"/>
        <v>#DIV/0!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t="e">
        <f t="shared" si="155"/>
        <v>#DIV/0!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t="e">
        <f t="shared" si="123"/>
        <v>#DIV/0!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t="e">
        <f t="shared" si="155"/>
        <v>#DIV/0!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t="e">
        <f t="shared" ref="E303:E334" si="177">IF($C$3="是",ROUND($A$3*G303/$B$3,2),ROUND($A$3*(G303-AT303)/$B$3,2))</f>
        <v>#DIV/0!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t="e">
        <f t="shared" si="155"/>
        <v>#DIV/0!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t="e">
        <f t="shared" si="177"/>
        <v>#DIV/0!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t="e">
        <f t="shared" si="155"/>
        <v>#DIV/0!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t="e">
        <f t="shared" si="177"/>
        <v>#DIV/0!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t="e">
        <f t="shared" si="155"/>
        <v>#DIV/0!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t="e">
        <f t="shared" si="177"/>
        <v>#DIV/0!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t="e">
        <f t="shared" si="155"/>
        <v>#DIV/0!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t="e">
        <f t="shared" si="177"/>
        <v>#DIV/0!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t="e">
        <f t="shared" si="155"/>
        <v>#DIV/0!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t="e">
        <f t="shared" si="177"/>
        <v>#DIV/0!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t="e">
        <f t="shared" si="155"/>
        <v>#DIV/0!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t="e">
        <f t="shared" si="177"/>
        <v>#DIV/0!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t="e">
        <f t="shared" si="155"/>
        <v>#DIV/0!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t="e">
        <f t="shared" si="177"/>
        <v>#DIV/0!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t="e">
        <f t="shared" si="155"/>
        <v>#DIV/0!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t="e">
        <f t="shared" si="177"/>
        <v>#DIV/0!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t="e">
        <f t="shared" si="155"/>
        <v>#DIV/0!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t="e">
        <f t="shared" si="177"/>
        <v>#DIV/0!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t="e">
        <f t="shared" si="155"/>
        <v>#DIV/0!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t="e">
        <f t="shared" si="177"/>
        <v>#DIV/0!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t="e">
        <f t="shared" si="155"/>
        <v>#DIV/0!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t="e">
        <f t="shared" si="177"/>
        <v>#DIV/0!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t="e">
        <f t="shared" si="155"/>
        <v>#DIV/0!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t="e">
        <f t="shared" si="177"/>
        <v>#DIV/0!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t="e">
        <f t="shared" si="155"/>
        <v>#DIV/0!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t="e">
        <f t="shared" si="177"/>
        <v>#DIV/0!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t="e">
        <f t="shared" si="155"/>
        <v>#DIV/0!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t="e">
        <f t="shared" si="177"/>
        <v>#DIV/0!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t="e">
        <f t="shared" si="155"/>
        <v>#DIV/0!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t="e">
        <f t="shared" si="177"/>
        <v>#DIV/0!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t="e">
        <f t="shared" si="155"/>
        <v>#DIV/0!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t="e">
        <f t="shared" si="177"/>
        <v>#DIV/0!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t="e">
        <f t="shared" si="155"/>
        <v>#DIV/0!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t="e">
        <f t="shared" si="177"/>
        <v>#DIV/0!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t="e">
        <f t="shared" si="155"/>
        <v>#DIV/0!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t="e">
        <f t="shared" si="177"/>
        <v>#DIV/0!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t="e">
        <f t="shared" si="155"/>
        <v>#DIV/0!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t="e">
        <f t="shared" si="177"/>
        <v>#DIV/0!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t="e">
        <f t="shared" si="155"/>
        <v>#DIV/0!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t="e">
        <f t="shared" si="177"/>
        <v>#DIV/0!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t="e">
        <f t="shared" si="155"/>
        <v>#DIV/0!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t="e">
        <f t="shared" si="177"/>
        <v>#DIV/0!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t="e">
        <f t="shared" si="155"/>
        <v>#DIV/0!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t="e">
        <f t="shared" si="177"/>
        <v>#DIV/0!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t="e">
        <f t="shared" si="155"/>
        <v>#DIV/0!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t="e">
        <f t="shared" si="177"/>
        <v>#DIV/0!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t="e">
        <f t="shared" si="155"/>
        <v>#DIV/0!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t="e">
        <f t="shared" si="177"/>
        <v>#DIV/0!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t="e">
        <f t="shared" si="155"/>
        <v>#DIV/0!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t="e">
        <f t="shared" si="177"/>
        <v>#DIV/0!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t="e">
        <f t="shared" si="155"/>
        <v>#DIV/0!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t="e">
        <f t="shared" si="177"/>
        <v>#DIV/0!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t="e">
        <f t="shared" si="155"/>
        <v>#DIV/0!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t="e">
        <f t="shared" si="177"/>
        <v>#DIV/0!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t="e">
        <f t="shared" si="155"/>
        <v>#DIV/0!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t="e">
        <f t="shared" si="177"/>
        <v>#DIV/0!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t="e">
        <f t="shared" si="155"/>
        <v>#DIV/0!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t="e">
        <f t="shared" si="177"/>
        <v>#DIV/0!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t="e">
        <f t="shared" ref="AY332:AY363" si="184">ROUND($AY$6*AZ332/$AZ$5,2)</f>
        <v>#DIV/0!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t="e">
        <f t="shared" si="177"/>
        <v>#DIV/0!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t="e">
        <f t="shared" si="184"/>
        <v>#DIV/0!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t="e">
        <f t="shared" si="177"/>
        <v>#DIV/0!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t="e">
        <f t="shared" si="184"/>
        <v>#DIV/0!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t="e">
        <f t="shared" ref="E335:E366" si="206">IF($C$3="是",ROUND($A$3*G335/$B$3,2),ROUND($A$3*(G335-AT335)/$B$3,2))</f>
        <v>#DIV/0!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t="e">
        <f t="shared" si="184"/>
        <v>#DIV/0!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t="e">
        <f t="shared" si="206"/>
        <v>#DIV/0!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t="e">
        <f t="shared" si="184"/>
        <v>#DIV/0!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t="e">
        <f t="shared" si="206"/>
        <v>#DIV/0!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t="e">
        <f t="shared" si="184"/>
        <v>#DIV/0!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t="e">
        <f t="shared" si="206"/>
        <v>#DIV/0!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t="e">
        <f t="shared" si="184"/>
        <v>#DIV/0!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t="e">
        <f t="shared" si="206"/>
        <v>#DIV/0!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t="e">
        <f t="shared" si="184"/>
        <v>#DIV/0!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t="e">
        <f t="shared" si="206"/>
        <v>#DIV/0!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t="e">
        <f t="shared" si="184"/>
        <v>#DIV/0!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t="e">
        <f t="shared" si="206"/>
        <v>#DIV/0!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t="e">
        <f t="shared" si="184"/>
        <v>#DIV/0!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t="e">
        <f t="shared" si="206"/>
        <v>#DIV/0!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t="e">
        <f t="shared" si="184"/>
        <v>#DIV/0!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t="e">
        <f t="shared" si="206"/>
        <v>#DIV/0!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t="e">
        <f t="shared" si="184"/>
        <v>#DIV/0!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t="e">
        <f t="shared" si="206"/>
        <v>#DIV/0!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t="e">
        <f t="shared" si="184"/>
        <v>#DIV/0!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t="e">
        <f t="shared" si="206"/>
        <v>#DIV/0!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t="e">
        <f t="shared" si="184"/>
        <v>#DIV/0!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t="e">
        <f t="shared" si="206"/>
        <v>#DIV/0!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t="e">
        <f t="shared" si="184"/>
        <v>#DIV/0!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t="e">
        <f t="shared" si="206"/>
        <v>#DIV/0!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t="e">
        <f t="shared" si="184"/>
        <v>#DIV/0!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t="e">
        <f t="shared" si="206"/>
        <v>#DIV/0!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t="e">
        <f t="shared" si="184"/>
        <v>#DIV/0!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t="e">
        <f t="shared" si="206"/>
        <v>#DIV/0!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t="e">
        <f t="shared" si="184"/>
        <v>#DIV/0!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t="e">
        <f t="shared" si="206"/>
        <v>#DIV/0!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t="e">
        <f t="shared" si="184"/>
        <v>#DIV/0!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t="e">
        <f t="shared" si="206"/>
        <v>#DIV/0!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t="e">
        <f t="shared" si="184"/>
        <v>#DIV/0!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t="e">
        <f t="shared" si="206"/>
        <v>#DIV/0!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t="e">
        <f t="shared" si="184"/>
        <v>#DIV/0!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t="e">
        <f t="shared" si="206"/>
        <v>#DIV/0!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t="e">
        <f t="shared" si="184"/>
        <v>#DIV/0!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t="e">
        <f t="shared" si="206"/>
        <v>#DIV/0!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t="e">
        <f t="shared" si="184"/>
        <v>#DIV/0!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t="e">
        <f t="shared" si="206"/>
        <v>#DIV/0!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t="e">
        <f t="shared" si="184"/>
        <v>#DIV/0!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t="e">
        <f t="shared" si="206"/>
        <v>#DIV/0!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t="e">
        <f t="shared" si="184"/>
        <v>#DIV/0!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t="e">
        <f t="shared" si="206"/>
        <v>#DIV/0!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t="e">
        <f t="shared" si="184"/>
        <v>#DIV/0!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t="e">
        <f t="shared" si="206"/>
        <v>#DIV/0!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t="e">
        <f t="shared" si="184"/>
        <v>#DIV/0!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t="e">
        <f t="shared" si="206"/>
        <v>#DIV/0!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t="e">
        <f t="shared" si="184"/>
        <v>#DIV/0!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t="e">
        <f t="shared" si="206"/>
        <v>#DIV/0!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t="e">
        <f t="shared" si="184"/>
        <v>#DIV/0!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t="e">
        <f t="shared" si="206"/>
        <v>#DIV/0!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t="e">
        <f t="shared" si="184"/>
        <v>#DIV/0!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t="e">
        <f t="shared" si="206"/>
        <v>#DIV/0!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t="e">
        <f t="shared" si="184"/>
        <v>#DIV/0!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t="e">
        <f t="shared" si="206"/>
        <v>#DIV/0!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t="e">
        <f t="shared" si="184"/>
        <v>#DIV/0!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t="e">
        <f t="shared" si="206"/>
        <v>#DIV/0!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t="e">
        <f t="shared" ref="AY364:AY395" si="213">ROUND($AY$6*AZ364/$AZ$5,2)</f>
        <v>#DIV/0!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t="e">
        <f t="shared" si="206"/>
        <v>#DIV/0!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t="e">
        <f t="shared" si="213"/>
        <v>#DIV/0!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t="e">
        <f t="shared" si="206"/>
        <v>#DIV/0!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t="e">
        <f t="shared" si="213"/>
        <v>#DIV/0!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t="e">
        <f t="shared" ref="E367:E397" si="235">IF($C$3="是",ROUND($A$3*G367/$B$3,2),ROUND($A$3*(G367-AT367)/$B$3,2))</f>
        <v>#DIV/0!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t="e">
        <f t="shared" si="213"/>
        <v>#DIV/0!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t="e">
        <f t="shared" si="235"/>
        <v>#DIV/0!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t="e">
        <f t="shared" si="213"/>
        <v>#DIV/0!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t="e">
        <f t="shared" si="235"/>
        <v>#DIV/0!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t="e">
        <f t="shared" si="213"/>
        <v>#DIV/0!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t="e">
        <f t="shared" si="235"/>
        <v>#DIV/0!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t="e">
        <f t="shared" si="213"/>
        <v>#DIV/0!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t="e">
        <f t="shared" si="235"/>
        <v>#DIV/0!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t="e">
        <f t="shared" si="213"/>
        <v>#DIV/0!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t="e">
        <f t="shared" si="235"/>
        <v>#DIV/0!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t="e">
        <f t="shared" si="213"/>
        <v>#DIV/0!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t="e">
        <f t="shared" si="235"/>
        <v>#DIV/0!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t="e">
        <f t="shared" si="213"/>
        <v>#DIV/0!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t="e">
        <f t="shared" si="235"/>
        <v>#DIV/0!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t="e">
        <f t="shared" si="213"/>
        <v>#DIV/0!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t="e">
        <f t="shared" si="235"/>
        <v>#DIV/0!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t="e">
        <f t="shared" si="213"/>
        <v>#DIV/0!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t="e">
        <f t="shared" si="235"/>
        <v>#DIV/0!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t="e">
        <f t="shared" si="213"/>
        <v>#DIV/0!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t="e">
        <f t="shared" si="235"/>
        <v>#DIV/0!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t="e">
        <f t="shared" si="213"/>
        <v>#DIV/0!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t="e">
        <f t="shared" si="235"/>
        <v>#DIV/0!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t="e">
        <f t="shared" si="213"/>
        <v>#DIV/0!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t="e">
        <f t="shared" si="235"/>
        <v>#DIV/0!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t="e">
        <f t="shared" si="213"/>
        <v>#DIV/0!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t="e">
        <f t="shared" si="235"/>
        <v>#DIV/0!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t="e">
        <f t="shared" si="213"/>
        <v>#DIV/0!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t="e">
        <f t="shared" si="235"/>
        <v>#DIV/0!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t="e">
        <f t="shared" si="213"/>
        <v>#DIV/0!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t="e">
        <f t="shared" si="235"/>
        <v>#DIV/0!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t="e">
        <f t="shared" si="213"/>
        <v>#DIV/0!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t="e">
        <f t="shared" si="235"/>
        <v>#DIV/0!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t="e">
        <f t="shared" si="213"/>
        <v>#DIV/0!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t="e">
        <f t="shared" si="235"/>
        <v>#DIV/0!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t="e">
        <f t="shared" si="213"/>
        <v>#DIV/0!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t="e">
        <f t="shared" si="235"/>
        <v>#DIV/0!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t="e">
        <f t="shared" si="213"/>
        <v>#DIV/0!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t="e">
        <f t="shared" si="235"/>
        <v>#DIV/0!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t="e">
        <f t="shared" si="213"/>
        <v>#DIV/0!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t="e">
        <f t="shared" si="235"/>
        <v>#DIV/0!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t="e">
        <f t="shared" si="213"/>
        <v>#DIV/0!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t="e">
        <f t="shared" si="235"/>
        <v>#DIV/0!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t="e">
        <f t="shared" si="213"/>
        <v>#DIV/0!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t="e">
        <f t="shared" si="235"/>
        <v>#DIV/0!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t="e">
        <f t="shared" si="213"/>
        <v>#DIV/0!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t="e">
        <f t="shared" si="235"/>
        <v>#DIV/0!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t="e">
        <f t="shared" si="213"/>
        <v>#DIV/0!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t="e">
        <f t="shared" si="235"/>
        <v>#DIV/0!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t="e">
        <f t="shared" si="213"/>
        <v>#DIV/0!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t="e">
        <f t="shared" si="235"/>
        <v>#DIV/0!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t="e">
        <f t="shared" si="213"/>
        <v>#DIV/0!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t="e">
        <f t="shared" si="235"/>
        <v>#DIV/0!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t="e">
        <f t="shared" si="213"/>
        <v>#DIV/0!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t="e">
        <f t="shared" si="235"/>
        <v>#DIV/0!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t="e">
        <f t="shared" si="213"/>
        <v>#DIV/0!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t="e">
        <f t="shared" si="235"/>
        <v>#DIV/0!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t="e">
        <f t="shared" si="213"/>
        <v>#DIV/0!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t="e">
        <f t="shared" si="235"/>
        <v>#DIV/0!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t="e">
        <f>ROUND($AY$6*AZ396/$AZ$5,2)</f>
        <v>#DIV/0!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t="e">
        <f t="shared" si="235"/>
        <v>#DIV/0!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t="e">
        <f>ROUND($AY$6*AZ397/$AZ$5,2)</f>
        <v>#DIV/0!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t="e">
        <f t="shared" ref="E398:E492" si="239">IF($C$3="是",ROUND($A$3*G398/$B$3,2),ROUND($A$3*(G398-AT398)/$B$3,2))</f>
        <v>#DIV/0!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t="e">
        <f t="shared" ref="AY398:AY489" si="246">ROUND($AY$6*AZ398/$AZ$5,2)</f>
        <v>#DIV/0!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t="e">
        <f t="shared" si="239"/>
        <v>#DIV/0!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t="e">
        <f t="shared" si="246"/>
        <v>#DIV/0!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t="e">
        <f t="shared" si="239"/>
        <v>#DIV/0!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t="e">
        <f t="shared" si="246"/>
        <v>#DIV/0!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t="e">
        <f t="shared" si="239"/>
        <v>#DIV/0!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t="e">
        <f t="shared" si="246"/>
        <v>#DIV/0!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t="e">
        <f t="shared" si="239"/>
        <v>#DIV/0!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t="e">
        <f t="shared" si="246"/>
        <v>#DIV/0!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t="e">
        <f t="shared" si="239"/>
        <v>#DIV/0!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t="e">
        <f t="shared" si="246"/>
        <v>#DIV/0!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t="e">
        <f t="shared" si="239"/>
        <v>#DIV/0!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t="e">
        <f t="shared" si="246"/>
        <v>#DIV/0!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t="e">
        <f t="shared" si="239"/>
        <v>#DIV/0!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t="e">
        <f t="shared" si="246"/>
        <v>#DIV/0!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t="e">
        <f t="shared" si="239"/>
        <v>#DIV/0!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t="e">
        <f t="shared" si="246"/>
        <v>#DIV/0!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t="e">
        <f t="shared" si="239"/>
        <v>#DIV/0!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t="e">
        <f t="shared" si="246"/>
        <v>#DIV/0!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t="e">
        <f t="shared" si="239"/>
        <v>#DIV/0!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t="e">
        <f t="shared" si="246"/>
        <v>#DIV/0!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t="e">
        <f t="shared" si="239"/>
        <v>#DIV/0!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t="e">
        <f t="shared" si="246"/>
        <v>#DIV/0!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t="e">
        <f t="shared" si="239"/>
        <v>#DIV/0!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t="e">
        <f t="shared" si="246"/>
        <v>#DIV/0!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t="e">
        <f t="shared" si="239"/>
        <v>#DIV/0!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t="e">
        <f t="shared" si="246"/>
        <v>#DIV/0!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t="e">
        <f t="shared" si="239"/>
        <v>#DIV/0!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t="e">
        <f t="shared" si="246"/>
        <v>#DIV/0!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t="e">
        <f t="shared" si="239"/>
        <v>#DIV/0!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t="e">
        <f t="shared" si="246"/>
        <v>#DIV/0!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t="e">
        <f t="shared" si="239"/>
        <v>#DIV/0!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t="e">
        <f t="shared" si="246"/>
        <v>#DIV/0!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t="e">
        <f t="shared" si="239"/>
        <v>#DIV/0!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t="e">
        <f t="shared" si="246"/>
        <v>#DIV/0!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t="e">
        <f t="shared" si="239"/>
        <v>#DIV/0!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t="e">
        <f t="shared" si="246"/>
        <v>#DIV/0!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t="e">
        <f t="shared" si="239"/>
        <v>#DIV/0!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t="e">
        <f t="shared" si="246"/>
        <v>#DIV/0!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t="e">
        <f t="shared" si="239"/>
        <v>#DIV/0!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t="e">
        <f t="shared" si="246"/>
        <v>#DIV/0!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t="e">
        <f t="shared" si="239"/>
        <v>#DIV/0!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t="e">
        <f t="shared" si="246"/>
        <v>#DIV/0!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t="e">
        <f t="shared" si="239"/>
        <v>#DIV/0!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t="e">
        <f t="shared" si="246"/>
        <v>#DIV/0!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t="e">
        <f t="shared" si="239"/>
        <v>#DIV/0!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t="e">
        <f t="shared" si="246"/>
        <v>#DIV/0!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t="e">
        <f t="shared" si="239"/>
        <v>#DIV/0!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t="e">
        <f t="shared" si="246"/>
        <v>#DIV/0!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t="e">
        <f t="shared" si="239"/>
        <v>#DIV/0!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t="e">
        <f t="shared" si="246"/>
        <v>#DIV/0!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t="e">
        <f t="shared" si="239"/>
        <v>#DIV/0!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t="e">
        <f t="shared" si="246"/>
        <v>#DIV/0!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t="e">
        <f t="shared" si="239"/>
        <v>#DIV/0!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t="e">
        <f t="shared" si="246"/>
        <v>#DIV/0!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t="e">
        <f t="shared" si="239"/>
        <v>#DIV/0!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t="e">
        <f t="shared" si="246"/>
        <v>#DIV/0!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t="e">
        <f t="shared" si="239"/>
        <v>#DIV/0!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t="e">
        <f t="shared" si="246"/>
        <v>#DIV/0!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t="e">
        <f t="shared" si="239"/>
        <v>#DIV/0!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t="e">
        <f t="shared" si="246"/>
        <v>#DIV/0!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t="e">
        <f t="shared" si="239"/>
        <v>#DIV/0!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t="e">
        <f t="shared" si="246"/>
        <v>#DIV/0!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t="e">
        <f t="shared" si="239"/>
        <v>#DIV/0!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t="e">
        <f t="shared" si="246"/>
        <v>#DIV/0!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t="e">
        <f t="shared" si="239"/>
        <v>#DIV/0!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t="e">
        <f t="shared" si="246"/>
        <v>#DIV/0!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t="e">
        <f t="shared" si="239"/>
        <v>#DIV/0!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t="e">
        <f t="shared" si="246"/>
        <v>#DIV/0!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t="e">
        <f t="shared" si="239"/>
        <v>#DIV/0!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t="e">
        <f t="shared" si="246"/>
        <v>#DIV/0!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t="e">
        <f t="shared" si="239"/>
        <v>#DIV/0!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t="e">
        <f t="shared" si="246"/>
        <v>#DIV/0!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t="e">
        <f t="shared" si="239"/>
        <v>#DIV/0!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t="e">
        <f t="shared" si="246"/>
        <v>#DIV/0!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t="e">
        <f t="shared" si="239"/>
        <v>#DIV/0!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t="e">
        <f t="shared" si="246"/>
        <v>#DIV/0!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t="e">
        <f t="shared" si="239"/>
        <v>#DIV/0!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t="e">
        <f t="shared" si="246"/>
        <v>#DIV/0!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t="e">
        <f t="shared" si="239"/>
        <v>#DIV/0!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t="e">
        <f t="shared" si="246"/>
        <v>#DIV/0!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t="e">
        <f t="shared" si="239"/>
        <v>#DIV/0!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t="e">
        <f t="shared" si="246"/>
        <v>#DIV/0!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t="e">
        <f t="shared" si="239"/>
        <v>#DIV/0!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t="e">
        <f t="shared" si="246"/>
        <v>#DIV/0!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t="e">
        <f t="shared" si="239"/>
        <v>#DIV/0!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t="e">
        <f t="shared" si="246"/>
        <v>#DIV/0!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t="e">
        <f t="shared" si="239"/>
        <v>#DIV/0!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t="e">
        <f t="shared" si="246"/>
        <v>#DIV/0!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t="e">
        <f t="shared" si="239"/>
        <v>#DIV/0!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t="e">
        <f t="shared" si="246"/>
        <v>#DIV/0!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t="e">
        <f t="shared" si="239"/>
        <v>#DIV/0!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t="e">
        <f t="shared" si="246"/>
        <v>#DIV/0!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t="e">
        <f t="shared" si="239"/>
        <v>#DIV/0!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t="e">
        <f t="shared" si="246"/>
        <v>#DIV/0!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t="e">
        <f t="shared" si="239"/>
        <v>#DIV/0!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t="e">
        <f t="shared" si="246"/>
        <v>#DIV/0!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t="e">
        <f t="shared" si="239"/>
        <v>#DIV/0!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t="e">
        <f t="shared" si="246"/>
        <v>#DIV/0!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t="e">
        <f t="shared" si="239"/>
        <v>#DIV/0!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t="e">
        <f t="shared" si="246"/>
        <v>#DIV/0!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t="e">
        <f t="shared" si="239"/>
        <v>#DIV/0!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t="e">
        <f t="shared" si="246"/>
        <v>#DIV/0!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t="e">
        <f t="shared" si="239"/>
        <v>#DIV/0!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t="e">
        <f t="shared" si="246"/>
        <v>#DIV/0!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t="e">
        <f t="shared" si="239"/>
        <v>#DIV/0!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t="e">
        <f t="shared" si="246"/>
        <v>#DIV/0!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t="e">
        <f t="shared" si="239"/>
        <v>#DIV/0!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t="e">
        <f t="shared" si="246"/>
        <v>#DIV/0!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t="e">
        <f t="shared" si="239"/>
        <v>#DIV/0!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t="e">
        <f t="shared" si="246"/>
        <v>#DIV/0!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t="e">
        <f t="shared" si="239"/>
        <v>#DIV/0!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t="e">
        <f t="shared" si="246"/>
        <v>#DIV/0!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t="e">
        <f t="shared" si="239"/>
        <v>#DIV/0!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t="e">
        <f t="shared" si="246"/>
        <v>#DIV/0!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t="e">
        <f t="shared" si="239"/>
        <v>#DIV/0!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t="e">
        <f t="shared" si="246"/>
        <v>#DIV/0!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t="e">
        <f t="shared" si="239"/>
        <v>#DIV/0!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t="e">
        <f t="shared" si="246"/>
        <v>#DIV/0!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t="e">
        <f t="shared" si="239"/>
        <v>#DIV/0!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t="e">
        <f t="shared" si="246"/>
        <v>#DIV/0!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t="e">
        <f t="shared" si="239"/>
        <v>#DIV/0!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t="e">
        <f t="shared" si="246"/>
        <v>#DIV/0!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t="e">
        <f t="shared" si="239"/>
        <v>#DIV/0!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t="e">
        <f t="shared" si="246"/>
        <v>#DIV/0!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t="e">
        <f t="shared" si="239"/>
        <v>#DIV/0!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t="e">
        <f t="shared" si="246"/>
        <v>#DIV/0!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t="e">
        <f t="shared" si="239"/>
        <v>#DIV/0!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t="e">
        <f t="shared" si="246"/>
        <v>#DIV/0!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t="e">
        <f t="shared" si="239"/>
        <v>#DIV/0!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t="e">
        <f t="shared" si="246"/>
        <v>#DIV/0!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t="e">
        <f t="shared" si="239"/>
        <v>#DIV/0!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t="e">
        <f t="shared" si="246"/>
        <v>#DIV/0!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t="e">
        <f t="shared" si="239"/>
        <v>#DIV/0!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t="e">
        <f t="shared" si="246"/>
        <v>#DIV/0!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t="e">
        <f t="shared" si="239"/>
        <v>#DIV/0!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t="e">
        <f t="shared" si="246"/>
        <v>#DIV/0!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t="e">
        <f t="shared" si="239"/>
        <v>#DIV/0!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t="e">
        <f t="shared" si="246"/>
        <v>#DIV/0!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t="e">
        <f t="shared" si="239"/>
        <v>#DIV/0!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t="e">
        <f t="shared" si="246"/>
        <v>#DIV/0!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t="e">
        <f t="shared" si="239"/>
        <v>#DIV/0!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t="e">
        <f t="shared" si="246"/>
        <v>#DIV/0!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t="e">
        <f t="shared" si="239"/>
        <v>#DIV/0!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t="e">
        <f t="shared" si="246"/>
        <v>#DIV/0!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t="e">
        <f t="shared" si="239"/>
        <v>#DIV/0!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t="e">
        <f t="shared" si="246"/>
        <v>#DIV/0!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t="e">
        <f t="shared" si="239"/>
        <v>#DIV/0!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t="e">
        <f t="shared" si="246"/>
        <v>#DIV/0!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t="e">
        <f t="shared" si="239"/>
        <v>#DIV/0!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t="e">
        <f t="shared" si="246"/>
        <v>#DIV/0!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t="e">
        <f t="shared" si="239"/>
        <v>#DIV/0!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t="e">
        <f t="shared" si="246"/>
        <v>#DIV/0!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t="e">
        <f t="shared" si="239"/>
        <v>#DIV/0!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t="e">
        <f t="shared" si="246"/>
        <v>#DIV/0!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t="e">
        <f t="shared" si="239"/>
        <v>#DIV/0!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t="e">
        <f t="shared" si="246"/>
        <v>#DIV/0!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t="e">
        <f t="shared" si="239"/>
        <v>#DIV/0!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t="e">
        <f t="shared" si="246"/>
        <v>#DIV/0!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t="e">
        <f t="shared" si="239"/>
        <v>#DIV/0!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t="e">
        <f t="shared" si="246"/>
        <v>#DIV/0!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t="e">
        <f t="shared" si="239"/>
        <v>#DIV/0!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t="e">
        <f t="shared" si="246"/>
        <v>#DIV/0!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t="e">
        <f t="shared" si="239"/>
        <v>#DIV/0!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t="e">
        <f t="shared" si="246"/>
        <v>#DIV/0!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t="e">
        <f t="shared" si="239"/>
        <v>#DIV/0!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t="e">
        <f t="shared" si="246"/>
        <v>#DIV/0!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t="e">
        <f t="shared" si="239"/>
        <v>#DIV/0!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t="e">
        <f t="shared" si="246"/>
        <v>#DIV/0!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t="e">
        <f t="shared" si="239"/>
        <v>#DIV/0!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t="e">
        <f t="shared" si="246"/>
        <v>#DIV/0!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t="e">
        <f t="shared" si="239"/>
        <v>#DIV/0!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t="e">
        <f t="shared" si="246"/>
        <v>#DIV/0!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t="e">
        <f t="shared" si="239"/>
        <v>#DIV/0!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t="e">
        <f t="shared" si="246"/>
        <v>#DIV/0!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t="e">
        <f t="shared" si="239"/>
        <v>#DIV/0!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t="e">
        <f t="shared" si="246"/>
        <v>#DIV/0!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t="e">
        <f t="shared" si="239"/>
        <v>#DIV/0!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t="e">
        <f t="shared" si="246"/>
        <v>#DIV/0!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t="e">
        <f t="shared" si="239"/>
        <v>#DIV/0!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t="e">
        <f t="shared" si="246"/>
        <v>#DIV/0!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t="e">
        <f t="shared" si="239"/>
        <v>#DIV/0!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t="e">
        <f t="shared" si="246"/>
        <v>#DIV/0!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t="e">
        <f t="shared" si="239"/>
        <v>#DIV/0!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t="e">
        <f t="shared" ref="AY490:AY521" si="271">ROUND($AY$6*AZ490/$AZ$5,2)</f>
        <v>#DIV/0!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t="e">
        <f t="shared" si="239"/>
        <v>#DIV/0!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t="e">
        <f t="shared" si="271"/>
        <v>#DIV/0!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t="e">
        <f t="shared" si="239"/>
        <v>#DIV/0!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t="e">
        <f t="shared" si="271"/>
        <v>#DIV/0!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t="e">
        <f t="shared" ref="E493:E519" si="293">IF($C$3="是",ROUND($A$3*G493/$B$3,2),ROUND($A$3*(G493-AT493)/$B$3,2))</f>
        <v>#DIV/0!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t="e">
        <f t="shared" si="271"/>
        <v>#DIV/0!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t="e">
        <f t="shared" si="293"/>
        <v>#DIV/0!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t="e">
        <f t="shared" si="271"/>
        <v>#DIV/0!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t="e">
        <f t="shared" si="293"/>
        <v>#DIV/0!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t="e">
        <f t="shared" si="271"/>
        <v>#DIV/0!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t="e">
        <f t="shared" si="293"/>
        <v>#DIV/0!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t="e">
        <f t="shared" si="271"/>
        <v>#DIV/0!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t="e">
        <f t="shared" si="293"/>
        <v>#DIV/0!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t="e">
        <f t="shared" si="271"/>
        <v>#DIV/0!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t="e">
        <f t="shared" si="293"/>
        <v>#DIV/0!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t="e">
        <f t="shared" si="271"/>
        <v>#DIV/0!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t="e">
        <f t="shared" si="293"/>
        <v>#DIV/0!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t="e">
        <f t="shared" si="271"/>
        <v>#DIV/0!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t="e">
        <f t="shared" si="293"/>
        <v>#DIV/0!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t="e">
        <f t="shared" si="271"/>
        <v>#DIV/0!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t="e">
        <f t="shared" si="293"/>
        <v>#DIV/0!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t="e">
        <f t="shared" si="271"/>
        <v>#DIV/0!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t="e">
        <f t="shared" si="293"/>
        <v>#DIV/0!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t="e">
        <f t="shared" si="271"/>
        <v>#DIV/0!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t="e">
        <f t="shared" si="293"/>
        <v>#DIV/0!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t="e">
        <f t="shared" si="271"/>
        <v>#DIV/0!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t="e">
        <f t="shared" si="293"/>
        <v>#DIV/0!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t="e">
        <f t="shared" si="271"/>
        <v>#DIV/0!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t="e">
        <f t="shared" si="293"/>
        <v>#DIV/0!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t="e">
        <f t="shared" si="271"/>
        <v>#DIV/0!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t="e">
        <f t="shared" si="293"/>
        <v>#DIV/0!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t="e">
        <f t="shared" si="271"/>
        <v>#DIV/0!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t="e">
        <f t="shared" si="293"/>
        <v>#DIV/0!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t="e">
        <f t="shared" si="271"/>
        <v>#DIV/0!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t="e">
        <f t="shared" si="293"/>
        <v>#DIV/0!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t="e">
        <f t="shared" si="271"/>
        <v>#DIV/0!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t="e">
        <f t="shared" si="293"/>
        <v>#DIV/0!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t="e">
        <f t="shared" si="271"/>
        <v>#DIV/0!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t="e">
        <f t="shared" si="293"/>
        <v>#DIV/0!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t="e">
        <f t="shared" si="271"/>
        <v>#DIV/0!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t="e">
        <f t="shared" si="293"/>
        <v>#DIV/0!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t="e">
        <f t="shared" si="271"/>
        <v>#DIV/0!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t="e">
        <f t="shared" si="293"/>
        <v>#DIV/0!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t="e">
        <f t="shared" si="271"/>
        <v>#DIV/0!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t="e">
        <f t="shared" si="293"/>
        <v>#DIV/0!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t="e">
        <f t="shared" si="271"/>
        <v>#DIV/0!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t="e">
        <f t="shared" si="293"/>
        <v>#DIV/0!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t="e">
        <f t="shared" si="271"/>
        <v>#DIV/0!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t="e">
        <f t="shared" si="293"/>
        <v>#DIV/0!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t="e">
        <f t="shared" si="271"/>
        <v>#DIV/0!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t="e">
        <f t="shared" si="293"/>
        <v>#DIV/0!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t="e">
        <f t="shared" si="271"/>
        <v>#DIV/0!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t="e">
        <f t="shared" si="293"/>
        <v>#DIV/0!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t="e">
        <f t="shared" si="271"/>
        <v>#DIV/0!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t="e">
        <f t="shared" si="293"/>
        <v>#DIV/0!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t="e">
        <f t="shared" si="271"/>
        <v>#DIV/0!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t="e">
        <f t="shared" si="293"/>
        <v>#DIV/0!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t="e">
        <f t="shared" si="271"/>
        <v>#DIV/0!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t="e">
        <f t="shared" ref="E520:E551" si="297">IF($C$3="是",ROUND($A$3*G520/$B$3,2),ROUND($A$3*(G520-AT520)/$B$3,2))</f>
        <v>#DIV/0!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t="e">
        <f t="shared" si="271"/>
        <v>#DIV/0!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t="e">
        <f t="shared" si="297"/>
        <v>#DIV/0!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t="e">
        <f t="shared" si="271"/>
        <v>#DIV/0!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t="e">
        <f t="shared" si="297"/>
        <v>#DIV/0!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t="e">
        <f t="shared" ref="AY522:AY552" si="304">ROUND($AY$6*AZ522/$AZ$5,2)</f>
        <v>#DIV/0!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t="e">
        <f t="shared" si="297"/>
        <v>#DIV/0!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t="e">
        <f t="shared" si="304"/>
        <v>#DIV/0!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t="e">
        <f t="shared" si="297"/>
        <v>#DIV/0!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t="e">
        <f t="shared" si="304"/>
        <v>#DIV/0!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t="e">
        <f t="shared" si="297"/>
        <v>#DIV/0!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t="e">
        <f t="shared" si="304"/>
        <v>#DIV/0!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t="e">
        <f t="shared" si="297"/>
        <v>#DIV/0!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t="e">
        <f t="shared" si="304"/>
        <v>#DIV/0!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t="e">
        <f t="shared" si="297"/>
        <v>#DIV/0!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t="e">
        <f t="shared" si="304"/>
        <v>#DIV/0!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t="e">
        <f t="shared" si="297"/>
        <v>#DIV/0!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t="e">
        <f t="shared" si="304"/>
        <v>#DIV/0!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t="e">
        <f t="shared" si="297"/>
        <v>#DIV/0!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t="e">
        <f t="shared" si="304"/>
        <v>#DIV/0!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t="e">
        <f t="shared" si="297"/>
        <v>#DIV/0!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t="e">
        <f t="shared" si="304"/>
        <v>#DIV/0!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t="e">
        <f t="shared" si="297"/>
        <v>#DIV/0!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t="e">
        <f t="shared" si="304"/>
        <v>#DIV/0!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t="e">
        <f t="shared" si="297"/>
        <v>#DIV/0!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t="e">
        <f t="shared" si="304"/>
        <v>#DIV/0!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t="e">
        <f t="shared" si="297"/>
        <v>#DIV/0!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t="e">
        <f t="shared" si="304"/>
        <v>#DIV/0!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t="e">
        <f t="shared" si="297"/>
        <v>#DIV/0!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t="e">
        <f t="shared" si="304"/>
        <v>#DIV/0!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t="e">
        <f t="shared" si="297"/>
        <v>#DIV/0!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t="e">
        <f t="shared" si="304"/>
        <v>#DIV/0!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t="e">
        <f t="shared" si="297"/>
        <v>#DIV/0!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t="e">
        <f t="shared" si="304"/>
        <v>#DIV/0!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t="e">
        <f t="shared" si="297"/>
        <v>#DIV/0!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t="e">
        <f t="shared" si="304"/>
        <v>#DIV/0!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t="e">
        <f t="shared" si="297"/>
        <v>#DIV/0!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t="e">
        <f t="shared" si="304"/>
        <v>#DIV/0!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t="e">
        <f t="shared" si="297"/>
        <v>#DIV/0!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t="e">
        <f t="shared" si="304"/>
        <v>#DIV/0!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t="e">
        <f t="shared" si="297"/>
        <v>#DIV/0!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t="e">
        <f t="shared" si="304"/>
        <v>#DIV/0!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t="e">
        <f t="shared" si="297"/>
        <v>#DIV/0!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t="e">
        <f t="shared" si="304"/>
        <v>#DIV/0!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t="e">
        <f t="shared" si="297"/>
        <v>#DIV/0!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t="e">
        <f t="shared" si="304"/>
        <v>#DIV/0!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t="e">
        <f t="shared" si="297"/>
        <v>#DIV/0!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t="e">
        <f t="shared" si="304"/>
        <v>#DIV/0!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t="e">
        <f t="shared" si="297"/>
        <v>#DIV/0!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t="e">
        <f t="shared" si="304"/>
        <v>#DIV/0!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t="e">
        <f t="shared" si="297"/>
        <v>#DIV/0!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t="e">
        <f t="shared" si="304"/>
        <v>#DIV/0!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t="e">
        <f t="shared" si="297"/>
        <v>#DIV/0!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t="e">
        <f t="shared" si="304"/>
        <v>#DIV/0!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t="e">
        <f t="shared" si="297"/>
        <v>#DIV/0!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t="e">
        <f t="shared" si="304"/>
        <v>#DIV/0!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t="e">
        <f t="shared" si="297"/>
        <v>#DIV/0!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t="e">
        <f t="shared" si="304"/>
        <v>#DIV/0!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t="e">
        <f t="shared" si="297"/>
        <v>#DIV/0!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t="e">
        <f t="shared" si="304"/>
        <v>#DIV/0!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t="e">
        <f t="shared" si="297"/>
        <v>#DIV/0!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t="e">
        <f t="shared" si="304"/>
        <v>#DIV/0!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t="e">
        <f t="shared" si="297"/>
        <v>#DIV/0!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t="e">
        <f t="shared" si="304"/>
        <v>#DIV/0!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t="e">
        <f t="shared" ref="E552:E587" si="326">IF($C$3="是",ROUND($A$3*G552/$B$3,2),ROUND($A$3*(G552-AT552)/$B$3,2))</f>
        <v>#DIV/0!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t="e">
        <f t="shared" si="304"/>
        <v>#DIV/0!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t="e">
        <f t="shared" si="326"/>
        <v>#DIV/0!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t="e">
        <f t="shared" ref="AY553:AY584" si="333">ROUND($AY$6*AZ553/$AZ$5,2)</f>
        <v>#DIV/0!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t="e">
        <f t="shared" si="326"/>
        <v>#DIV/0!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t="e">
        <f t="shared" si="333"/>
        <v>#DIV/0!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t="e">
        <f t="shared" si="326"/>
        <v>#DIV/0!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t="e">
        <f t="shared" si="333"/>
        <v>#DIV/0!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t="e">
        <f t="shared" si="326"/>
        <v>#DIV/0!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t="e">
        <f t="shared" si="333"/>
        <v>#DIV/0!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t="e">
        <f t="shared" si="326"/>
        <v>#DIV/0!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t="e">
        <f t="shared" si="333"/>
        <v>#DIV/0!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t="e">
        <f t="shared" si="326"/>
        <v>#DIV/0!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t="e">
        <f t="shared" si="333"/>
        <v>#DIV/0!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t="e">
        <f t="shared" si="326"/>
        <v>#DIV/0!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t="e">
        <f t="shared" si="333"/>
        <v>#DIV/0!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t="e">
        <f t="shared" si="326"/>
        <v>#DIV/0!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t="e">
        <f t="shared" si="333"/>
        <v>#DIV/0!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t="e">
        <f t="shared" si="326"/>
        <v>#DIV/0!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t="e">
        <f t="shared" si="333"/>
        <v>#DIV/0!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t="e">
        <f t="shared" si="326"/>
        <v>#DIV/0!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t="e">
        <f t="shared" si="333"/>
        <v>#DIV/0!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t="e">
        <f t="shared" si="326"/>
        <v>#DIV/0!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t="e">
        <f t="shared" si="333"/>
        <v>#DIV/0!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t="e">
        <f t="shared" si="326"/>
        <v>#DIV/0!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t="e">
        <f t="shared" si="333"/>
        <v>#DIV/0!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t="e">
        <f t="shared" si="326"/>
        <v>#DIV/0!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t="e">
        <f t="shared" si="333"/>
        <v>#DIV/0!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t="e">
        <f t="shared" si="326"/>
        <v>#DIV/0!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t="e">
        <f t="shared" si="333"/>
        <v>#DIV/0!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t="e">
        <f t="shared" si="326"/>
        <v>#DIV/0!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t="e">
        <f t="shared" si="333"/>
        <v>#DIV/0!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t="e">
        <f t="shared" si="326"/>
        <v>#DIV/0!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t="e">
        <f t="shared" si="333"/>
        <v>#DIV/0!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t="e">
        <f t="shared" si="326"/>
        <v>#DIV/0!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t="e">
        <f t="shared" si="333"/>
        <v>#DIV/0!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t="e">
        <f t="shared" si="326"/>
        <v>#DIV/0!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t="e">
        <f t="shared" si="333"/>
        <v>#DIV/0!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t="e">
        <f t="shared" si="326"/>
        <v>#DIV/0!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t="e">
        <f t="shared" si="333"/>
        <v>#DIV/0!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t="e">
        <f t="shared" si="326"/>
        <v>#DIV/0!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t="e">
        <f t="shared" si="333"/>
        <v>#DIV/0!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t="e">
        <f t="shared" si="326"/>
        <v>#DIV/0!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t="e">
        <f t="shared" si="333"/>
        <v>#DIV/0!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t="e">
        <f t="shared" si="326"/>
        <v>#DIV/0!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t="e">
        <f t="shared" si="333"/>
        <v>#DIV/0!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t="e">
        <f t="shared" si="326"/>
        <v>#DIV/0!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t="e">
        <f t="shared" si="333"/>
        <v>#DIV/0!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t="e">
        <f t="shared" si="326"/>
        <v>#DIV/0!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t="e">
        <f t="shared" si="333"/>
        <v>#DIV/0!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t="e">
        <f t="shared" si="326"/>
        <v>#DIV/0!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t="e">
        <f t="shared" si="333"/>
        <v>#DIV/0!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t="e">
        <f t="shared" si="326"/>
        <v>#DIV/0!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t="e">
        <f t="shared" si="333"/>
        <v>#DIV/0!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t="e">
        <f t="shared" si="326"/>
        <v>#DIV/0!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t="e">
        <f t="shared" si="333"/>
        <v>#DIV/0!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t="e">
        <f t="shared" si="326"/>
        <v>#DIV/0!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t="e">
        <f t="shared" si="333"/>
        <v>#DIV/0!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t="e">
        <f t="shared" si="326"/>
        <v>#DIV/0!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t="e">
        <f t="shared" si="333"/>
        <v>#DIV/0!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t="e">
        <f t="shared" si="326"/>
        <v>#DIV/0!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t="e">
        <f t="shared" si="333"/>
        <v>#DIV/0!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t="e">
        <f t="shared" si="326"/>
        <v>#DIV/0!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t="e">
        <f t="shared" si="333"/>
        <v>#DIV/0!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t="e">
        <f t="shared" si="326"/>
        <v>#DIV/0!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t="e">
        <f t="shared" si="333"/>
        <v>#DIV/0!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t="e">
        <f t="shared" si="326"/>
        <v>#DIV/0!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t="e">
        <f>ROUND($AY$6*AZ585/$AZ$5,2)</f>
        <v>#DIV/0!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t="e">
        <f t="shared" si="326"/>
        <v>#DIV/0!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t="e">
        <f>ROUND($AY$6*AZ586/$AZ$5,2)</f>
        <v>#DIV/0!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t="e">
        <f t="shared" si="326"/>
        <v>#DIV/0!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t="e">
        <f>ROUND($AY$6*AZ587/$AZ$5,2)</f>
        <v>#DIV/0!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8" t="s">
        <v>0</v>
      </c>
      <c r="B1" s="3318" t="s">
        <v>4</v>
      </c>
      <c r="C1" s="3318" t="s">
        <v>5</v>
      </c>
      <c r="D1" s="3319" t="s">
        <v>53</v>
      </c>
      <c r="E1" s="3319" t="s">
        <v>54</v>
      </c>
      <c r="F1" s="3319"/>
      <c r="G1" s="3319"/>
      <c r="H1" s="3319"/>
      <c r="I1" s="3319"/>
      <c r="J1" s="3319"/>
      <c r="K1" s="3319"/>
      <c r="L1" s="3319"/>
      <c r="M1" s="3319"/>
    </row>
    <row r="2" spans="1:13" ht="27" customHeight="1">
      <c r="A2" s="3318"/>
      <c r="B2" s="3318"/>
      <c r="C2" s="3318"/>
      <c r="D2" s="3319"/>
      <c r="E2" s="3319" t="s">
        <v>37</v>
      </c>
      <c r="F2" s="3319" t="s">
        <v>38</v>
      </c>
      <c r="G2" s="3319"/>
      <c r="H2" s="3319"/>
      <c r="I2" s="3319"/>
      <c r="J2" s="3319" t="s">
        <v>39</v>
      </c>
      <c r="K2" s="3319"/>
      <c r="L2" s="3319"/>
      <c r="M2" s="3319"/>
    </row>
    <row r="3" spans="1:13" ht="28.5">
      <c r="A3" s="3318"/>
      <c r="B3" s="3318"/>
      <c r="C3" s="3318"/>
      <c r="D3" s="3319"/>
      <c r="E3" s="331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9" t="s">
        <v>55</v>
      </c>
      <c r="B9" s="3319"/>
      <c r="C9" s="331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51"/>
  <sheetViews>
    <sheetView topLeftCell="G1" workbookViewId="0">
      <selection activeCell="R5" sqref="R5"/>
    </sheetView>
  </sheetViews>
  <sheetFormatPr defaultRowHeight="13.5"/>
  <cols>
    <col min="5" max="5" width="12.625" customWidth="1"/>
    <col min="6" max="6" width="12.375" customWidth="1"/>
    <col min="7" max="7" width="16.125" customWidth="1"/>
    <col min="11" max="11" width="17.125" customWidth="1"/>
    <col min="12" max="12" width="23.875" customWidth="1"/>
    <col min="13" max="13" width="14.5" customWidth="1"/>
    <col min="16" max="16" width="12.25" customWidth="1"/>
    <col min="19" max="19" width="13.125" customWidth="1"/>
  </cols>
  <sheetData>
    <row r="1" spans="1:19" ht="25.5">
      <c r="A1" s="3330" t="s">
        <v>3131</v>
      </c>
      <c r="B1" s="3330"/>
      <c r="C1" s="3330"/>
      <c r="D1" s="3330"/>
      <c r="E1" s="3330"/>
      <c r="F1" s="3330"/>
      <c r="G1" s="3330"/>
      <c r="H1" s="3207"/>
    </row>
    <row r="2" spans="1:19" ht="18.75">
      <c r="A2" s="3208" t="s">
        <v>3132</v>
      </c>
      <c r="B2" s="3208" t="s">
        <v>3133</v>
      </c>
      <c r="C2" s="3209" t="s">
        <v>3134</v>
      </c>
      <c r="D2" s="3208" t="s">
        <v>3135</v>
      </c>
      <c r="E2" s="3208" t="s">
        <v>3136</v>
      </c>
      <c r="F2" s="3208" t="s">
        <v>1281</v>
      </c>
      <c r="G2" s="3208" t="s">
        <v>3137</v>
      </c>
      <c r="H2" s="3208" t="s">
        <v>3138</v>
      </c>
      <c r="K2" s="3333" t="s">
        <v>3184</v>
      </c>
      <c r="L2" s="3333"/>
      <c r="O2" s="3229" t="s">
        <v>3257</v>
      </c>
      <c r="P2" s="3229" t="s">
        <v>3263</v>
      </c>
    </row>
    <row r="3" spans="1:19" ht="18.75">
      <c r="A3" s="3209">
        <v>1</v>
      </c>
      <c r="B3" s="3331" t="s">
        <v>3139</v>
      </c>
      <c r="C3" s="3209" t="s">
        <v>3140</v>
      </c>
      <c r="D3" s="3209" t="s">
        <v>3141</v>
      </c>
      <c r="E3" s="3209">
        <v>18.22</v>
      </c>
      <c r="F3" s="3209" t="s">
        <v>3142</v>
      </c>
      <c r="G3" s="3209" t="s">
        <v>3143</v>
      </c>
      <c r="H3" s="3209"/>
      <c r="K3" s="3211" t="s">
        <v>3185</v>
      </c>
      <c r="L3" s="3212" t="s">
        <v>3186</v>
      </c>
      <c r="O3" s="3229" t="s">
        <v>3258</v>
      </c>
      <c r="P3" s="3230">
        <f>L4</f>
        <v>2620.42</v>
      </c>
      <c r="Q3">
        <v>0.65</v>
      </c>
      <c r="R3">
        <f>R4*Q3</f>
        <v>20800</v>
      </c>
      <c r="S3">
        <f>R3*P3</f>
        <v>54504736</v>
      </c>
    </row>
    <row r="4" spans="1:19" ht="18.75">
      <c r="A4" s="3209">
        <v>2</v>
      </c>
      <c r="B4" s="3331"/>
      <c r="C4" s="3209" t="s">
        <v>3140</v>
      </c>
      <c r="D4" s="3209" t="s">
        <v>3144</v>
      </c>
      <c r="E4" s="3209">
        <v>52.31</v>
      </c>
      <c r="F4" s="3209" t="s">
        <v>3142</v>
      </c>
      <c r="G4" s="3209" t="s">
        <v>3145</v>
      </c>
      <c r="H4" s="3209"/>
      <c r="K4" s="3213" t="s">
        <v>3187</v>
      </c>
      <c r="L4" s="3214">
        <v>2620.42</v>
      </c>
      <c r="O4" s="3229" t="s">
        <v>3259</v>
      </c>
      <c r="P4" s="3230">
        <f>SUM(E3:E13)+(L5-L17)+SUM(F27:F31)</f>
        <v>7737.2999999999993</v>
      </c>
      <c r="Q4">
        <v>1</v>
      </c>
      <c r="R4">
        <v>32000</v>
      </c>
      <c r="S4">
        <f t="shared" ref="S4:S11" si="0">R4*P4</f>
        <v>247593599.99999997</v>
      </c>
    </row>
    <row r="5" spans="1:19" ht="18.75">
      <c r="A5" s="3209">
        <v>3</v>
      </c>
      <c r="B5" s="3331"/>
      <c r="C5" s="3209" t="s">
        <v>3140</v>
      </c>
      <c r="D5" s="3209" t="s">
        <v>3146</v>
      </c>
      <c r="E5" s="3209">
        <v>37.44</v>
      </c>
      <c r="F5" s="3209" t="s">
        <v>3142</v>
      </c>
      <c r="G5" s="3209" t="s">
        <v>3147</v>
      </c>
      <c r="H5" s="3209"/>
      <c r="K5" s="3213" t="s">
        <v>3188</v>
      </c>
      <c r="L5" s="3215">
        <v>7118.62</v>
      </c>
      <c r="O5" s="3229" t="s">
        <v>3260</v>
      </c>
      <c r="P5" s="3230">
        <f>E14+L6+SUM(P27:P28)</f>
        <v>7653.66</v>
      </c>
      <c r="Q5">
        <v>0.7</v>
      </c>
      <c r="R5">
        <f>R4*Q5</f>
        <v>22400</v>
      </c>
      <c r="S5">
        <f t="shared" si="0"/>
        <v>171441984</v>
      </c>
    </row>
    <row r="6" spans="1:19" ht="18.75">
      <c r="A6" s="3209">
        <v>4</v>
      </c>
      <c r="B6" s="3331"/>
      <c r="C6" s="3209" t="s">
        <v>3140</v>
      </c>
      <c r="D6" s="3209" t="s">
        <v>3148</v>
      </c>
      <c r="E6" s="3209">
        <v>13.58</v>
      </c>
      <c r="F6" s="3209" t="s">
        <v>3142</v>
      </c>
      <c r="G6" s="3209" t="s">
        <v>3149</v>
      </c>
      <c r="H6" s="3209"/>
      <c r="K6" s="3213" t="s">
        <v>3189</v>
      </c>
      <c r="L6" s="3214">
        <v>683.58</v>
      </c>
      <c r="O6" s="3229" t="s">
        <v>3261</v>
      </c>
      <c r="P6" s="3230">
        <f>SUM(E15:E16)+L7+F32+SUM(P29:P30)</f>
        <v>18475.21</v>
      </c>
      <c r="Q6">
        <v>0.6</v>
      </c>
      <c r="R6">
        <f>R4*Q6</f>
        <v>19200</v>
      </c>
      <c r="S6">
        <f t="shared" si="0"/>
        <v>354724032</v>
      </c>
    </row>
    <row r="7" spans="1:19" ht="18.75">
      <c r="A7" s="3209">
        <v>5</v>
      </c>
      <c r="B7" s="3331"/>
      <c r="C7" s="3209" t="s">
        <v>3140</v>
      </c>
      <c r="D7" s="3209" t="s">
        <v>3150</v>
      </c>
      <c r="E7" s="3209">
        <v>100.41</v>
      </c>
      <c r="F7" s="3209" t="s">
        <v>3142</v>
      </c>
      <c r="G7" s="3209" t="s">
        <v>3151</v>
      </c>
      <c r="H7" s="3209"/>
      <c r="K7" s="3213" t="s">
        <v>3190</v>
      </c>
      <c r="L7" s="3214">
        <v>1755.84</v>
      </c>
      <c r="O7" s="3229" t="s">
        <v>3262</v>
      </c>
      <c r="P7" s="3230">
        <f>SUM(E17:E18)+L8+SUM(P31:P32)</f>
        <v>14202.43</v>
      </c>
      <c r="Q7">
        <v>0.55000000000000004</v>
      </c>
      <c r="R7">
        <f>R4*Q7</f>
        <v>17600</v>
      </c>
      <c r="S7">
        <f t="shared" si="0"/>
        <v>249962768</v>
      </c>
    </row>
    <row r="8" spans="1:19" ht="18.75">
      <c r="A8" s="3209">
        <v>6</v>
      </c>
      <c r="B8" s="3331"/>
      <c r="C8" s="3209" t="s">
        <v>3140</v>
      </c>
      <c r="D8" s="3209" t="s">
        <v>3152</v>
      </c>
      <c r="E8" s="3209">
        <v>107.88</v>
      </c>
      <c r="F8" s="3209" t="s">
        <v>3142</v>
      </c>
      <c r="G8" s="3209" t="s">
        <v>3153</v>
      </c>
      <c r="H8" s="3209"/>
      <c r="K8" s="3213" t="s">
        <v>3191</v>
      </c>
      <c r="L8" s="3214">
        <v>2145.33</v>
      </c>
      <c r="O8" s="3229" t="s">
        <v>3264</v>
      </c>
      <c r="P8">
        <f>SUM(E19:E20)</f>
        <v>5095.92</v>
      </c>
      <c r="Q8">
        <v>0.55000000000000004</v>
      </c>
      <c r="R8">
        <f>R4*Q8</f>
        <v>17600</v>
      </c>
      <c r="S8">
        <f t="shared" si="0"/>
        <v>89688192</v>
      </c>
    </row>
    <row r="9" spans="1:19" ht="18.75">
      <c r="A9" s="3209">
        <v>7</v>
      </c>
      <c r="B9" s="3331"/>
      <c r="C9" s="3209" t="s">
        <v>3140</v>
      </c>
      <c r="D9" s="3209" t="s">
        <v>3154</v>
      </c>
      <c r="E9" s="3209">
        <v>72.78</v>
      </c>
      <c r="F9" s="3209" t="s">
        <v>3142</v>
      </c>
      <c r="G9" s="3209" t="s">
        <v>3155</v>
      </c>
      <c r="H9" s="3209"/>
      <c r="K9" s="3216" t="s">
        <v>40</v>
      </c>
      <c r="L9" s="3212">
        <f>SUM(L4:L8)</f>
        <v>14323.79</v>
      </c>
      <c r="O9" s="3231" t="str">
        <f>M10</f>
        <v>1至4层</v>
      </c>
      <c r="P9" s="3230">
        <f>L10+L11</f>
        <v>28761.129999999997</v>
      </c>
      <c r="Q9">
        <v>0.7</v>
      </c>
      <c r="R9">
        <f>R4*Q9</f>
        <v>22400</v>
      </c>
      <c r="S9">
        <f t="shared" si="0"/>
        <v>644249312</v>
      </c>
    </row>
    <row r="10" spans="1:19" ht="18.75">
      <c r="A10" s="3209">
        <v>8</v>
      </c>
      <c r="B10" s="3331"/>
      <c r="C10" s="3209" t="s">
        <v>3140</v>
      </c>
      <c r="D10" s="3209" t="s">
        <v>3156</v>
      </c>
      <c r="E10" s="3209">
        <v>132.24</v>
      </c>
      <c r="F10" s="3209" t="s">
        <v>3142</v>
      </c>
      <c r="G10" s="3209" t="s">
        <v>3157</v>
      </c>
      <c r="H10" s="3209"/>
      <c r="K10" s="3217" t="s">
        <v>3192</v>
      </c>
      <c r="L10" s="3218">
        <v>12142.69</v>
      </c>
      <c r="M10" s="3232" t="s">
        <v>3265</v>
      </c>
      <c r="O10" s="3231" t="str">
        <f>M12</f>
        <v>1至3层</v>
      </c>
      <c r="P10" s="3230">
        <f>L12</f>
        <v>27338.57</v>
      </c>
      <c r="Q10">
        <v>0.75</v>
      </c>
      <c r="R10">
        <f>R4*Q10</f>
        <v>24000</v>
      </c>
      <c r="S10">
        <f t="shared" si="0"/>
        <v>656125680</v>
      </c>
    </row>
    <row r="11" spans="1:19" ht="18.75">
      <c r="A11" s="3209">
        <v>9</v>
      </c>
      <c r="B11" s="3331"/>
      <c r="C11" s="3209" t="s">
        <v>3140</v>
      </c>
      <c r="D11" s="3209" t="s">
        <v>3158</v>
      </c>
      <c r="E11" s="3209">
        <v>92.03</v>
      </c>
      <c r="F11" s="3209" t="s">
        <v>3142</v>
      </c>
      <c r="G11" s="3209" t="s">
        <v>3159</v>
      </c>
      <c r="H11" s="3209"/>
      <c r="K11" s="3217" t="s">
        <v>3193</v>
      </c>
      <c r="L11" s="3218">
        <v>16618.439999999999</v>
      </c>
      <c r="M11" s="3232" t="s">
        <v>3265</v>
      </c>
      <c r="O11" s="3231" t="str">
        <f>M13</f>
        <v>3至4层</v>
      </c>
      <c r="P11" s="3230">
        <f>L13+L14</f>
        <v>23086.21</v>
      </c>
      <c r="Q11">
        <v>0.57999999999999996</v>
      </c>
      <c r="R11">
        <f>R4*Q11</f>
        <v>18560</v>
      </c>
      <c r="S11">
        <f t="shared" si="0"/>
        <v>428480057.59999996</v>
      </c>
    </row>
    <row r="12" spans="1:19" ht="18.75">
      <c r="A12" s="3209">
        <v>10</v>
      </c>
      <c r="B12" s="3331"/>
      <c r="C12" s="3209" t="s">
        <v>3140</v>
      </c>
      <c r="D12" s="3209" t="s">
        <v>3160</v>
      </c>
      <c r="E12" s="3209">
        <v>175.34</v>
      </c>
      <c r="F12" s="3209" t="s">
        <v>3142</v>
      </c>
      <c r="G12" s="3209" t="s">
        <v>3161</v>
      </c>
      <c r="H12" s="3209"/>
      <c r="K12" s="3217" t="s">
        <v>3194</v>
      </c>
      <c r="L12" s="3218">
        <v>27338.57</v>
      </c>
      <c r="M12" s="3232" t="s">
        <v>3266</v>
      </c>
      <c r="P12" s="3230">
        <f>SUM(P3:P11)</f>
        <v>134970.84999999998</v>
      </c>
      <c r="R12">
        <f>S12/P12</f>
        <v>21462.192477857257</v>
      </c>
      <c r="S12">
        <f>SUM(S3:S11)</f>
        <v>2896770361.5999999</v>
      </c>
    </row>
    <row r="13" spans="1:19" ht="18.75">
      <c r="A13" s="3209">
        <v>11</v>
      </c>
      <c r="B13" s="3331"/>
      <c r="C13" s="3209" t="s">
        <v>3140</v>
      </c>
      <c r="D13" s="3209" t="s">
        <v>3162</v>
      </c>
      <c r="E13" s="3209">
        <v>76.3</v>
      </c>
      <c r="F13" s="3209" t="s">
        <v>3142</v>
      </c>
      <c r="G13" s="3209" t="s">
        <v>3163</v>
      </c>
      <c r="H13" s="3209"/>
      <c r="K13" s="3217" t="s">
        <v>3195</v>
      </c>
      <c r="L13" s="3218">
        <v>9542.7099999999991</v>
      </c>
      <c r="M13" s="3232" t="s">
        <v>3267</v>
      </c>
      <c r="P13" s="3230"/>
    </row>
    <row r="14" spans="1:19" ht="18.75">
      <c r="A14" s="3209">
        <v>12</v>
      </c>
      <c r="B14" s="3331"/>
      <c r="C14" s="3209" t="s">
        <v>3164</v>
      </c>
      <c r="D14" s="3209" t="s">
        <v>3165</v>
      </c>
      <c r="E14" s="3209">
        <v>2440.2399999999998</v>
      </c>
      <c r="F14" s="3209" t="s">
        <v>3166</v>
      </c>
      <c r="G14" s="3209" t="s">
        <v>3167</v>
      </c>
      <c r="H14" s="3209"/>
      <c r="K14" s="3217" t="s">
        <v>3196</v>
      </c>
      <c r="L14" s="3218">
        <v>13543.5</v>
      </c>
      <c r="M14" s="3232" t="s">
        <v>3267</v>
      </c>
      <c r="P14" s="3230"/>
    </row>
    <row r="15" spans="1:19" ht="18.75">
      <c r="A15" s="3209">
        <v>13</v>
      </c>
      <c r="B15" s="3331"/>
      <c r="C15" s="3209" t="s">
        <v>3168</v>
      </c>
      <c r="D15" s="3209" t="s">
        <v>3169</v>
      </c>
      <c r="E15" s="3209">
        <v>2621.36</v>
      </c>
      <c r="F15" s="3209" t="s">
        <v>3166</v>
      </c>
      <c r="G15" s="3209" t="s">
        <v>3170</v>
      </c>
      <c r="H15" s="3209"/>
      <c r="K15" s="3216" t="s">
        <v>40</v>
      </c>
      <c r="L15" s="3212">
        <f>SUM(L10:L14)</f>
        <v>79185.91</v>
      </c>
    </row>
    <row r="16" spans="1:19" ht="18.75">
      <c r="A16" s="3209">
        <v>14</v>
      </c>
      <c r="B16" s="3331"/>
      <c r="C16" s="3209" t="s">
        <v>3168</v>
      </c>
      <c r="D16" s="3209" t="s">
        <v>3171</v>
      </c>
      <c r="E16" s="3209">
        <v>2768.83</v>
      </c>
      <c r="F16" s="3209" t="s">
        <v>3166</v>
      </c>
      <c r="G16" s="3209" t="s">
        <v>3172</v>
      </c>
      <c r="H16" s="3209"/>
      <c r="K16" s="3216" t="s">
        <v>37</v>
      </c>
      <c r="L16" s="3212">
        <f>L9+L15</f>
        <v>93509.700000000012</v>
      </c>
    </row>
    <row r="17" spans="1:19" ht="18.75">
      <c r="A17" s="3209">
        <v>15</v>
      </c>
      <c r="B17" s="3331"/>
      <c r="C17" s="3209" t="s">
        <v>3173</v>
      </c>
      <c r="D17" s="3209" t="s">
        <v>3174</v>
      </c>
      <c r="E17" s="3209">
        <v>2468.73</v>
      </c>
      <c r="F17" s="3209" t="s">
        <v>3166</v>
      </c>
      <c r="G17" s="3209" t="s">
        <v>3175</v>
      </c>
      <c r="H17" s="3209"/>
      <c r="K17" s="3216" t="s">
        <v>3197</v>
      </c>
      <c r="L17" s="3212">
        <v>534.63</v>
      </c>
    </row>
    <row r="18" spans="1:19" ht="18.75">
      <c r="A18" s="3209">
        <v>16</v>
      </c>
      <c r="B18" s="3331"/>
      <c r="C18" s="3209" t="s">
        <v>3173</v>
      </c>
      <c r="D18" s="3209" t="s">
        <v>3176</v>
      </c>
      <c r="E18" s="3209">
        <v>2581.94</v>
      </c>
      <c r="F18" s="3209" t="s">
        <v>3166</v>
      </c>
      <c r="G18" s="3209" t="s">
        <v>3177</v>
      </c>
      <c r="H18" s="3209"/>
      <c r="K18" s="3216" t="s">
        <v>3198</v>
      </c>
      <c r="L18" s="3212">
        <f>L16-L17</f>
        <v>92975.07</v>
      </c>
    </row>
    <row r="19" spans="1:19" ht="14.25">
      <c r="A19" s="3209">
        <v>17</v>
      </c>
      <c r="B19" s="3331"/>
      <c r="C19" s="3209" t="s">
        <v>3178</v>
      </c>
      <c r="D19" s="3209" t="s">
        <v>3179</v>
      </c>
      <c r="E19" s="3209">
        <v>2489.27</v>
      </c>
      <c r="F19" s="3209" t="s">
        <v>3166</v>
      </c>
      <c r="G19" s="3209" t="s">
        <v>3180</v>
      </c>
      <c r="H19" s="3209"/>
    </row>
    <row r="20" spans="1:19" ht="14.25">
      <c r="A20" s="3209">
        <v>18</v>
      </c>
      <c r="B20" s="3332"/>
      <c r="C20" s="3209" t="s">
        <v>3178</v>
      </c>
      <c r="D20" s="3209" t="s">
        <v>3181</v>
      </c>
      <c r="E20" s="3209">
        <v>2606.65</v>
      </c>
      <c r="F20" s="3209" t="s">
        <v>3166</v>
      </c>
      <c r="G20" s="3209" t="s">
        <v>3182</v>
      </c>
      <c r="H20" s="3209"/>
    </row>
    <row r="21" spans="1:19" ht="14.25">
      <c r="A21" s="3209"/>
      <c r="B21" s="3329" t="s">
        <v>3183</v>
      </c>
      <c r="C21" s="3329"/>
      <c r="D21" s="3210"/>
      <c r="E21" s="3210">
        <f>SUM(E3:E20)</f>
        <v>18855.55</v>
      </c>
      <c r="F21" s="3210"/>
      <c r="G21" s="3210"/>
      <c r="H21" s="3209"/>
    </row>
    <row r="25" spans="1:19" ht="25.5">
      <c r="A25" s="3324" t="s">
        <v>3199</v>
      </c>
      <c r="B25" s="3324"/>
      <c r="C25" s="3324"/>
      <c r="D25" s="3324"/>
      <c r="E25" s="3324"/>
      <c r="F25" s="3324"/>
      <c r="G25" s="3324"/>
      <c r="H25" s="3324"/>
      <c r="I25" s="3219"/>
      <c r="K25" s="3320" t="s">
        <v>3245</v>
      </c>
      <c r="L25" s="3320"/>
      <c r="M25" s="3320"/>
      <c r="N25" s="3320"/>
      <c r="O25" s="3320"/>
      <c r="P25" s="3320"/>
      <c r="Q25" s="3320"/>
      <c r="R25" s="3320"/>
      <c r="S25" s="3223"/>
    </row>
    <row r="26" spans="1:19" ht="14.25">
      <c r="A26" s="3209" t="s">
        <v>3200</v>
      </c>
      <c r="B26" s="3209" t="s">
        <v>3133</v>
      </c>
      <c r="C26" s="3209" t="s">
        <v>3201</v>
      </c>
      <c r="D26" s="3208" t="s">
        <v>3202</v>
      </c>
      <c r="E26" s="3208" t="s">
        <v>3203</v>
      </c>
      <c r="F26" s="3220" t="s">
        <v>3136</v>
      </c>
      <c r="G26" s="3209" t="s">
        <v>1281</v>
      </c>
      <c r="H26" s="3209" t="s">
        <v>3204</v>
      </c>
      <c r="I26" s="3209" t="s">
        <v>3138</v>
      </c>
      <c r="K26" s="3224" t="s">
        <v>3200</v>
      </c>
      <c r="L26" s="3224" t="s">
        <v>3133</v>
      </c>
      <c r="M26" s="3224" t="s">
        <v>3201</v>
      </c>
      <c r="N26" s="3224" t="s">
        <v>3202</v>
      </c>
      <c r="O26" s="3224" t="s">
        <v>3135</v>
      </c>
      <c r="P26" s="3225" t="s">
        <v>3136</v>
      </c>
      <c r="Q26" s="3224" t="s">
        <v>1281</v>
      </c>
      <c r="R26" s="3224" t="s">
        <v>3246</v>
      </c>
      <c r="S26" s="3224" t="s">
        <v>3138</v>
      </c>
    </row>
    <row r="27" spans="1:19" ht="14.25">
      <c r="A27" s="3209">
        <v>1</v>
      </c>
      <c r="B27" s="3325" t="s">
        <v>3205</v>
      </c>
      <c r="C27" s="3209" t="s">
        <v>3206</v>
      </c>
      <c r="D27" s="3208" t="s">
        <v>3140</v>
      </c>
      <c r="E27" s="3208">
        <v>31</v>
      </c>
      <c r="F27" s="3220">
        <v>93.72</v>
      </c>
      <c r="G27" s="3209" t="s">
        <v>3142</v>
      </c>
      <c r="H27" s="3209" t="s">
        <v>3207</v>
      </c>
      <c r="I27" s="3209"/>
      <c r="K27" s="3224">
        <v>1</v>
      </c>
      <c r="L27" s="3321" t="s">
        <v>3247</v>
      </c>
      <c r="M27" s="3224" t="s">
        <v>3248</v>
      </c>
      <c r="N27" s="3209" t="s">
        <v>3164</v>
      </c>
      <c r="O27" s="3224" t="s">
        <v>3249</v>
      </c>
      <c r="P27" s="3225">
        <v>1695.26</v>
      </c>
      <c r="Q27" s="3224" t="s">
        <v>3166</v>
      </c>
      <c r="R27" s="3209" t="s">
        <v>3250</v>
      </c>
      <c r="S27" s="3209"/>
    </row>
    <row r="28" spans="1:19" ht="14.25">
      <c r="A28" s="3209">
        <v>2</v>
      </c>
      <c r="B28" s="3325"/>
      <c r="C28" s="3209" t="s">
        <v>3206</v>
      </c>
      <c r="D28" s="3208" t="s">
        <v>3140</v>
      </c>
      <c r="E28" s="3208">
        <v>13</v>
      </c>
      <c r="F28" s="3220">
        <v>41.61</v>
      </c>
      <c r="G28" s="3209" t="s">
        <v>3142</v>
      </c>
      <c r="H28" s="3209" t="s">
        <v>3208</v>
      </c>
      <c r="I28" s="3209"/>
      <c r="K28" s="3224">
        <v>2</v>
      </c>
      <c r="L28" s="3322"/>
      <c r="M28" s="3224" t="s">
        <v>3248</v>
      </c>
      <c r="N28" s="3209" t="s">
        <v>3164</v>
      </c>
      <c r="O28" s="3224" t="s">
        <v>3251</v>
      </c>
      <c r="P28" s="3225">
        <v>2834.58</v>
      </c>
      <c r="Q28" s="3224" t="s">
        <v>3166</v>
      </c>
      <c r="R28" s="3209" t="s">
        <v>3250</v>
      </c>
      <c r="S28" s="3209"/>
    </row>
    <row r="29" spans="1:19" ht="14.25">
      <c r="A29" s="3209">
        <v>3</v>
      </c>
      <c r="B29" s="3325"/>
      <c r="C29" s="3209" t="s">
        <v>3206</v>
      </c>
      <c r="D29" s="3208" t="s">
        <v>3140</v>
      </c>
      <c r="E29" s="3208">
        <v>26</v>
      </c>
      <c r="F29" s="3220">
        <v>43.74</v>
      </c>
      <c r="G29" s="3209" t="s">
        <v>3142</v>
      </c>
      <c r="H29" s="3209" t="s">
        <v>3209</v>
      </c>
      <c r="I29" s="3209"/>
      <c r="K29" s="3224">
        <v>3</v>
      </c>
      <c r="L29" s="3322"/>
      <c r="M29" s="3224" t="s">
        <v>3248</v>
      </c>
      <c r="N29" s="3209" t="s">
        <v>3168</v>
      </c>
      <c r="O29" s="3224" t="s">
        <v>3252</v>
      </c>
      <c r="P29" s="3225">
        <v>4020.99</v>
      </c>
      <c r="Q29" s="3224" t="s">
        <v>3166</v>
      </c>
      <c r="R29" s="3209" t="s">
        <v>3250</v>
      </c>
      <c r="S29" s="3209"/>
    </row>
    <row r="30" spans="1:19" ht="14.25">
      <c r="A30" s="3209">
        <v>4</v>
      </c>
      <c r="B30" s="3325"/>
      <c r="C30" s="3209" t="s">
        <v>3206</v>
      </c>
      <c r="D30" s="3208" t="s">
        <v>3140</v>
      </c>
      <c r="E30" s="3208">
        <v>27</v>
      </c>
      <c r="F30" s="3220">
        <v>44.81</v>
      </c>
      <c r="G30" s="3209" t="s">
        <v>3142</v>
      </c>
      <c r="H30" s="3209" t="s">
        <v>3210</v>
      </c>
      <c r="I30" s="3209"/>
      <c r="K30" s="3224">
        <v>4</v>
      </c>
      <c r="L30" s="3322"/>
      <c r="M30" s="3224" t="s">
        <v>3248</v>
      </c>
      <c r="N30" s="3209" t="s">
        <v>3168</v>
      </c>
      <c r="O30" s="3224" t="s">
        <v>3253</v>
      </c>
      <c r="P30" s="3225">
        <v>3017.21</v>
      </c>
      <c r="Q30" s="3224" t="s">
        <v>3166</v>
      </c>
      <c r="R30" s="3209" t="s">
        <v>3250</v>
      </c>
      <c r="S30" s="3209"/>
    </row>
    <row r="31" spans="1:19" ht="14.25">
      <c r="A31" s="3209">
        <v>5</v>
      </c>
      <c r="B31" s="3325"/>
      <c r="C31" s="3209" t="s">
        <v>3206</v>
      </c>
      <c r="D31" s="3208" t="s">
        <v>3140</v>
      </c>
      <c r="E31" s="3208">
        <v>30</v>
      </c>
      <c r="F31" s="3220">
        <v>50.9</v>
      </c>
      <c r="G31" s="3209" t="s">
        <v>3142</v>
      </c>
      <c r="H31" s="3209" t="s">
        <v>3211</v>
      </c>
      <c r="I31" s="3209"/>
      <c r="K31" s="3224">
        <v>5</v>
      </c>
      <c r="L31" s="3322"/>
      <c r="M31" s="3224" t="s">
        <v>3248</v>
      </c>
      <c r="N31" s="3209" t="s">
        <v>3173</v>
      </c>
      <c r="O31" s="3224" t="s">
        <v>3254</v>
      </c>
      <c r="P31" s="3225">
        <v>3967.39</v>
      </c>
      <c r="Q31" s="3224" t="s">
        <v>3166</v>
      </c>
      <c r="R31" s="3209" t="s">
        <v>3250</v>
      </c>
      <c r="S31" s="3209"/>
    </row>
    <row r="32" spans="1:19" ht="14.25">
      <c r="A32" s="3209">
        <v>6</v>
      </c>
      <c r="B32" s="3325"/>
      <c r="C32" s="3209" t="s">
        <v>3206</v>
      </c>
      <c r="D32" s="3208" t="s">
        <v>3168</v>
      </c>
      <c r="E32" s="3208" t="s">
        <v>3212</v>
      </c>
      <c r="F32" s="3220">
        <v>4290.9799999999996</v>
      </c>
      <c r="G32" s="3209" t="s">
        <v>3166</v>
      </c>
      <c r="H32" s="3209" t="s">
        <v>3213</v>
      </c>
      <c r="I32" s="3209"/>
      <c r="K32" s="3224">
        <v>6</v>
      </c>
      <c r="L32" s="3322"/>
      <c r="M32" s="3224" t="s">
        <v>3248</v>
      </c>
      <c r="N32" s="3209" t="s">
        <v>3173</v>
      </c>
      <c r="O32" s="3224" t="s">
        <v>3255</v>
      </c>
      <c r="P32" s="3225">
        <v>3039.04</v>
      </c>
      <c r="Q32" s="3224" t="s">
        <v>3166</v>
      </c>
      <c r="R32" s="3209" t="s">
        <v>3250</v>
      </c>
      <c r="S32" s="3209"/>
    </row>
    <row r="33" spans="1:19" ht="14.25">
      <c r="A33" s="3209"/>
      <c r="B33" s="3325"/>
      <c r="C33" s="3326" t="s">
        <v>40</v>
      </c>
      <c r="D33" s="3327"/>
      <c r="E33" s="3328"/>
      <c r="F33" s="3220">
        <f>SUM(F27:F32)</f>
        <v>4565.7599999999993</v>
      </c>
      <c r="G33" s="3209"/>
      <c r="H33" s="3209"/>
      <c r="I33" s="3209"/>
      <c r="K33" s="3224"/>
      <c r="L33" s="3323" t="s">
        <v>3256</v>
      </c>
      <c r="M33" s="3323"/>
      <c r="N33" s="3226"/>
      <c r="O33" s="3227"/>
      <c r="P33" s="3228">
        <f>SUM(P27:P32)</f>
        <v>18574.47</v>
      </c>
      <c r="Q33" s="3227"/>
      <c r="R33" s="3227"/>
      <c r="S33" s="3224"/>
    </row>
    <row r="34" spans="1:19" ht="14.25">
      <c r="A34" s="3209">
        <v>1</v>
      </c>
      <c r="B34" s="3325"/>
      <c r="C34" s="3325" t="s">
        <v>3214</v>
      </c>
      <c r="D34" s="3208" t="s">
        <v>3215</v>
      </c>
      <c r="E34" s="3208">
        <v>3203</v>
      </c>
      <c r="F34" s="3220">
        <v>88.09</v>
      </c>
      <c r="G34" s="3209" t="s">
        <v>3216</v>
      </c>
      <c r="H34" s="3209" t="s">
        <v>3217</v>
      </c>
      <c r="I34" s="3209"/>
    </row>
    <row r="35" spans="1:19" ht="14.25">
      <c r="A35" s="3209">
        <v>2</v>
      </c>
      <c r="B35" s="3325"/>
      <c r="C35" s="3325"/>
      <c r="D35" s="3208" t="s">
        <v>3218</v>
      </c>
      <c r="E35" s="3208">
        <v>1504</v>
      </c>
      <c r="F35" s="3220">
        <v>119.67</v>
      </c>
      <c r="G35" s="3209" t="s">
        <v>3216</v>
      </c>
      <c r="H35" s="3209" t="s">
        <v>3219</v>
      </c>
      <c r="I35" s="3209"/>
    </row>
    <row r="36" spans="1:19" ht="14.25">
      <c r="A36" s="3209">
        <v>3</v>
      </c>
      <c r="B36" s="3325"/>
      <c r="C36" s="3325"/>
      <c r="D36" s="3208" t="s">
        <v>3220</v>
      </c>
      <c r="E36" s="3208">
        <v>1404</v>
      </c>
      <c r="F36" s="3220">
        <v>119.67</v>
      </c>
      <c r="G36" s="3209" t="s">
        <v>3216</v>
      </c>
      <c r="H36" s="3209" t="s">
        <v>3221</v>
      </c>
      <c r="I36" s="3209"/>
    </row>
    <row r="37" spans="1:19" ht="14.25">
      <c r="A37" s="3209">
        <v>4</v>
      </c>
      <c r="B37" s="3325"/>
      <c r="C37" s="3325"/>
      <c r="D37" s="3208" t="s">
        <v>3222</v>
      </c>
      <c r="E37" s="3208">
        <v>1304</v>
      </c>
      <c r="F37" s="3220">
        <v>119.67</v>
      </c>
      <c r="G37" s="3209" t="s">
        <v>3216</v>
      </c>
      <c r="H37" s="3209" t="s">
        <v>3223</v>
      </c>
      <c r="I37" s="3209"/>
    </row>
    <row r="38" spans="1:19" ht="14.25">
      <c r="A38" s="3209">
        <v>5</v>
      </c>
      <c r="B38" s="3325"/>
      <c r="C38" s="3325" t="s">
        <v>3224</v>
      </c>
      <c r="D38" s="3208" t="s">
        <v>3225</v>
      </c>
      <c r="E38" s="3208">
        <v>2401</v>
      </c>
      <c r="F38" s="3220">
        <v>127.55</v>
      </c>
      <c r="G38" s="3209" t="s">
        <v>3216</v>
      </c>
      <c r="H38" s="3209" t="s">
        <v>3226</v>
      </c>
      <c r="I38" s="3209"/>
    </row>
    <row r="39" spans="1:19" ht="14.25">
      <c r="A39" s="3209">
        <v>6</v>
      </c>
      <c r="B39" s="3325"/>
      <c r="C39" s="3325"/>
      <c r="D39" s="3208" t="s">
        <v>3227</v>
      </c>
      <c r="E39" s="3208">
        <v>2001</v>
      </c>
      <c r="F39" s="3220">
        <v>127.55</v>
      </c>
      <c r="G39" s="3209" t="s">
        <v>3216</v>
      </c>
      <c r="H39" s="3209" t="s">
        <v>3228</v>
      </c>
      <c r="I39" s="3209"/>
    </row>
    <row r="40" spans="1:19" ht="14.25">
      <c r="A40" s="3209">
        <v>7</v>
      </c>
      <c r="B40" s="3325"/>
      <c r="C40" s="3325"/>
      <c r="D40" s="3208" t="s">
        <v>3229</v>
      </c>
      <c r="E40" s="3208">
        <v>1801</v>
      </c>
      <c r="F40" s="3220">
        <v>127.55</v>
      </c>
      <c r="G40" s="3209" t="s">
        <v>3216</v>
      </c>
      <c r="H40" s="3209" t="s">
        <v>3230</v>
      </c>
      <c r="I40" s="3209"/>
    </row>
    <row r="41" spans="1:19" ht="14.25">
      <c r="A41" s="3209">
        <v>8</v>
      </c>
      <c r="B41" s="3325"/>
      <c r="C41" s="3325"/>
      <c r="D41" s="3208" t="s">
        <v>3220</v>
      </c>
      <c r="E41" s="3208">
        <v>1401</v>
      </c>
      <c r="F41" s="3220">
        <v>127.55</v>
      </c>
      <c r="G41" s="3209" t="s">
        <v>3216</v>
      </c>
      <c r="H41" s="3209" t="s">
        <v>3231</v>
      </c>
      <c r="I41" s="3209"/>
    </row>
    <row r="42" spans="1:19" ht="14.25">
      <c r="A42" s="3209">
        <v>9</v>
      </c>
      <c r="B42" s="3325"/>
      <c r="C42" s="3325"/>
      <c r="D42" s="3208" t="s">
        <v>3232</v>
      </c>
      <c r="E42" s="3208">
        <v>801</v>
      </c>
      <c r="F42" s="3220">
        <v>127.55</v>
      </c>
      <c r="G42" s="3209" t="s">
        <v>3216</v>
      </c>
      <c r="H42" s="3209" t="s">
        <v>3233</v>
      </c>
      <c r="I42" s="3209"/>
    </row>
    <row r="43" spans="1:19" ht="14.25">
      <c r="A43" s="3209">
        <v>10</v>
      </c>
      <c r="B43" s="3325"/>
      <c r="C43" s="3325"/>
      <c r="D43" s="3208" t="s">
        <v>3234</v>
      </c>
      <c r="E43" s="3208">
        <v>701</v>
      </c>
      <c r="F43" s="3220">
        <v>127.55</v>
      </c>
      <c r="G43" s="3209" t="s">
        <v>3216</v>
      </c>
      <c r="H43" s="3209" t="s">
        <v>3235</v>
      </c>
      <c r="I43" s="3209"/>
    </row>
    <row r="44" spans="1:19" ht="14.25">
      <c r="A44" s="3209">
        <v>11</v>
      </c>
      <c r="B44" s="3325"/>
      <c r="C44" s="3325"/>
      <c r="D44" s="3208" t="s">
        <v>3236</v>
      </c>
      <c r="E44" s="3208">
        <v>601</v>
      </c>
      <c r="F44" s="3220">
        <v>127.55</v>
      </c>
      <c r="G44" s="3209" t="s">
        <v>3216</v>
      </c>
      <c r="H44" s="3209" t="s">
        <v>3237</v>
      </c>
      <c r="I44" s="3209"/>
    </row>
    <row r="45" spans="1:19" ht="14.25">
      <c r="A45" s="3209">
        <v>12</v>
      </c>
      <c r="B45" s="3325"/>
      <c r="C45" s="3325"/>
      <c r="D45" s="3208" t="s">
        <v>3220</v>
      </c>
      <c r="E45" s="3208">
        <v>1403</v>
      </c>
      <c r="F45" s="3220">
        <v>144.72</v>
      </c>
      <c r="G45" s="3209" t="s">
        <v>3216</v>
      </c>
      <c r="H45" s="3209" t="s">
        <v>3238</v>
      </c>
      <c r="I45" s="3209"/>
    </row>
    <row r="46" spans="1:19" ht="14.25">
      <c r="A46" s="3209">
        <v>13</v>
      </c>
      <c r="B46" s="3325"/>
      <c r="C46" s="3325"/>
      <c r="D46" s="3208" t="s">
        <v>3232</v>
      </c>
      <c r="E46" s="3208">
        <v>803</v>
      </c>
      <c r="F46" s="3220">
        <v>144.72</v>
      </c>
      <c r="G46" s="3209" t="s">
        <v>3216</v>
      </c>
      <c r="H46" s="3209" t="s">
        <v>3239</v>
      </c>
      <c r="I46" s="3209"/>
    </row>
    <row r="47" spans="1:19" ht="14.25">
      <c r="A47" s="3209">
        <v>14</v>
      </c>
      <c r="B47" s="3325"/>
      <c r="C47" s="3325"/>
      <c r="D47" s="3208" t="s">
        <v>3234</v>
      </c>
      <c r="E47" s="3208">
        <v>703</v>
      </c>
      <c r="F47" s="3220">
        <v>144.72</v>
      </c>
      <c r="G47" s="3209" t="s">
        <v>3216</v>
      </c>
      <c r="H47" s="3209" t="s">
        <v>3240</v>
      </c>
      <c r="I47" s="3209"/>
    </row>
    <row r="48" spans="1:19" ht="14.25">
      <c r="A48" s="3209">
        <v>15</v>
      </c>
      <c r="B48" s="3325"/>
      <c r="C48" s="3325"/>
      <c r="D48" s="3208" t="s">
        <v>3236</v>
      </c>
      <c r="E48" s="3208">
        <v>603</v>
      </c>
      <c r="F48" s="3220">
        <v>144.72</v>
      </c>
      <c r="G48" s="3209" t="s">
        <v>3216</v>
      </c>
      <c r="H48" s="3209" t="s">
        <v>3241</v>
      </c>
      <c r="I48" s="3209"/>
    </row>
    <row r="49" spans="1:9" ht="14.25">
      <c r="A49" s="3209">
        <v>16</v>
      </c>
      <c r="B49" s="3325"/>
      <c r="C49" s="3325"/>
      <c r="D49" s="3208" t="s">
        <v>3234</v>
      </c>
      <c r="E49" s="3208">
        <v>704</v>
      </c>
      <c r="F49" s="3220">
        <v>117.68</v>
      </c>
      <c r="G49" s="3209" t="s">
        <v>3216</v>
      </c>
      <c r="H49" s="3209" t="s">
        <v>3242</v>
      </c>
      <c r="I49" s="3209"/>
    </row>
    <row r="50" spans="1:9" ht="14.25">
      <c r="A50" s="3209">
        <v>17</v>
      </c>
      <c r="B50" s="3325"/>
      <c r="C50" s="3325"/>
      <c r="D50" s="3208" t="s">
        <v>3236</v>
      </c>
      <c r="E50" s="3208">
        <v>604</v>
      </c>
      <c r="F50" s="3220">
        <v>117.68</v>
      </c>
      <c r="G50" s="3209" t="s">
        <v>3216</v>
      </c>
      <c r="H50" s="3209" t="s">
        <v>3243</v>
      </c>
      <c r="I50" s="3209"/>
    </row>
    <row r="51" spans="1:9" ht="14.25">
      <c r="A51" s="3209"/>
      <c r="B51" s="3329" t="s">
        <v>3244</v>
      </c>
      <c r="C51" s="3329"/>
      <c r="D51" s="3221"/>
      <c r="E51" s="3221"/>
      <c r="F51" s="3222">
        <f>SUM(F27:F50)</f>
        <v>11285.709999999992</v>
      </c>
      <c r="G51" s="3210"/>
      <c r="H51" s="3210"/>
      <c r="I51" s="3209"/>
    </row>
  </sheetData>
  <mergeCells count="13">
    <mergeCell ref="B51:C51"/>
    <mergeCell ref="A1:G1"/>
    <mergeCell ref="B3:B20"/>
    <mergeCell ref="B21:C21"/>
    <mergeCell ref="K2:L2"/>
    <mergeCell ref="K25:R25"/>
    <mergeCell ref="L27:L32"/>
    <mergeCell ref="L33:M33"/>
    <mergeCell ref="A25:H25"/>
    <mergeCell ref="B27:B50"/>
    <mergeCell ref="C33:E33"/>
    <mergeCell ref="C34:C37"/>
    <mergeCell ref="C38:C50"/>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1"/>
  <sheetViews>
    <sheetView tabSelected="1" workbookViewId="0">
      <selection activeCell="E13" sqref="E13"/>
    </sheetView>
  </sheetViews>
  <sheetFormatPr defaultColWidth="9" defaultRowHeight="13.5"/>
  <cols>
    <col min="1" max="1" width="15.125" customWidth="1"/>
    <col min="2" max="2" width="21.625" customWidth="1"/>
    <col min="3" max="3" width="19.625" customWidth="1"/>
    <col min="4" max="4" width="22" customWidth="1"/>
    <col min="5" max="5" width="25" customWidth="1"/>
    <col min="6" max="6" width="21" customWidth="1"/>
    <col min="7" max="7" width="28.875" customWidth="1"/>
    <col min="8" max="8" width="25.375" customWidth="1"/>
    <col min="9" max="9" width="22.5" customWidth="1"/>
    <col min="10" max="10" width="19.625" customWidth="1"/>
  </cols>
  <sheetData>
    <row r="1" spans="1:11">
      <c r="A1" s="3334" t="s">
        <v>3268</v>
      </c>
      <c r="B1" s="3334"/>
      <c r="C1" s="3334"/>
      <c r="D1" s="3334"/>
      <c r="E1" s="3334"/>
      <c r="F1" s="3334"/>
      <c r="G1" s="3334"/>
      <c r="H1" s="3334"/>
    </row>
    <row r="2" spans="1:11">
      <c r="A2" s="3233" t="s">
        <v>3269</v>
      </c>
      <c r="B2" s="3233" t="s">
        <v>3270</v>
      </c>
      <c r="C2" s="3233" t="s">
        <v>3271</v>
      </c>
      <c r="D2" s="3233" t="s">
        <v>3272</v>
      </c>
      <c r="E2" s="3234" t="s">
        <v>3273</v>
      </c>
      <c r="F2" s="3234" t="s">
        <v>3274</v>
      </c>
      <c r="G2" s="3234" t="s">
        <v>3275</v>
      </c>
      <c r="H2" s="3335" t="s">
        <v>3276</v>
      </c>
      <c r="I2" s="3235" t="s">
        <v>3277</v>
      </c>
      <c r="J2" s="3235" t="s">
        <v>3278</v>
      </c>
      <c r="K2" s="3235" t="s">
        <v>3279</v>
      </c>
    </row>
    <row r="3" spans="1:11">
      <c r="A3" s="3236" t="s">
        <v>3139</v>
      </c>
      <c r="B3" s="3237">
        <v>0</v>
      </c>
      <c r="C3" s="3237">
        <v>18855.55</v>
      </c>
      <c r="D3" s="3237">
        <v>11</v>
      </c>
      <c r="E3" s="3237">
        <v>0</v>
      </c>
      <c r="F3" s="3237">
        <v>565666500</v>
      </c>
      <c r="G3" s="3237">
        <v>3300000</v>
      </c>
      <c r="H3" s="3336"/>
      <c r="I3" s="3238"/>
      <c r="J3" s="3239">
        <v>18855.55</v>
      </c>
      <c r="K3" s="3239">
        <v>11</v>
      </c>
    </row>
    <row r="4" spans="1:11">
      <c r="A4" s="3240" t="s">
        <v>3280</v>
      </c>
      <c r="B4" s="3237">
        <v>10548.740000000002</v>
      </c>
      <c r="C4" s="3237">
        <v>92975.07</v>
      </c>
      <c r="D4" s="3237">
        <v>895</v>
      </c>
      <c r="E4" s="3237">
        <v>207420260</v>
      </c>
      <c r="F4" s="3237">
        <v>2578175031.0000005</v>
      </c>
      <c r="G4" s="3237">
        <v>268500000</v>
      </c>
      <c r="H4" s="3336"/>
      <c r="I4" s="3238">
        <v>9993.1400000000012</v>
      </c>
      <c r="J4" s="3239">
        <v>92716.96</v>
      </c>
      <c r="K4" s="3239">
        <v>891</v>
      </c>
    </row>
    <row r="5" spans="1:11">
      <c r="A5" s="3241" t="s">
        <v>3205</v>
      </c>
      <c r="B5" s="3237">
        <v>2154.19</v>
      </c>
      <c r="C5" s="3237">
        <v>4565.76</v>
      </c>
      <c r="D5" s="3237">
        <v>64</v>
      </c>
      <c r="E5" s="3237">
        <v>43083800</v>
      </c>
      <c r="F5" s="3237">
        <v>136972800</v>
      </c>
      <c r="G5" s="3237">
        <v>19200000</v>
      </c>
      <c r="H5" s="3336"/>
      <c r="I5" s="3239">
        <v>2154.19</v>
      </c>
      <c r="J5" s="3239">
        <v>4565.76</v>
      </c>
      <c r="K5" s="3239">
        <v>64</v>
      </c>
    </row>
    <row r="6" spans="1:11">
      <c r="A6" s="3242" t="s">
        <v>3247</v>
      </c>
      <c r="B6" s="3237">
        <v>1372.49</v>
      </c>
      <c r="C6" s="3237">
        <v>18574.47</v>
      </c>
      <c r="D6" s="3237">
        <v>31</v>
      </c>
      <c r="E6" s="3237">
        <v>27449800</v>
      </c>
      <c r="F6" s="3237">
        <v>557234100</v>
      </c>
      <c r="G6" s="3237">
        <v>9300000</v>
      </c>
      <c r="H6" s="3337"/>
      <c r="I6" s="3239"/>
      <c r="J6" s="3239">
        <v>18574.47</v>
      </c>
      <c r="K6" s="3239">
        <v>31</v>
      </c>
    </row>
    <row r="7" spans="1:11">
      <c r="A7" s="3233" t="s">
        <v>37</v>
      </c>
      <c r="B7" s="3237">
        <v>14075.420000000002</v>
      </c>
      <c r="C7" s="3237">
        <v>134970.85</v>
      </c>
      <c r="D7" s="3237">
        <v>1001</v>
      </c>
      <c r="E7" s="3243">
        <v>277953860</v>
      </c>
      <c r="F7" s="3243">
        <v>3838048431.0000005</v>
      </c>
      <c r="G7" s="3243">
        <v>300300000</v>
      </c>
      <c r="H7" s="3243">
        <v>4416302291</v>
      </c>
      <c r="I7" s="3238">
        <v>12147.330000000002</v>
      </c>
      <c r="J7" s="3239">
        <v>134712.74</v>
      </c>
      <c r="K7" s="3239">
        <v>997</v>
      </c>
    </row>
    <row r="9" spans="1:11">
      <c r="B9">
        <v>18000</v>
      </c>
      <c r="C9">
        <v>21500</v>
      </c>
      <c r="D9">
        <v>260000</v>
      </c>
    </row>
    <row r="10" spans="1:11">
      <c r="B10">
        <f>B9*B7</f>
        <v>253357560.00000003</v>
      </c>
      <c r="C10">
        <f>C9*C7</f>
        <v>2901873275</v>
      </c>
      <c r="D10">
        <f>D9*D7</f>
        <v>260260000</v>
      </c>
      <c r="E10">
        <f>B10+C10+D10</f>
        <v>3415490835</v>
      </c>
    </row>
    <row r="11" spans="1:11">
      <c r="B11" s="3244"/>
      <c r="C11" s="3244"/>
      <c r="D11" s="3244"/>
      <c r="E11" s="3600">
        <f>E10*0.9</f>
        <v>3073941751.5</v>
      </c>
    </row>
  </sheetData>
  <mergeCells count="2">
    <mergeCell ref="A1:H1"/>
    <mergeCell ref="H2:H6"/>
  </mergeCells>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47" t="s">
        <v>1757</v>
      </c>
      <c r="B2" s="3347"/>
      <c r="C2" s="3347"/>
      <c r="D2" s="904" t="s">
        <v>1733</v>
      </c>
      <c r="E2" s="1794" t="s">
        <v>1734</v>
      </c>
      <c r="F2" s="2856"/>
      <c r="G2" s="2847"/>
      <c r="H2" s="2848"/>
      <c r="I2" s="2518" t="s">
        <v>1758</v>
      </c>
      <c r="J2" s="2856"/>
      <c r="K2" s="2856"/>
      <c r="L2" s="2856"/>
      <c r="M2" s="2856"/>
      <c r="N2" s="2858"/>
      <c r="O2" s="2856"/>
      <c r="P2" s="2856"/>
    </row>
    <row r="3" spans="1:16" ht="15.75" thickBot="1">
      <c r="A3" s="3348" t="s">
        <v>1731</v>
      </c>
      <c r="B3" s="3348"/>
      <c r="C3" s="3348"/>
      <c r="D3" s="46" t="e">
        <f>'数据-基础表'!AY6</f>
        <v>#DIV/0!</v>
      </c>
      <c r="E3" s="46">
        <f>'数据-基础表'!AZ5</f>
        <v>0</v>
      </c>
      <c r="F3" s="2856"/>
      <c r="G3" s="1279"/>
      <c r="H3" s="1157" t="s">
        <v>1732</v>
      </c>
      <c r="I3" s="964" t="e">
        <f>ROUND('数据-基础表'!B3/'数据-基础表'!A3,2)</f>
        <v>#DIV/0!</v>
      </c>
      <c r="J3" s="2856"/>
      <c r="K3" s="2856"/>
      <c r="L3" s="2856"/>
      <c r="M3" s="2856"/>
      <c r="N3" s="2858"/>
      <c r="O3" s="2856"/>
      <c r="P3" s="2856"/>
    </row>
    <row r="4" spans="1:16" ht="15">
      <c r="A4" s="3349"/>
      <c r="B4" s="3350"/>
      <c r="C4" s="3351"/>
      <c r="D4" s="1796" t="s">
        <v>1733</v>
      </c>
      <c r="E4" s="1797" t="s">
        <v>1734</v>
      </c>
      <c r="F4" s="2856"/>
      <c r="G4" s="2849" t="s">
        <v>1759</v>
      </c>
      <c r="H4" s="1157" t="s">
        <v>1739</v>
      </c>
      <c r="I4" s="964" t="e">
        <f>ROUND(SUMIF('数据-基础表'!I9:AS9,"地上",'数据-基础表'!I5:AS5)/'数据-基础表'!A3,2)</f>
        <v>#DIV/0!</v>
      </c>
      <c r="J4" s="2856"/>
      <c r="K4" s="2856"/>
      <c r="L4" s="2856"/>
      <c r="M4" s="2856"/>
      <c r="N4" s="2858"/>
      <c r="O4" s="2856"/>
      <c r="P4" s="2856"/>
    </row>
    <row r="5" spans="1:16">
      <c r="A5" s="47" t="s">
        <v>1735</v>
      </c>
      <c r="B5" s="3352" t="s">
        <v>1736</v>
      </c>
      <c r="C5" s="3352"/>
      <c r="D5" s="48" t="e">
        <f>ROUND($D$3*E5/$E$3,2)</f>
        <v>#DIV/0!</v>
      </c>
      <c r="E5" s="49">
        <f>SUMIF('数据-基础表'!$11:$11,"住宅",'数据-基础表'!$5:$5)</f>
        <v>0</v>
      </c>
      <c r="F5" s="2856"/>
      <c r="G5" s="1279"/>
      <c r="H5" s="1157" t="s">
        <v>1732</v>
      </c>
      <c r="I5" s="964" t="e">
        <f>ROUND(E31/D31,2)</f>
        <v>#DIV/0!</v>
      </c>
      <c r="J5" s="2856"/>
      <c r="K5" s="2856"/>
      <c r="L5" s="2856"/>
      <c r="M5" s="2856"/>
      <c r="N5" s="2856"/>
      <c r="O5" s="2856"/>
      <c r="P5" s="2856"/>
    </row>
    <row r="6" spans="1:16" ht="15" thickBot="1">
      <c r="A6" s="1799"/>
      <c r="B6" s="3352" t="s">
        <v>1737</v>
      </c>
      <c r="C6" s="3352"/>
      <c r="D6" s="48" t="e">
        <f>ROUND($D$3*E6/$E$3,2)</f>
        <v>#DIV/0!</v>
      </c>
      <c r="E6" s="49">
        <f>E3-E5</f>
        <v>0</v>
      </c>
      <c r="F6" s="2856"/>
      <c r="G6" s="2850" t="s">
        <v>1738</v>
      </c>
      <c r="H6" s="1280" t="s">
        <v>1739</v>
      </c>
      <c r="I6" s="2851" t="e">
        <f>ROUND(F31/D31,2)</f>
        <v>#DIV/0!</v>
      </c>
      <c r="J6" s="2856"/>
      <c r="K6" s="2856"/>
      <c r="L6" s="2856"/>
      <c r="M6" s="2856"/>
      <c r="N6" s="2856"/>
      <c r="O6" s="2856"/>
      <c r="P6" s="2856"/>
    </row>
    <row r="7" spans="1:16" ht="15.75" thickBot="1">
      <c r="A7" s="3344"/>
      <c r="B7" s="3345"/>
      <c r="C7" s="3346"/>
      <c r="D7" s="1796" t="s">
        <v>1733</v>
      </c>
      <c r="E7" s="1800" t="s">
        <v>1740</v>
      </c>
      <c r="F7" s="2856"/>
      <c r="G7" s="2852" t="s">
        <v>1741</v>
      </c>
      <c r="H7" s="2853"/>
      <c r="I7" s="2854"/>
      <c r="J7" s="2856"/>
      <c r="K7" s="2856"/>
      <c r="L7" s="2856"/>
      <c r="M7" s="2856"/>
      <c r="N7" s="2856"/>
      <c r="O7" s="2856"/>
      <c r="P7" s="2856"/>
    </row>
    <row r="8" spans="1:16">
      <c r="A8" s="47" t="s">
        <v>1742</v>
      </c>
      <c r="B8" s="50" t="s">
        <v>1743</v>
      </c>
      <c r="C8" s="48" t="s">
        <v>1744</v>
      </c>
      <c r="D8" s="48" t="e">
        <f t="shared" ref="D8:D15" si="0">ROUND($D$3*E8/$E$3,2)</f>
        <v>#DIV/0!</v>
      </c>
      <c r="E8" s="51">
        <f>SUMIF('数据-基础表'!BB10:BK10,"地上",'数据-基础表'!BB5:BK5)</f>
        <v>0</v>
      </c>
      <c r="F8" s="2856"/>
      <c r="G8" s="2857"/>
      <c r="H8" s="2857"/>
      <c r="I8" s="2856"/>
      <c r="J8" s="2856"/>
      <c r="K8" s="2856"/>
      <c r="L8" s="2856"/>
      <c r="M8" s="2856"/>
      <c r="N8" s="2856"/>
      <c r="O8" s="2856"/>
      <c r="P8" s="2856"/>
    </row>
    <row r="9" spans="1:16">
      <c r="A9" s="1801"/>
      <c r="B9" s="1802"/>
      <c r="C9" s="48" t="s">
        <v>1745</v>
      </c>
      <c r="D9" s="48" t="e">
        <f t="shared" si="0"/>
        <v>#DIV/0!</v>
      </c>
      <c r="E9" s="52">
        <v>0</v>
      </c>
      <c r="F9" s="2856"/>
      <c r="G9" s="2857"/>
      <c r="H9" s="2857"/>
      <c r="I9" s="2856"/>
      <c r="J9" s="2856"/>
      <c r="K9" s="2856"/>
      <c r="L9" s="2856"/>
      <c r="M9" s="2856"/>
      <c r="N9" s="2856"/>
      <c r="O9" s="2856"/>
      <c r="P9" s="2856"/>
    </row>
    <row r="10" spans="1:16">
      <c r="A10" s="1801"/>
      <c r="B10" s="1802"/>
      <c r="C10" s="48" t="s">
        <v>1754</v>
      </c>
      <c r="D10" s="48" t="e">
        <f t="shared" si="0"/>
        <v>#DIV/0!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t="e">
        <f t="shared" si="0"/>
        <v>#DIV/0!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t="e">
        <f t="shared" si="0"/>
        <v>#DIV/0!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t="e">
        <f t="shared" si="0"/>
        <v>#DIV/0!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t="e">
        <f t="shared" si="0"/>
        <v>#DIV/0!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t="e">
        <f t="shared" si="0"/>
        <v>#DIV/0!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t="e">
        <f>SUM(D8:D15)</f>
        <v>#DIV/0!</v>
      </c>
      <c r="E16" s="53">
        <f>SUM(E8:E15)</f>
        <v>0</v>
      </c>
      <c r="F16" s="2856"/>
      <c r="G16" s="2857"/>
      <c r="H16" s="1803" t="s">
        <v>1761</v>
      </c>
      <c r="I16" s="1804"/>
      <c r="J16" s="1273"/>
      <c r="K16" s="3341" t="s">
        <v>1761</v>
      </c>
      <c r="L16" s="3342"/>
      <c r="M16" s="3342"/>
      <c r="N16" s="3342"/>
      <c r="O16" s="3342"/>
      <c r="P16" s="3343"/>
    </row>
    <row r="17" spans="1:19" ht="15">
      <c r="A17" s="1805" t="s">
        <v>1762</v>
      </c>
      <c r="B17" s="1806" t="s">
        <v>1763</v>
      </c>
      <c r="C17" s="1807" t="s">
        <v>1764</v>
      </c>
      <c r="D17" s="1808" t="s">
        <v>1752</v>
      </c>
      <c r="E17" s="1809" t="s">
        <v>1753</v>
      </c>
      <c r="F17" s="1810"/>
      <c r="G17" s="1811"/>
      <c r="H17" s="1812" t="s">
        <v>1765</v>
      </c>
      <c r="I17" s="1813" t="s">
        <v>1750</v>
      </c>
      <c r="J17" s="1273"/>
      <c r="K17" s="3338" t="s">
        <v>1766</v>
      </c>
      <c r="L17" s="3339"/>
      <c r="M17" s="3340"/>
      <c r="N17" s="3338" t="s">
        <v>1767</v>
      </c>
      <c r="O17" s="3339"/>
      <c r="P17" s="3340"/>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1823"/>
      <c r="D19" s="48" t="e">
        <f>ROUND($D$3*E19/$E$3,2)</f>
        <v>#DIV/0!</v>
      </c>
      <c r="E19" s="56">
        <f t="shared" ref="E19:E26" si="1">SUM(F19:G19)</f>
        <v>0</v>
      </c>
      <c r="F19" s="2996"/>
      <c r="G19" s="2997"/>
      <c r="H19" s="679" t="e">
        <f>ROUND($D$3*I19/$E$3,2)</f>
        <v>#DIV/0!</v>
      </c>
      <c r="I19" s="51" t="e">
        <f t="shared" ref="I19:I26" si="2">IF($I$17="自定义",P19,M19)</f>
        <v>#DIV/0!</v>
      </c>
      <c r="J19" s="1273"/>
      <c r="K19" s="1272" t="e">
        <f t="shared" ref="K19:K26" si="3">ROUND(E$28*E19/E$27,2)</f>
        <v>#DIV/0!</v>
      </c>
      <c r="L19" s="1157">
        <f t="shared" ref="L19:L26" si="4">ROUND(IF(COUNTIF(C19,"*住宅*")&gt;0,E$29*E19/E$32,0),2)</f>
        <v>0</v>
      </c>
      <c r="M19" s="1284" t="e">
        <f>K19+L19</f>
        <v>#DIV/0!</v>
      </c>
      <c r="N19" s="1824"/>
      <c r="O19" s="1825"/>
      <c r="P19" s="1284">
        <f>N19+O19</f>
        <v>0</v>
      </c>
      <c r="R19" s="1157" t="e">
        <f t="shared" ref="R19:S26" si="5">D19+H19</f>
        <v>#DIV/0!</v>
      </c>
      <c r="S19" s="1158" t="e">
        <f t="shared" si="5"/>
        <v>#DIV/0!</v>
      </c>
    </row>
    <row r="20" spans="1:19">
      <c r="A20" s="1826"/>
      <c r="B20" s="50" t="s">
        <v>1779</v>
      </c>
      <c r="C20" s="1823"/>
      <c r="D20" s="48" t="e">
        <f t="shared" ref="D20:D26" si="6">ROUND($D$3*E20/$E$3,2)</f>
        <v>#DIV/0!</v>
      </c>
      <c r="E20" s="56">
        <f t="shared" si="1"/>
        <v>0</v>
      </c>
      <c r="F20" s="2996"/>
      <c r="G20" s="2997"/>
      <c r="H20" s="679" t="e">
        <f t="shared" ref="H20:H26" si="7">ROUND($D$3*I20/$E$3,2)</f>
        <v>#DIV/0!</v>
      </c>
      <c r="I20" s="51" t="e">
        <f t="shared" si="2"/>
        <v>#DIV/0!</v>
      </c>
      <c r="J20" s="1273"/>
      <c r="K20" s="1272" t="e">
        <f t="shared" si="3"/>
        <v>#DIV/0!</v>
      </c>
      <c r="L20" s="1157">
        <f t="shared" si="4"/>
        <v>0</v>
      </c>
      <c r="M20" s="1284" t="e">
        <f t="shared" ref="M20:M26" si="8">K20+L20</f>
        <v>#DIV/0!</v>
      </c>
      <c r="N20" s="1824"/>
      <c r="O20" s="1825"/>
      <c r="P20" s="1284">
        <f t="shared" ref="P20:P26" si="9">N20+O20</f>
        <v>0</v>
      </c>
      <c r="R20" s="1157" t="e">
        <f t="shared" si="5"/>
        <v>#DIV/0!</v>
      </c>
      <c r="S20" s="1158" t="e">
        <f t="shared" si="5"/>
        <v>#DIV/0!</v>
      </c>
    </row>
    <row r="21" spans="1:19">
      <c r="A21" s="1826"/>
      <c r="B21" s="50" t="s">
        <v>1779</v>
      </c>
      <c r="C21" s="1823"/>
      <c r="D21" s="48" t="e">
        <f t="shared" si="6"/>
        <v>#DIV/0!</v>
      </c>
      <c r="E21" s="56">
        <f t="shared" si="1"/>
        <v>0</v>
      </c>
      <c r="F21" s="2996"/>
      <c r="G21" s="2997"/>
      <c r="H21" s="679" t="e">
        <f t="shared" si="7"/>
        <v>#DIV/0!</v>
      </c>
      <c r="I21" s="51" t="e">
        <f t="shared" si="2"/>
        <v>#DIV/0!</v>
      </c>
      <c r="J21" s="1273"/>
      <c r="K21" s="1272" t="e">
        <f t="shared" si="3"/>
        <v>#DIV/0!</v>
      </c>
      <c r="L21" s="1157">
        <f t="shared" si="4"/>
        <v>0</v>
      </c>
      <c r="M21" s="1284" t="e">
        <f t="shared" si="8"/>
        <v>#DIV/0!</v>
      </c>
      <c r="N21" s="1824"/>
      <c r="O21" s="1825"/>
      <c r="P21" s="1284">
        <f t="shared" si="9"/>
        <v>0</v>
      </c>
      <c r="R21" s="1157" t="e">
        <f t="shared" si="5"/>
        <v>#DIV/0!</v>
      </c>
      <c r="S21" s="1158" t="e">
        <f t="shared" si="5"/>
        <v>#DIV/0!</v>
      </c>
    </row>
    <row r="22" spans="1:19">
      <c r="A22" s="1826"/>
      <c r="B22" s="50" t="s">
        <v>1779</v>
      </c>
      <c r="C22" s="58"/>
      <c r="D22" s="48" t="e">
        <f t="shared" si="6"/>
        <v>#DIV/0!</v>
      </c>
      <c r="E22" s="56">
        <f t="shared" si="1"/>
        <v>0</v>
      </c>
      <c r="F22" s="2998"/>
      <c r="G22" s="2999"/>
      <c r="H22" s="679" t="e">
        <f t="shared" si="7"/>
        <v>#DIV/0!</v>
      </c>
      <c r="I22" s="51" t="e">
        <f t="shared" si="2"/>
        <v>#DIV/0!</v>
      </c>
      <c r="J22" s="1273"/>
      <c r="K22" s="1272" t="e">
        <f t="shared" si="3"/>
        <v>#DIV/0!</v>
      </c>
      <c r="L22" s="1157">
        <f t="shared" si="4"/>
        <v>0</v>
      </c>
      <c r="M22" s="1284" t="e">
        <f t="shared" si="8"/>
        <v>#DIV/0!</v>
      </c>
      <c r="N22" s="1824"/>
      <c r="O22" s="1825"/>
      <c r="P22" s="1284">
        <f t="shared" si="9"/>
        <v>0</v>
      </c>
      <c r="R22" s="1157" t="e">
        <f t="shared" si="5"/>
        <v>#DIV/0!</v>
      </c>
      <c r="S22" s="1158" t="e">
        <f t="shared" si="5"/>
        <v>#DIV/0!</v>
      </c>
    </row>
    <row r="23" spans="1:19">
      <c r="A23" s="1826"/>
      <c r="B23" s="50" t="s">
        <v>1779</v>
      </c>
      <c r="C23" s="58"/>
      <c r="D23" s="48" t="e">
        <f>ROUND($D$3*E23/$E$3,2)</f>
        <v>#DIV/0!</v>
      </c>
      <c r="E23" s="56">
        <f>SUM(F23:G23)</f>
        <v>0</v>
      </c>
      <c r="F23" s="2998"/>
      <c r="G23" s="2999"/>
      <c r="H23" s="679" t="e">
        <f>ROUND($D$3*I23/$E$3,2)</f>
        <v>#DIV/0!</v>
      </c>
      <c r="I23" s="51" t="e">
        <f t="shared" si="2"/>
        <v>#DIV/0!</v>
      </c>
      <c r="J23" s="1273"/>
      <c r="K23" s="1272" t="e">
        <f t="shared" si="3"/>
        <v>#DIV/0!</v>
      </c>
      <c r="L23" s="1157">
        <f t="shared" si="4"/>
        <v>0</v>
      </c>
      <c r="M23" s="1284" t="e">
        <f t="shared" si="8"/>
        <v>#DIV/0!</v>
      </c>
      <c r="N23" s="1824"/>
      <c r="O23" s="1825"/>
      <c r="P23" s="1284">
        <f t="shared" si="9"/>
        <v>0</v>
      </c>
      <c r="R23" s="1157" t="e">
        <f t="shared" si="5"/>
        <v>#DIV/0!</v>
      </c>
      <c r="S23" s="1158" t="e">
        <f t="shared" si="5"/>
        <v>#DIV/0!</v>
      </c>
    </row>
    <row r="24" spans="1:19">
      <c r="A24" s="1826"/>
      <c r="B24" s="50" t="s">
        <v>1779</v>
      </c>
      <c r="C24" s="58"/>
      <c r="D24" s="48" t="e">
        <f>ROUND($D$3*E24/$E$3,2)</f>
        <v>#DIV/0!</v>
      </c>
      <c r="E24" s="56">
        <f>SUM(F24:G24)</f>
        <v>0</v>
      </c>
      <c r="F24" s="2998"/>
      <c r="G24" s="2999"/>
      <c r="H24" s="679" t="e">
        <f>ROUND($D$3*I24/$E$3,2)</f>
        <v>#DIV/0!</v>
      </c>
      <c r="I24" s="51" t="e">
        <f t="shared" si="2"/>
        <v>#DIV/0!</v>
      </c>
      <c r="J24" s="1273"/>
      <c r="K24" s="1272" t="e">
        <f t="shared" si="3"/>
        <v>#DIV/0!</v>
      </c>
      <c r="L24" s="1157">
        <f t="shared" si="4"/>
        <v>0</v>
      </c>
      <c r="M24" s="1284" t="e">
        <f t="shared" si="8"/>
        <v>#DIV/0!</v>
      </c>
      <c r="N24" s="1824"/>
      <c r="O24" s="1825"/>
      <c r="P24" s="1284">
        <f t="shared" si="9"/>
        <v>0</v>
      </c>
      <c r="R24" s="1157" t="e">
        <f t="shared" si="5"/>
        <v>#DIV/0!</v>
      </c>
      <c r="S24" s="1158" t="e">
        <f t="shared" si="5"/>
        <v>#DIV/0!</v>
      </c>
    </row>
    <row r="25" spans="1:19">
      <c r="A25" s="1826"/>
      <c r="B25" s="50" t="s">
        <v>1779</v>
      </c>
      <c r="C25" s="58"/>
      <c r="D25" s="48" t="e">
        <f t="shared" si="6"/>
        <v>#DIV/0!</v>
      </c>
      <c r="E25" s="56">
        <f t="shared" si="1"/>
        <v>0</v>
      </c>
      <c r="F25" s="2998"/>
      <c r="G25" s="2999"/>
      <c r="H25" s="47" t="e">
        <f t="shared" si="7"/>
        <v>#DIV/0!</v>
      </c>
      <c r="I25" s="51" t="e">
        <f t="shared" si="2"/>
        <v>#DIV/0!</v>
      </c>
      <c r="J25" s="1273"/>
      <c r="K25" s="1272" t="e">
        <f t="shared" si="3"/>
        <v>#DIV/0!</v>
      </c>
      <c r="L25" s="1157">
        <f t="shared" si="4"/>
        <v>0</v>
      </c>
      <c r="M25" s="1284" t="e">
        <f t="shared" si="8"/>
        <v>#DIV/0!</v>
      </c>
      <c r="N25" s="1824"/>
      <c r="O25" s="1825"/>
      <c r="P25" s="1284">
        <f t="shared" si="9"/>
        <v>0</v>
      </c>
      <c r="R25" s="1157" t="e">
        <f t="shared" si="5"/>
        <v>#DIV/0!</v>
      </c>
      <c r="S25" s="1158" t="e">
        <f t="shared" si="5"/>
        <v>#DIV/0!</v>
      </c>
    </row>
    <row r="26" spans="1:19">
      <c r="A26" s="1826"/>
      <c r="B26" s="50" t="s">
        <v>1779</v>
      </c>
      <c r="C26" s="59"/>
      <c r="D26" s="48" t="e">
        <f t="shared" si="6"/>
        <v>#DIV/0!</v>
      </c>
      <c r="E26" s="56">
        <f t="shared" si="1"/>
        <v>0</v>
      </c>
      <c r="F26" s="2998"/>
      <c r="G26" s="2999"/>
      <c r="H26" s="47" t="e">
        <f t="shared" si="7"/>
        <v>#DIV/0!</v>
      </c>
      <c r="I26" s="51" t="e">
        <f t="shared" si="2"/>
        <v>#DIV/0!</v>
      </c>
      <c r="J26" s="1273"/>
      <c r="K26" s="1279" t="e">
        <f t="shared" si="3"/>
        <v>#DIV/0!</v>
      </c>
      <c r="L26" s="1280">
        <f t="shared" si="4"/>
        <v>0</v>
      </c>
      <c r="M26" s="63" t="e">
        <f t="shared" si="8"/>
        <v>#DIV/0!</v>
      </c>
      <c r="N26" s="1827"/>
      <c r="O26" s="1828"/>
      <c r="P26" s="63">
        <f t="shared" si="9"/>
        <v>0</v>
      </c>
      <c r="R26" s="1157" t="e">
        <f t="shared" si="5"/>
        <v>#DIV/0!</v>
      </c>
      <c r="S26" s="1158" t="e">
        <f t="shared" si="5"/>
        <v>#DIV/0!</v>
      </c>
    </row>
    <row r="27" spans="1:19" ht="15.75" thickBot="1">
      <c r="A27" s="1826"/>
      <c r="B27" s="48"/>
      <c r="C27" s="1829" t="s">
        <v>1780</v>
      </c>
      <c r="D27" s="1274" t="e">
        <f>SUM(D19:D26)</f>
        <v>#DIV/0!</v>
      </c>
      <c r="E27" s="1275">
        <f>IF(SUM(E19:E26)='数据-基础表'!BA5,SUM(E19:E26),IF(F27="地上面积有误","面积有误","地下面积有误"))</f>
        <v>0</v>
      </c>
      <c r="F27" s="1274">
        <f>IF(SUM(F19:F26)=E8,SUM(F19:F26),"地上面积有误")</f>
        <v>0</v>
      </c>
      <c r="G27" s="1276">
        <f>SUM(G19:G26)</f>
        <v>0</v>
      </c>
      <c r="H27" s="1277" t="e">
        <f>SUM(H19:H26)</f>
        <v>#DIV/0!</v>
      </c>
      <c r="I27" s="1278" t="e">
        <f>SUM(I19:I26)</f>
        <v>#DIV/0!</v>
      </c>
      <c r="J27" s="1273"/>
      <c r="K27" s="1281" t="e">
        <f>SUM(K19:K26)</f>
        <v>#DIV/0!</v>
      </c>
      <c r="L27" s="1282">
        <f>SUM(L19:L26)</f>
        <v>0</v>
      </c>
      <c r="M27" s="1285" t="e">
        <f>SUM(M19:M26)</f>
        <v>#DIV/0!</v>
      </c>
      <c r="N27" s="1281">
        <f t="shared" ref="N27:O27" si="10">SUM(N19:N26)</f>
        <v>0</v>
      </c>
      <c r="O27" s="1282">
        <f t="shared" si="10"/>
        <v>0</v>
      </c>
      <c r="P27" s="1283">
        <f>SUM(P19:P26)</f>
        <v>0</v>
      </c>
      <c r="R27" s="1159" t="e">
        <f>IF(SUM(R19:R26)=$D$3,SUM(R19:R26),SUM(R19:R26)&amp;"误差"&amp;ROUND(SUM(R19:R26)-$D$3,2))</f>
        <v>#DIV/0!</v>
      </c>
      <c r="S27" s="1157" t="e">
        <f>IF(SUM(S19:S26)=$E$3,SUM(S19:S26),SUM(S19:S26)&amp;"误差"&amp;ROUND(SUM(S19:S26)-E3,2))</f>
        <v>#DIV/0!</v>
      </c>
    </row>
    <row r="28" spans="1:19">
      <c r="A28" s="1826"/>
      <c r="B28" s="50" t="s">
        <v>1781</v>
      </c>
      <c r="C28" s="1169" t="s">
        <v>1782</v>
      </c>
      <c r="D28" s="48" t="e">
        <f>ROUND($D$3*E28/$E$3,2)</f>
        <v>#DIV/0!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t="e">
        <f>ROUND($D$3*E29/$E$3,2)</f>
        <v>#DIV/0!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t="e">
        <f>SUM(D28:D29)</f>
        <v>#DIV/0!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t="e">
        <f>D27+D30</f>
        <v>#DIV/0!</v>
      </c>
      <c r="E31" s="685">
        <f>E27+E30</f>
        <v>0</v>
      </c>
      <c r="F31" s="686">
        <f>F27+F30</f>
        <v>0</v>
      </c>
      <c r="G31" s="687">
        <f>G27+G30</f>
        <v>0</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15"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0</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1807</v>
      </c>
      <c r="O5" s="1858" t="s">
        <v>1808</v>
      </c>
      <c r="P5" s="1861" t="s">
        <v>1809</v>
      </c>
      <c r="Q5" s="65" t="s">
        <v>1810</v>
      </c>
      <c r="R5" s="1862" t="s">
        <v>1811</v>
      </c>
      <c r="S5" s="1863" t="s">
        <v>1812</v>
      </c>
      <c r="T5" s="1864" t="s">
        <v>1813</v>
      </c>
      <c r="U5" s="1177" t="s">
        <v>1814</v>
      </c>
      <c r="V5" s="1178" t="s">
        <v>1815</v>
      </c>
      <c r="W5" s="1178" t="s">
        <v>1816</v>
      </c>
      <c r="X5" s="67"/>
      <c r="Y5" s="66" t="s">
        <v>1817</v>
      </c>
      <c r="Z5" s="1865" t="s">
        <v>1814</v>
      </c>
      <c r="AA5" s="1178" t="s">
        <v>1815</v>
      </c>
      <c r="AB5" s="1178" t="s">
        <v>1816</v>
      </c>
      <c r="AC5" s="67"/>
      <c r="AD5" s="67" t="s">
        <v>1817</v>
      </c>
      <c r="AE5" s="1177" t="s">
        <v>1818</v>
      </c>
      <c r="AF5" s="1178" t="s">
        <v>1819</v>
      </c>
      <c r="AG5" s="66" t="s">
        <v>1820</v>
      </c>
      <c r="AH5" s="1177" t="s">
        <v>1821</v>
      </c>
      <c r="AI5" s="1865" t="s">
        <v>1822</v>
      </c>
      <c r="AJ5" s="1865" t="s">
        <v>1823</v>
      </c>
      <c r="AK5" s="1178" t="s">
        <v>1824</v>
      </c>
      <c r="AL5" s="1178" t="s">
        <v>1825</v>
      </c>
      <c r="AM5" s="66" t="s">
        <v>1826</v>
      </c>
      <c r="AN5" s="1866" t="s">
        <v>1827</v>
      </c>
      <c r="AO5" s="1717" t="s">
        <v>1828</v>
      </c>
      <c r="AP5" s="1159" t="s">
        <v>1829</v>
      </c>
      <c r="AQ5" s="1867" t="s">
        <v>1830</v>
      </c>
      <c r="AR5" s="1867" t="s">
        <v>1831</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f>'数据-汇总表'!C19</f>
        <v>0</v>
      </c>
      <c r="B6" s="1869" t="str">
        <f>IF(A6=0,"","经营性")</f>
        <v/>
      </c>
      <c r="C6" s="1870"/>
      <c r="D6" s="967">
        <f>SUMIF(项目基本情况!D$12:I$12,C6,项目基本情况!D$14:I$14)</f>
        <v>0</v>
      </c>
      <c r="E6" s="966" t="str">
        <f>IF(B6="","",SUMIF(项目基本情况!D$12:I$12,C6,项目基本情况!D$13:I$13))</f>
        <v/>
      </c>
      <c r="F6" s="68">
        <f>SUMIF(项目基本情况!D$12:I$12,C6,项目基本情况!D$15:I$15)</f>
        <v>0</v>
      </c>
      <c r="G6" s="69">
        <f>IF(ISERROR(ROUND(POWER(1+H6,D6-F6)*(POWER(1+H6,F6)-1)/(POWER(1+H6,D6)-1),3)),0,ROUND(POWER(1+H6,D6-F6)*(POWER(1+H6,F6)-1)/(POWER(1+H6,D6)-1),3))</f>
        <v>0</v>
      </c>
      <c r="H6" s="741"/>
      <c r="I6" s="741"/>
      <c r="J6" s="70"/>
      <c r="K6" s="1161">
        <f>SUMIF('数据-汇总表'!C$19:C$33,A6,'数据-汇总表'!E$19:E$33)</f>
        <v>0</v>
      </c>
      <c r="L6" s="742"/>
      <c r="M6" s="71">
        <f t="shared" ref="M6:M14" si="0">ROUND(K6*L6/10000,0)</f>
        <v>0</v>
      </c>
      <c r="N6" s="740"/>
      <c r="O6" s="71">
        <f>IF($N$5="成新度","——",ROUND(M6*N6,0))</f>
        <v>0</v>
      </c>
      <c r="P6" s="72">
        <f>IF($N$5="成新度","——",M6-O6)</f>
        <v>0</v>
      </c>
      <c r="Q6" s="743"/>
      <c r="R6" s="73">
        <f ca="1">SUMIF('数据-汇总表'!C$19:C$33,A6,'数据-汇总表'!R$19:R$27)</f>
        <v>0</v>
      </c>
      <c r="S6" s="54">
        <f>IF('数据-汇总表'!$I$17="按面积比例",SUMIF('数据-汇总表'!C$19:C$33,A6,'数据-汇总表'!K$19:K$33),SUMIF('数据-汇总表'!C$19:C$33,A6,'数据-汇总表'!N$19:N$33))</f>
        <v>0</v>
      </c>
      <c r="T6" s="1306">
        <f>ROUND($L$14*S6/10000,0)</f>
        <v>0</v>
      </c>
      <c r="U6" s="74"/>
      <c r="V6" s="75"/>
      <c r="W6" s="75"/>
      <c r="X6" s="1171"/>
      <c r="Y6" s="76"/>
      <c r="Z6" s="77"/>
      <c r="AA6" s="70"/>
      <c r="AB6" s="70"/>
      <c r="AC6" s="1171"/>
      <c r="AD6" s="78"/>
      <c r="AE6" s="1172">
        <f ca="1">IF(AN6="",0,SUMIF(INDIRECT("'"&amp;AN6&amp;"'"&amp;"!E:E"),$AE$5,INDIRECT("'"&amp;AN6&amp;"'"&amp;"!F:F")))</f>
        <v>0</v>
      </c>
      <c r="AF6" s="1502"/>
      <c r="AG6" s="143">
        <f>IF(AF6="",0,AE6-AF6)</f>
        <v>0</v>
      </c>
      <c r="AH6" s="79"/>
      <c r="AI6" s="81"/>
      <c r="AJ6" s="82"/>
      <c r="AK6" s="83"/>
      <c r="AL6" s="84"/>
      <c r="AM6" s="85"/>
      <c r="AN6" s="1871"/>
      <c r="AO6" s="55" t="e">
        <f ca="1">SUMIF(INDIRECT("'"&amp;AN6&amp;"'"&amp;"!A:A"),"总价",INDIRECT("'"&amp;AN6&amp;"'"&amp;"!B:B"))</f>
        <v>#REF!</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1832</v>
      </c>
      <c r="B14" s="1869" t="s">
        <v>1833</v>
      </c>
      <c r="C14" s="1874" t="s">
        <v>1832</v>
      </c>
      <c r="D14" s="967"/>
      <c r="E14" s="966"/>
      <c r="F14" s="68"/>
      <c r="G14" s="69"/>
      <c r="H14" s="1160"/>
      <c r="I14" s="1160"/>
      <c r="J14" s="1160"/>
      <c r="K14" s="1161">
        <f>SUMIF('数据-汇总表'!C$19:C$33,A14,'数据-汇总表'!E$19:E$33)</f>
        <v>0</v>
      </c>
      <c r="L14" s="87"/>
      <c r="M14" s="71">
        <f t="shared" si="0"/>
        <v>0</v>
      </c>
      <c r="N14" s="88"/>
      <c r="O14" s="71">
        <f t="shared" si="3"/>
        <v>0</v>
      </c>
      <c r="P14" s="72">
        <f t="shared" si="4"/>
        <v>0</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1834</v>
      </c>
      <c r="B15" s="1869" t="s">
        <v>1833</v>
      </c>
      <c r="C15" s="1874" t="s">
        <v>1835</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1836</v>
      </c>
      <c r="B16" s="93"/>
      <c r="C16" s="942"/>
      <c r="D16" s="1876"/>
      <c r="E16" s="93"/>
      <c r="F16" s="93"/>
      <c r="G16" s="94" t="e">
        <f>ROUND(SUMPRODUCT(G6:G13,K6:K13)/SUMPRODUCT((G6:G13&gt;0)*(K6:K13)),3)</f>
        <v>#DIV/0!</v>
      </c>
      <c r="H16" s="95" t="e">
        <f>ROUND(SUMPRODUCT(H6:H13,K6:K13)/SUMPRODUCT((H6:H13&gt;0)*(K6:K13)),3)</f>
        <v>#DIV/0!</v>
      </c>
      <c r="I16" s="96"/>
      <c r="J16" s="96"/>
      <c r="K16" s="97">
        <f>SUM(K6:K15)</f>
        <v>0</v>
      </c>
      <c r="L16" s="98" t="e">
        <f>ROUND(M16*10000/SUM(K6:K14),0)</f>
        <v>#DIV/0!</v>
      </c>
      <c r="M16" s="98">
        <f>SUM(M6:M14)</f>
        <v>0</v>
      </c>
      <c r="N16" s="99" t="e">
        <f>ROUND(SUMPRODUCT(M6:M14,N6:N14)/M16,3)</f>
        <v>#DIV/0!</v>
      </c>
      <c r="O16" s="98">
        <f>SUM(O6:O14)</f>
        <v>0</v>
      </c>
      <c r="P16" s="98">
        <f>SUM(P6:P14)</f>
        <v>0</v>
      </c>
      <c r="Q16" s="100" t="e">
        <f>ROUND(SUMPRODUCT(Q6:Q13,K6:K13)/SUMPRODUCT((Q6:Q13&gt;0)*(K6:K13)),2)</f>
        <v>#DIV/0!</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1837</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1838</v>
      </c>
      <c r="B19" s="108"/>
      <c r="C19" s="3000" t="s">
        <v>2993</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1839</v>
      </c>
      <c r="B20" s="109"/>
      <c r="C20" s="3001" t="s">
        <v>2991</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1840</v>
      </c>
      <c r="B21" s="109"/>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1841</v>
      </c>
      <c r="B22" s="110">
        <f>B19+B20</f>
        <v>0</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1842</v>
      </c>
      <c r="B23" s="110">
        <f>B19+B21</f>
        <v>0</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1843</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1844</v>
      </c>
      <c r="B26" s="1882" t="s">
        <v>1845</v>
      </c>
      <c r="C26" s="2876" t="s">
        <v>1846</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1847</v>
      </c>
      <c r="B27" s="112"/>
      <c r="C27" s="3002" t="s">
        <v>2995</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1848</v>
      </c>
      <c r="B28" s="115"/>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1849</v>
      </c>
      <c r="B29" s="117"/>
      <c r="C29" s="3003" t="s">
        <v>2982</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1850</v>
      </c>
      <c r="B30" s="680"/>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1851</v>
      </c>
      <c r="B31" s="116">
        <f>B30-B32</f>
        <v>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1852</v>
      </c>
      <c r="B32" s="681"/>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1853</v>
      </c>
      <c r="B33" s="682"/>
      <c r="C33" s="3004" t="s">
        <v>2983</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1854</v>
      </c>
      <c r="B34" s="118"/>
      <c r="C34" s="3004" t="s">
        <v>2984</v>
      </c>
      <c r="D34" s="2883" t="s">
        <v>2992</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1855</v>
      </c>
      <c r="B35" s="115"/>
      <c r="C35" s="3004" t="s">
        <v>2985</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1856</v>
      </c>
      <c r="B36" s="119"/>
      <c r="C36" s="3004" t="s">
        <v>2986</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1857</v>
      </c>
      <c r="B37" s="120"/>
      <c r="C37" s="3004" t="s">
        <v>2987</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1858</v>
      </c>
      <c r="B38" s="118"/>
      <c r="C38" s="3004" t="s">
        <v>2987</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1859</v>
      </c>
      <c r="B39" s="323">
        <f ca="1">存贷款利率!I1</f>
        <v>0</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15" thickBot="1">
      <c r="A40" s="3016" t="s">
        <v>3003</v>
      </c>
      <c r="B40" s="1210">
        <f ca="1">IF(A40="利息：取LPR",存贷款利率!G1,存贷款利率!G1+C40)</f>
        <v>0</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1860</v>
      </c>
      <c r="B41" s="121">
        <f>B42+B43</f>
        <v>0</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1861</v>
      </c>
      <c r="B42" s="122"/>
      <c r="C42" s="2882">
        <f>IF(B2&lt;DATE(2016,5,1),0,B42)</f>
        <v>0</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1862</v>
      </c>
      <c r="B43" s="123">
        <f>B42*(B44+B45+B46)+B47</f>
        <v>0</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1863</v>
      </c>
      <c r="B44" s="124"/>
      <c r="C44" s="3004" t="s">
        <v>2996</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1864</v>
      </c>
      <c r="B45" s="122"/>
      <c r="C45" s="3003" t="s">
        <v>2988</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1865</v>
      </c>
      <c r="B46" s="122"/>
      <c r="C46" s="3003" t="s">
        <v>2989</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1866</v>
      </c>
      <c r="B47" s="125"/>
      <c r="C47" s="3006" t="s">
        <v>2997</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1867</v>
      </c>
      <c r="B48" s="126"/>
      <c r="C48" s="3003" t="s">
        <v>2988</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1868</v>
      </c>
      <c r="B49" s="122"/>
      <c r="C49" s="3003" t="s">
        <v>2990</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1869</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1870</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1871</v>
      </c>
      <c r="B52" s="129">
        <f>SUMIF(A54:A63,B53,B54:B63)</f>
        <v>0</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1872</v>
      </c>
      <c r="B53" s="1894"/>
      <c r="C53" s="2858" t="s">
        <v>1873</v>
      </c>
      <c r="D53" s="3005" t="s">
        <v>2994</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1874</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1875</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1876</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1877</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1878</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1879</v>
      </c>
      <c r="B59" s="80"/>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1880</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1881</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1882</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1883</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53" t="s">
        <v>2974</v>
      </c>
      <c r="B1" s="3354"/>
      <c r="C1" s="3354"/>
      <c r="D1" s="3354"/>
      <c r="E1" s="3354"/>
      <c r="F1" s="3354"/>
      <c r="G1" s="3354"/>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2969</v>
      </c>
      <c r="D2" s="2657"/>
      <c r="E2" s="2654"/>
      <c r="F2" s="2658"/>
      <c r="G2" s="2656" t="s">
        <v>2970</v>
      </c>
      <c r="H2" s="907"/>
      <c r="I2" s="907"/>
      <c r="J2" s="907"/>
      <c r="K2" s="907"/>
      <c r="L2" s="907"/>
      <c r="M2" s="907"/>
      <c r="N2" s="907"/>
      <c r="O2" s="907"/>
      <c r="P2" s="907"/>
      <c r="Q2" s="907"/>
      <c r="R2" s="907"/>
    </row>
    <row r="3" spans="1:29" ht="48">
      <c r="A3" s="2637" t="s">
        <v>2971</v>
      </c>
      <c r="B3" s="2659" t="s">
        <v>2940</v>
      </c>
      <c r="C3" s="2660" t="s">
        <v>2972</v>
      </c>
      <c r="D3" s="2661"/>
      <c r="E3" s="2638" t="s">
        <v>2971</v>
      </c>
      <c r="F3" s="2662" t="s">
        <v>2941</v>
      </c>
      <c r="G3" s="2663" t="s">
        <v>2973</v>
      </c>
      <c r="H3" s="907"/>
      <c r="I3" s="907"/>
      <c r="J3" s="907"/>
      <c r="K3" s="907"/>
      <c r="L3" s="907"/>
      <c r="M3" s="907"/>
      <c r="N3" s="907"/>
      <c r="O3" s="907"/>
      <c r="P3" s="907"/>
      <c r="Q3" s="907"/>
      <c r="R3" s="907"/>
    </row>
    <row r="4" spans="1:29" ht="36.75">
      <c r="A4" s="2638"/>
      <c r="B4" s="329" t="s">
        <v>2942</v>
      </c>
      <c r="C4" s="2664" t="s">
        <v>2943</v>
      </c>
      <c r="D4" s="2661"/>
      <c r="E4" s="2665"/>
      <c r="F4" s="1527" t="s">
        <v>2944</v>
      </c>
      <c r="G4" s="2666" t="s">
        <v>2945</v>
      </c>
      <c r="H4" s="907"/>
      <c r="I4" s="907"/>
      <c r="J4" s="907"/>
      <c r="K4" s="907"/>
      <c r="L4" s="907"/>
      <c r="M4" s="907"/>
      <c r="N4" s="907"/>
      <c r="O4" s="907"/>
      <c r="P4" s="907"/>
      <c r="Q4" s="907"/>
      <c r="R4" s="907"/>
    </row>
    <row r="5" spans="1:29" ht="36.75">
      <c r="A5" s="2638"/>
      <c r="B5" s="329" t="s">
        <v>2946</v>
      </c>
      <c r="C5" s="2664" t="s">
        <v>2947</v>
      </c>
      <c r="D5" s="2661"/>
      <c r="E5" s="2665"/>
      <c r="F5" s="329" t="s">
        <v>2948</v>
      </c>
      <c r="G5" s="2666" t="s">
        <v>2949</v>
      </c>
      <c r="H5" s="907"/>
      <c r="I5" s="907"/>
      <c r="J5" s="907"/>
      <c r="K5" s="907"/>
      <c r="L5" s="907"/>
      <c r="M5" s="907"/>
      <c r="N5" s="907"/>
      <c r="O5" s="907"/>
      <c r="P5" s="907"/>
      <c r="Q5" s="907"/>
      <c r="R5" s="907"/>
    </row>
    <row r="6" spans="1:29" ht="36">
      <c r="A6" s="2638"/>
      <c r="B6" s="329" t="s">
        <v>2950</v>
      </c>
      <c r="C6" s="2666" t="s">
        <v>2945</v>
      </c>
      <c r="D6" s="2661"/>
      <c r="E6" s="2665"/>
      <c r="F6" s="329" t="s">
        <v>2951</v>
      </c>
      <c r="G6" s="2666" t="s">
        <v>2952</v>
      </c>
      <c r="H6" s="907"/>
      <c r="I6" s="907"/>
      <c r="J6" s="907"/>
      <c r="K6" s="907"/>
      <c r="L6" s="907"/>
      <c r="M6" s="907"/>
      <c r="N6" s="907"/>
      <c r="O6" s="907"/>
      <c r="P6" s="907"/>
      <c r="Q6" s="907"/>
      <c r="R6" s="907"/>
    </row>
    <row r="7" spans="1:29" ht="24.75" thickBot="1">
      <c r="A7" s="2638"/>
      <c r="B7" s="329" t="s">
        <v>2948</v>
      </c>
      <c r="C7" s="2666" t="s">
        <v>2949</v>
      </c>
      <c r="D7" s="2667"/>
      <c r="E7" s="2668"/>
      <c r="F7" s="2669" t="s">
        <v>2953</v>
      </c>
      <c r="G7" s="2670" t="s">
        <v>2954</v>
      </c>
      <c r="H7" s="907"/>
      <c r="I7" s="907"/>
      <c r="J7" s="907"/>
      <c r="K7" s="907"/>
      <c r="L7" s="907"/>
      <c r="M7" s="907"/>
      <c r="N7" s="907"/>
      <c r="O7" s="907"/>
      <c r="P7" s="907"/>
      <c r="Q7" s="907"/>
      <c r="R7" s="907"/>
    </row>
    <row r="8" spans="1:29">
      <c r="A8" s="2638"/>
      <c r="B8" s="329" t="s">
        <v>2951</v>
      </c>
      <c r="C8" s="2666" t="s">
        <v>2952</v>
      </c>
      <c r="D8" s="2667"/>
      <c r="E8" s="2667"/>
      <c r="F8" s="2671"/>
      <c r="G8" s="2671"/>
      <c r="H8" s="907"/>
      <c r="I8" s="907"/>
      <c r="J8" s="907"/>
      <c r="K8" s="907"/>
      <c r="L8" s="907"/>
      <c r="M8" s="907"/>
      <c r="N8" s="907"/>
      <c r="O8" s="907"/>
      <c r="P8" s="907"/>
      <c r="Q8" s="907"/>
      <c r="R8" s="907"/>
    </row>
    <row r="9" spans="1:29" ht="24">
      <c r="A9" s="2638"/>
      <c r="B9" s="329" t="s">
        <v>2955</v>
      </c>
      <c r="C9" s="2664" t="s">
        <v>2956</v>
      </c>
      <c r="D9" s="2661"/>
      <c r="E9" s="2667"/>
      <c r="F9" s="2671"/>
      <c r="G9" s="2671"/>
      <c r="H9" s="907"/>
      <c r="I9" s="907"/>
      <c r="J9" s="907"/>
      <c r="K9" s="907"/>
      <c r="L9" s="907"/>
      <c r="M9" s="907"/>
      <c r="N9" s="907"/>
      <c r="O9" s="907"/>
      <c r="P9" s="907"/>
      <c r="Q9" s="907"/>
      <c r="R9" s="907"/>
    </row>
    <row r="10" spans="1:29" s="2677" customFormat="1" ht="15" thickBot="1">
      <c r="A10" s="2639"/>
      <c r="B10" s="2672" t="s">
        <v>2957</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2975</v>
      </c>
      <c r="B13" s="2680"/>
      <c r="C13" s="2680"/>
      <c r="D13" s="2678"/>
      <c r="E13" s="2680"/>
      <c r="F13" s="2680"/>
      <c r="G13" s="2680"/>
    </row>
    <row r="14" spans="1:29" ht="15" thickBot="1">
      <c r="A14" s="2690"/>
      <c r="B14" s="2690"/>
      <c r="C14" s="2691" t="s">
        <v>2958</v>
      </c>
      <c r="D14" s="2661"/>
      <c r="E14" s="2692"/>
      <c r="F14" s="2692"/>
      <c r="G14" s="2656" t="s">
        <v>2959</v>
      </c>
    </row>
    <row r="15" spans="1:29" ht="51">
      <c r="A15" s="2640" t="s">
        <v>2960</v>
      </c>
      <c r="B15" s="2693" t="s">
        <v>2940</v>
      </c>
      <c r="C15" s="2694" t="str">
        <f>C3</f>
        <v>估价对象周边居住用地比例、居住小区规模和社区发展完善程度，综合评价居住社区成熟度一般</v>
      </c>
      <c r="D15" s="2661"/>
      <c r="E15" s="2641" t="s">
        <v>2961</v>
      </c>
      <c r="F15" s="2693" t="s">
        <v>2962</v>
      </c>
      <c r="G15" s="2695" t="str">
        <f>G3</f>
        <v>估价对象位于XX开发区，园区建设成熟度XX，产业集聚程度XX</v>
      </c>
    </row>
    <row r="16" spans="1:29" ht="38.25">
      <c r="A16" s="2642"/>
      <c r="B16" s="2696" t="s">
        <v>2942</v>
      </c>
      <c r="C16" s="2697" t="str">
        <f>C4</f>
        <v>估价对象位于XX商圈，周边商业氛围成熟，人流量大，商业繁华度好</v>
      </c>
      <c r="D16" s="2661"/>
      <c r="E16" s="2643"/>
      <c r="F16" s="2698" t="s">
        <v>2944</v>
      </c>
      <c r="G16" s="2699" t="str">
        <f>G4</f>
        <v>估价对象周边道路状况、公共交通通达情况、停车便捷程度，综合评价交通便捷度较好</v>
      </c>
    </row>
    <row r="17" spans="1:18" ht="38.25">
      <c r="A17" s="2642"/>
      <c r="B17" s="2696" t="s">
        <v>2946</v>
      </c>
      <c r="C17" s="2697" t="str">
        <f>C5</f>
        <v>估价对象位于XX商圈，周边办公楼项目较多，入驻率高，办公集聚程度较好</v>
      </c>
      <c r="D17" s="2667"/>
      <c r="E17" s="2643"/>
      <c r="F17" s="2698" t="s">
        <v>2963</v>
      </c>
      <c r="G17" s="2700"/>
    </row>
    <row r="18" spans="1:18" ht="38.25">
      <c r="A18" s="2642"/>
      <c r="B18" s="2698" t="s">
        <v>2950</v>
      </c>
      <c r="C18" s="2699" t="str">
        <f>C6</f>
        <v>估价对象周边道路状况、公共交通通达情况、停车便捷程度，综合评价交通便捷度较好</v>
      </c>
      <c r="D18" s="2667"/>
      <c r="E18" s="2643"/>
      <c r="F18" s="2698" t="s">
        <v>2953</v>
      </c>
      <c r="G18" s="2699" t="str">
        <f>G7</f>
        <v>该园区内是否有污染型企业，绿化情况，卫生条件，整体环境状况判断</v>
      </c>
    </row>
    <row r="19" spans="1:18" ht="25.5">
      <c r="A19" s="2642"/>
      <c r="B19" s="2698" t="s">
        <v>2964</v>
      </c>
      <c r="C19" s="2700"/>
      <c r="D19" s="2661"/>
      <c r="E19" s="2643"/>
      <c r="F19" s="329" t="s">
        <v>2948</v>
      </c>
      <c r="G19" s="2699" t="str">
        <f>G5</f>
        <v>估价对象所在区域公共配套设施齐备情况</v>
      </c>
    </row>
    <row r="20" spans="1:18" ht="25.5">
      <c r="A20" s="2642"/>
      <c r="B20" s="2698" t="s">
        <v>2965</v>
      </c>
      <c r="C20" s="2697" t="str">
        <f>C9</f>
        <v>区域自然环境：；人文环境；综合评价环境状况一般</v>
      </c>
      <c r="D20" s="2667"/>
      <c r="E20" s="2643"/>
      <c r="F20" s="329" t="s">
        <v>2951</v>
      </c>
      <c r="G20" s="2699" t="str">
        <f>G6</f>
        <v>估价对象所在区域基础设施水平</v>
      </c>
    </row>
    <row r="21" spans="1:18" ht="25.5">
      <c r="A21" s="2642"/>
      <c r="B21" s="329" t="s">
        <v>2948</v>
      </c>
      <c r="C21" s="2699" t="str">
        <f>C7</f>
        <v>估价对象所在区域公共配套设施齐备情况</v>
      </c>
      <c r="D21" s="2661"/>
      <c r="E21" s="2643"/>
      <c r="F21" s="2698" t="s">
        <v>2966</v>
      </c>
      <c r="G21" s="2701"/>
    </row>
    <row r="22" spans="1:18" ht="13.5" customHeight="1">
      <c r="A22" s="2642"/>
      <c r="B22" s="329" t="s">
        <v>2951</v>
      </c>
      <c r="C22" s="2699" t="str">
        <f>C8</f>
        <v>估价对象所在区域基础设施水平</v>
      </c>
      <c r="D22" s="2661"/>
      <c r="E22" s="2643"/>
      <c r="F22" s="2698" t="s">
        <v>2957</v>
      </c>
      <c r="G22" s="2700"/>
    </row>
    <row r="23" spans="1:18" s="907" customFormat="1" ht="15" thickBot="1">
      <c r="A23" s="2642"/>
      <c r="B23" s="2698" t="s">
        <v>2966</v>
      </c>
      <c r="C23" s="2701"/>
      <c r="D23" s="1897"/>
      <c r="E23" s="2644"/>
      <c r="F23" s="2702" t="s">
        <v>2967</v>
      </c>
      <c r="G23" s="2703"/>
      <c r="H23" s="2687"/>
      <c r="I23" s="2688"/>
      <c r="J23" s="2687"/>
      <c r="K23" s="2687"/>
      <c r="L23" s="2688"/>
      <c r="M23" s="2687"/>
      <c r="N23" s="2687"/>
      <c r="O23" s="2688"/>
      <c r="P23" s="2687"/>
      <c r="Q23" s="2687"/>
      <c r="R23" s="2689"/>
    </row>
    <row r="24" spans="1:18" s="907" customFormat="1" ht="15" thickBot="1">
      <c r="A24" s="2645"/>
      <c r="B24" s="2702" t="s">
        <v>2968</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0</v>
      </c>
      <c r="C1" s="2885"/>
      <c r="D1" s="2885"/>
      <c r="E1" s="2885"/>
      <c r="F1" s="2885"/>
      <c r="G1" s="2886"/>
      <c r="H1" s="2887"/>
      <c r="I1" s="2887"/>
      <c r="J1" s="2887"/>
      <c r="K1" s="2887"/>
    </row>
    <row r="2" spans="1:11" ht="16.5">
      <c r="A2" s="2708" t="s">
        <v>1259</v>
      </c>
      <c r="B2" s="2708" t="e">
        <f>SUM(C14:C23)</f>
        <v>#DIV/0!</v>
      </c>
      <c r="C2" s="2885"/>
      <c r="D2" s="2885"/>
      <c r="E2" s="2885"/>
      <c r="F2" s="2885"/>
      <c r="G2" s="2886"/>
      <c r="H2" s="2887"/>
      <c r="I2" s="2887"/>
      <c r="J2" s="2887"/>
      <c r="K2" s="2887"/>
    </row>
    <row r="3" spans="1:11" ht="16.5">
      <c r="A3" s="2708" t="s">
        <v>1268</v>
      </c>
      <c r="B3" s="2710">
        <f>项目基本情况!D3</f>
        <v>0</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t="e">
        <f ca="1">SUM(D14:D23)</f>
        <v>#REF!</v>
      </c>
      <c r="C5" s="2708" t="e">
        <f ca="1">ROUND(B5*10000/$B$1,0)</f>
        <v>#REF!</v>
      </c>
      <c r="D5" s="2708" t="e">
        <f ca="1">ROUND(B5*10000/$B$2,0)</f>
        <v>#REF!</v>
      </c>
      <c r="E5" s="2885"/>
      <c r="F5" s="2886"/>
      <c r="G5" s="2886"/>
      <c r="H5" s="2887"/>
      <c r="I5" s="2887"/>
      <c r="J5" s="2887"/>
      <c r="K5" s="2887"/>
    </row>
    <row r="6" spans="1:11" ht="16.5">
      <c r="A6" s="2708" t="s">
        <v>1262</v>
      </c>
      <c r="B6" s="2708" t="e">
        <f ca="1">SUM(G14:G23)</f>
        <v>#REF!</v>
      </c>
      <c r="C6" s="2708" t="e">
        <f ca="1">ROUND(B6*10000/$B$1,0)</f>
        <v>#REF!</v>
      </c>
      <c r="D6" s="2708" t="e">
        <f ca="1">ROUND(B6*10000/$B$2,0)</f>
        <v>#REF!</v>
      </c>
      <c r="E6" s="2885"/>
      <c r="F6" s="2886"/>
      <c r="G6" s="2886"/>
      <c r="H6" s="2887"/>
      <c r="I6" s="2887"/>
      <c r="J6" s="2887"/>
      <c r="K6" s="2887"/>
    </row>
    <row r="7" spans="1:11" ht="16.5">
      <c r="A7" s="2708" t="s">
        <v>1270</v>
      </c>
      <c r="B7" s="2708">
        <f>SUM(H14:H23)</f>
        <v>0</v>
      </c>
      <c r="C7" s="2708" t="e">
        <f>ROUND(B7*10000/$B$1,0)</f>
        <v>#DIV/0!</v>
      </c>
      <c r="D7" s="2708" t="e">
        <f>ROUND(B7*10000/$B$2,0)</f>
        <v>#DIV/0!</v>
      </c>
      <c r="E7" s="2885"/>
      <c r="F7" s="2886"/>
      <c r="G7" s="2886"/>
      <c r="H7" s="2887"/>
      <c r="I7" s="2887"/>
      <c r="J7" s="2887"/>
      <c r="K7" s="2887"/>
    </row>
    <row r="8" spans="1:11" ht="16.5">
      <c r="A8" s="2708" t="s">
        <v>1193</v>
      </c>
      <c r="B8" s="2708">
        <f>SUM(I14:I23)</f>
        <v>0</v>
      </c>
      <c r="C8" s="2708" t="e">
        <f>ROUND(B8*10000/$B$1,0)</f>
        <v>#DIV/0!</v>
      </c>
      <c r="D8" s="2708" t="e">
        <f>ROUND(B8*10000/$B$2,0)</f>
        <v>#DIV/0!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0</v>
      </c>
      <c r="C14" s="2714" t="e">
        <f>结果表!C118</f>
        <v>#DIV/0!</v>
      </c>
      <c r="D14" s="2714" t="e">
        <f ca="1">结果表!H118</f>
        <v>#REF!</v>
      </c>
      <c r="E14" s="2714" t="e">
        <f ca="1">ROUND(D14*10000/B14,0)</f>
        <v>#REF!</v>
      </c>
      <c r="F14" s="2714" t="e">
        <f ca="1">ROUND(D14*10000/C14,0)</f>
        <v>#REF!</v>
      </c>
      <c r="G14" s="2714" t="e">
        <f ca="1">结果表!D122</f>
        <v>#REF!</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45" t="str">
        <f>项目基本情况!B1</f>
        <v>预评估</v>
      </c>
      <c r="C37" s="3245"/>
      <c r="D37" s="3245"/>
      <c r="E37" s="3245"/>
      <c r="F37" s="3245"/>
      <c r="G37" s="3245"/>
      <c r="H37" s="3245"/>
      <c r="I37" s="3245"/>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H25" sqref="H25"/>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1889</v>
      </c>
      <c r="B1" s="1903"/>
      <c r="C1" s="1904"/>
      <c r="D1" s="1903"/>
      <c r="E1" s="1903"/>
      <c r="F1" s="1905" t="s">
        <v>1890</v>
      </c>
      <c r="G1" s="1716"/>
      <c r="H1" s="1906" t="str">
        <f>IF(G1="现房","——","估价对象范围")</f>
        <v>估价对象范围</v>
      </c>
      <c r="I1" s="1907"/>
    </row>
    <row r="2" spans="1:12" ht="21.75" customHeight="1" thickBot="1">
      <c r="A2" s="3425" t="str">
        <f>项目基本情况!S2</f>
        <v>房地产</v>
      </c>
      <c r="B2" s="3426"/>
      <c r="C2" s="3426"/>
      <c r="D2" s="3426"/>
      <c r="E2" s="3426"/>
      <c r="F2" s="3426"/>
      <c r="G2" s="3426"/>
      <c r="H2" s="3426"/>
      <c r="I2" s="3427"/>
    </row>
    <row r="3" spans="1:12" ht="12.75">
      <c r="A3" s="3429" t="s">
        <v>1891</v>
      </c>
      <c r="B3" s="3430"/>
      <c r="C3" s="3430"/>
      <c r="D3" s="3430"/>
      <c r="E3" s="3430"/>
      <c r="F3" s="3430"/>
      <c r="G3" s="3430"/>
      <c r="H3" s="3430"/>
      <c r="I3" s="3430"/>
    </row>
    <row r="4" spans="1:12" ht="14.25">
      <c r="A4" s="1910" t="s">
        <v>1892</v>
      </c>
      <c r="B4" s="1911" t="s">
        <v>1893</v>
      </c>
      <c r="C4" s="1912"/>
      <c r="D4" s="1912"/>
      <c r="E4" s="3434" t="s">
        <v>1894</v>
      </c>
      <c r="F4" s="3435"/>
      <c r="G4" s="3435"/>
      <c r="H4" s="3435"/>
      <c r="I4" s="3436"/>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70" t="s">
        <v>1895</v>
      </c>
      <c r="B5" s="3428">
        <v>25</v>
      </c>
      <c r="C5" s="3431"/>
      <c r="D5" s="3419"/>
      <c r="E5" s="136" t="s">
        <v>1896</v>
      </c>
      <c r="F5" s="1913"/>
      <c r="G5" s="1913"/>
      <c r="H5" s="1913"/>
      <c r="I5" s="1527"/>
    </row>
    <row r="6" spans="1:12" ht="12.75">
      <c r="A6" s="3370"/>
      <c r="B6" s="3428"/>
      <c r="C6" s="3433"/>
      <c r="D6" s="3419"/>
      <c r="E6" s="136" t="s">
        <v>1897</v>
      </c>
      <c r="F6" s="1913"/>
      <c r="G6" s="1913"/>
      <c r="H6" s="1913"/>
      <c r="I6" s="1527"/>
    </row>
    <row r="7" spans="1:12" ht="12.75">
      <c r="A7" s="3370"/>
      <c r="B7" s="3428"/>
      <c r="C7" s="3432"/>
      <c r="D7" s="3419"/>
      <c r="E7" s="136" t="s">
        <v>1898</v>
      </c>
      <c r="F7" s="1913"/>
      <c r="G7" s="1913"/>
      <c r="H7" s="1913"/>
      <c r="I7" s="1527"/>
    </row>
    <row r="8" spans="1:12" ht="12.75">
      <c r="A8" s="3370" t="s">
        <v>1899</v>
      </c>
      <c r="B8" s="3428">
        <v>15</v>
      </c>
      <c r="C8" s="3431"/>
      <c r="D8" s="3419"/>
      <c r="E8" s="136" t="s">
        <v>1900</v>
      </c>
      <c r="F8" s="1913"/>
      <c r="G8" s="1913"/>
      <c r="H8" s="1913"/>
      <c r="I8" s="1527"/>
    </row>
    <row r="9" spans="1:12" ht="12.75">
      <c r="A9" s="3370"/>
      <c r="B9" s="3428"/>
      <c r="C9" s="3432"/>
      <c r="D9" s="3419"/>
      <c r="E9" s="136" t="s">
        <v>1901</v>
      </c>
      <c r="F9" s="1913"/>
      <c r="G9" s="1913"/>
      <c r="H9" s="1913"/>
      <c r="I9" s="1527"/>
    </row>
    <row r="10" spans="1:12" ht="12.75">
      <c r="A10" s="3370" t="s">
        <v>1902</v>
      </c>
      <c r="B10" s="3428">
        <v>15</v>
      </c>
      <c r="C10" s="3431"/>
      <c r="D10" s="3419"/>
      <c r="E10" s="136" t="s">
        <v>1903</v>
      </c>
      <c r="F10" s="1913"/>
      <c r="G10" s="1913"/>
      <c r="H10" s="1913"/>
      <c r="I10" s="1527"/>
    </row>
    <row r="11" spans="1:12" ht="12.75">
      <c r="A11" s="3370"/>
      <c r="B11" s="3428"/>
      <c r="C11" s="3432"/>
      <c r="D11" s="3419"/>
      <c r="E11" s="136" t="s">
        <v>1904</v>
      </c>
      <c r="F11" s="1913"/>
      <c r="G11" s="1913"/>
      <c r="H11" s="1913"/>
      <c r="I11" s="1527"/>
    </row>
    <row r="12" spans="1:12" ht="12.75">
      <c r="A12" s="3370" t="s">
        <v>1905</v>
      </c>
      <c r="B12" s="3428">
        <v>15</v>
      </c>
      <c r="C12" s="3431"/>
      <c r="D12" s="3419"/>
      <c r="E12" s="136" t="s">
        <v>1906</v>
      </c>
      <c r="F12" s="1913"/>
      <c r="G12" s="1913"/>
      <c r="H12" s="1913"/>
      <c r="I12" s="1527"/>
    </row>
    <row r="13" spans="1:12" ht="12.75">
      <c r="A13" s="3370"/>
      <c r="B13" s="3428"/>
      <c r="C13" s="3432"/>
      <c r="D13" s="3419"/>
      <c r="E13" s="136" t="s">
        <v>1907</v>
      </c>
      <c r="F13" s="1913"/>
      <c r="G13" s="1913"/>
      <c r="H13" s="1913"/>
      <c r="I13" s="1527"/>
    </row>
    <row r="14" spans="1:12" ht="12.75">
      <c r="A14" s="3370" t="s">
        <v>1908</v>
      </c>
      <c r="B14" s="3428">
        <v>30</v>
      </c>
      <c r="C14" s="3431"/>
      <c r="D14" s="3419"/>
      <c r="E14" s="136" t="s">
        <v>1909</v>
      </c>
      <c r="F14" s="1913"/>
      <c r="G14" s="1913"/>
      <c r="H14" s="1913"/>
      <c r="I14" s="1527"/>
    </row>
    <row r="15" spans="1:12" ht="12.75">
      <c r="A15" s="3370"/>
      <c r="B15" s="3428"/>
      <c r="C15" s="3433"/>
      <c r="D15" s="3419"/>
      <c r="E15" s="136" t="s">
        <v>1910</v>
      </c>
      <c r="F15" s="1913"/>
      <c r="G15" s="1913"/>
      <c r="H15" s="1913"/>
      <c r="I15" s="1527"/>
    </row>
    <row r="16" spans="1:12" ht="12.75">
      <c r="A16" s="3370"/>
      <c r="B16" s="3428"/>
      <c r="C16" s="3432"/>
      <c r="D16" s="3419"/>
      <c r="E16" s="136" t="s">
        <v>1911</v>
      </c>
      <c r="F16" s="1913"/>
      <c r="G16" s="1913"/>
      <c r="H16" s="1913"/>
      <c r="I16" s="1527"/>
    </row>
    <row r="17" spans="1:36" ht="15">
      <c r="A17" s="1914" t="s">
        <v>1912</v>
      </c>
      <c r="B17" s="60"/>
      <c r="C17" s="137">
        <f>SUM(C5:C16)</f>
        <v>0</v>
      </c>
      <c r="D17" s="137">
        <f>SUM(D5:D16)</f>
        <v>0</v>
      </c>
      <c r="E17" s="134"/>
      <c r="F17" s="134"/>
      <c r="G17" s="134"/>
      <c r="H17" s="134"/>
      <c r="I17" s="134"/>
      <c r="K17" s="308"/>
      <c r="L17" s="308" t="s">
        <v>1913</v>
      </c>
      <c r="M17" s="308" t="s">
        <v>1914</v>
      </c>
    </row>
    <row r="18" spans="1:36" ht="31.9" customHeight="1" thickBot="1">
      <c r="A18" s="1915" t="s">
        <v>1915</v>
      </c>
      <c r="B18" s="1916"/>
      <c r="C18" s="138" t="e">
        <f>ROUND(C17/SUM(C17:D17),2)</f>
        <v>#DIV/0!</v>
      </c>
      <c r="D18" s="138" t="e">
        <f>1-C18</f>
        <v>#DIV/0!</v>
      </c>
      <c r="E18" s="3450" t="s">
        <v>2815</v>
      </c>
      <c r="F18" s="3451"/>
      <c r="G18" s="3451"/>
      <c r="H18" s="3451"/>
      <c r="I18" s="3451"/>
      <c r="K18" s="308" t="s">
        <v>1916</v>
      </c>
      <c r="L18" s="308">
        <f>IF(C1="",'数据-汇总表'!E3,SUMIF(项目类型,C1,'数据-汇总表'!E17:E26)+SUMIF(项目类型,C1,'数据-汇总表'!I17:I26))</f>
        <v>0</v>
      </c>
      <c r="M18" s="308">
        <f>IF(C1="",'数据-汇总表'!E3,SUMIF(项目类型,C1,'数据-汇总表'!E17:E26))</f>
        <v>0</v>
      </c>
    </row>
    <row r="19" spans="1:36" ht="15">
      <c r="A19" s="1917" t="s">
        <v>1917</v>
      </c>
      <c r="B19" s="1918" t="s">
        <v>1918</v>
      </c>
      <c r="C19" s="139" t="e">
        <f ca="1">SUMIF(INDIRECT("'"&amp;C4&amp;"'"&amp;"!A:A"),结果表!B19,INDIRECT("'"&amp;C4&amp;"'"&amp;"!B:B"))</f>
        <v>#REF!</v>
      </c>
      <c r="D19" s="140" t="e">
        <f ca="1">SUMIF(INDIRECT("'"&amp;D4&amp;"'"&amp;"!A:A"),结果表!B19,INDIRECT("'"&amp;D4&amp;"'"&amp;"!B:B"))</f>
        <v>#REF!</v>
      </c>
      <c r="E19" s="1917" t="s">
        <v>1919</v>
      </c>
      <c r="F19" s="1918" t="s">
        <v>1918</v>
      </c>
      <c r="G19" s="141" t="e">
        <f ca="1">ROUND(C19*$C$18+D19*$D$18,0)</f>
        <v>#REF!</v>
      </c>
      <c r="H19" s="1919" t="s">
        <v>1920</v>
      </c>
      <c r="I19" s="134"/>
      <c r="K19" s="308" t="s">
        <v>1921</v>
      </c>
      <c r="L19" s="308" t="e">
        <f>IF(C1="",'数据-汇总表'!D3,SUMIF(项目类型,C1,'数据-汇总表'!D17:D26)+SUMIF(项目类型,C1,'数据-汇总表'!H17:H27))</f>
        <v>#DIV/0!</v>
      </c>
      <c r="M19" s="308" t="e">
        <f>IF(C1="",'数据-汇总表'!D3,SUMIF(项目类型,C1,'数据-汇总表'!D17:D26))</f>
        <v>#DIV/0!</v>
      </c>
    </row>
    <row r="20" spans="1:36" ht="15">
      <c r="A20" s="1920"/>
      <c r="B20" s="1157" t="s">
        <v>1922</v>
      </c>
      <c r="C20" s="142" t="e">
        <f ca="1">SUMIF(INDIRECT("'"&amp;C4&amp;"'"&amp;"!A:A"),结果表!B20,INDIRECT("'"&amp;C4&amp;"'"&amp;"!B:B"))</f>
        <v>#REF!</v>
      </c>
      <c r="D20" s="143" t="e">
        <f ca="1">SUMIF(INDIRECT("'"&amp;D4&amp;"'"&amp;"!A:A"),结果表!B20,INDIRECT("'"&amp;D4&amp;"'"&amp;"!B:B"))</f>
        <v>#REF!</v>
      </c>
      <c r="E20" s="1920"/>
      <c r="F20" s="1157" t="s">
        <v>1922</v>
      </c>
      <c r="G20" s="144" t="e">
        <f ca="1">ROUND(C20*$C$18+D20*$D$18,0)</f>
        <v>#REF!</v>
      </c>
      <c r="H20" s="917" t="s">
        <v>1923</v>
      </c>
      <c r="I20" s="134"/>
    </row>
    <row r="21" spans="1:36" ht="15" customHeight="1" thickBot="1">
      <c r="A21" s="937"/>
      <c r="B21" s="1921" t="s">
        <v>1924</v>
      </c>
      <c r="C21" s="728" t="e">
        <f ca="1">ROUND(C19*10000/L19,0)</f>
        <v>#REF!</v>
      </c>
      <c r="D21" s="729" t="e">
        <f ca="1">ROUND(D19*10000/L19,0)</f>
        <v>#REF!</v>
      </c>
      <c r="E21" s="937"/>
      <c r="F21" s="1921" t="s">
        <v>1924</v>
      </c>
      <c r="G21" s="145" t="e">
        <f ca="1">ROUND(G19*10000/L19,0)</f>
        <v>#REF!</v>
      </c>
      <c r="H21" s="1922" t="s">
        <v>1923</v>
      </c>
      <c r="I21" s="134"/>
    </row>
    <row r="22" spans="1:36" ht="15" thickBot="1">
      <c r="A22" s="1844" t="s">
        <v>1925</v>
      </c>
      <c r="B22" s="1923"/>
      <c r="C22" s="1924"/>
      <c r="D22" s="730" t="e">
        <f ca="1">IF(C19&lt;D19,D19/C19-1,C19/D19-1)</f>
        <v>#REF!</v>
      </c>
      <c r="E22" s="134"/>
      <c r="F22" s="134"/>
      <c r="G22" s="134"/>
      <c r="H22" s="134"/>
      <c r="I22" s="134"/>
    </row>
    <row r="23" spans="1:36" ht="13.5" thickBot="1">
      <c r="A23" s="1903"/>
      <c r="B23" s="1903"/>
      <c r="C23" s="1903"/>
      <c r="D23" s="1903"/>
      <c r="E23" s="134"/>
      <c r="F23" s="134"/>
      <c r="G23" s="134"/>
      <c r="H23" s="134"/>
      <c r="I23" s="134"/>
    </row>
    <row r="24" spans="1:36" ht="14.25">
      <c r="A24" s="3443" t="s">
        <v>1926</v>
      </c>
      <c r="B24" s="1918" t="s">
        <v>1918</v>
      </c>
      <c r="C24" s="141">
        <f>IF(B30=0,0,D30)</f>
        <v>0</v>
      </c>
      <c r="D24" s="1925"/>
      <c r="E24" s="134"/>
      <c r="F24" s="134"/>
      <c r="G24" s="134"/>
      <c r="H24" s="134"/>
      <c r="I24" s="134"/>
    </row>
    <row r="25" spans="1:36" ht="14.25">
      <c r="A25" s="3444"/>
      <c r="B25" s="1157" t="s">
        <v>1922</v>
      </c>
      <c r="C25" s="146">
        <f>IF(B30=0,0,C30)</f>
        <v>0</v>
      </c>
      <c r="D25" s="1926"/>
      <c r="E25" s="134"/>
      <c r="F25" s="134"/>
      <c r="G25" s="134"/>
      <c r="H25" s="134"/>
      <c r="I25" s="134"/>
    </row>
    <row r="26" spans="1:36" ht="13.5" customHeight="1">
      <c r="A26" s="1927" t="s">
        <v>1927</v>
      </c>
      <c r="B26" s="147" t="s">
        <v>1928</v>
      </c>
      <c r="C26" s="147" t="s">
        <v>1929</v>
      </c>
      <c r="D26" s="148" t="s">
        <v>1930</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1931</v>
      </c>
      <c r="B30" s="147"/>
      <c r="C30" s="147"/>
      <c r="D30" s="147"/>
      <c r="E30" s="2491" t="s">
        <v>2816</v>
      </c>
      <c r="F30" s="134"/>
      <c r="G30" s="134"/>
      <c r="H30" s="134"/>
      <c r="I30" s="134"/>
    </row>
    <row r="31" spans="1:36" s="2497" customFormat="1" ht="26.45" customHeight="1" thickTop="1" thickBot="1">
      <c r="A31" s="2492"/>
      <c r="B31" s="2493"/>
      <c r="C31" s="2493"/>
      <c r="D31" s="2493"/>
      <c r="E31" s="2493"/>
      <c r="F31" s="2493"/>
      <c r="G31" s="2493"/>
      <c r="H31" s="2493"/>
      <c r="I31" s="2494" t="s">
        <v>2817</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1932</v>
      </c>
      <c r="B32" s="1930"/>
      <c r="C32" s="149" t="e">
        <f ca="1">IF(D32="总价",G19-C24,G20-C25)</f>
        <v>#REF!</v>
      </c>
      <c r="D32" s="1931"/>
      <c r="E32" s="134"/>
      <c r="F32" s="134"/>
      <c r="G32" s="134"/>
      <c r="H32" s="134"/>
      <c r="I32" s="134"/>
    </row>
    <row r="33" spans="1:15" ht="15">
      <c r="A33" s="894" t="s">
        <v>1933</v>
      </c>
      <c r="B33" s="1932"/>
      <c r="C33" s="1933"/>
      <c r="D33" s="1934"/>
      <c r="E33" s="1935" t="s">
        <v>1934</v>
      </c>
      <c r="F33" s="1936" t="str">
        <f>IF(D32="楼面单价","取值（单价）","取值（总价）")</f>
        <v>取值（总价）</v>
      </c>
      <c r="G33" s="134"/>
      <c r="H33" s="134"/>
      <c r="I33" s="134"/>
    </row>
    <row r="34" spans="1:15" ht="15">
      <c r="A34" s="1937"/>
      <c r="B34" s="1938" t="s">
        <v>1935</v>
      </c>
      <c r="C34" s="153" t="e">
        <f ca="1">IF(C33="自定义",F34,C32-C35)</f>
        <v>#REF!</v>
      </c>
      <c r="D34" s="970" t="e">
        <f ca="1">IF(C33="自定义",ROUND(C34/C32,3),IF(C33="收益比率",SUMIF(INDIRECT("'"&amp;D33&amp;"'"&amp;"!b:b"),"土地收益比率",INDIRECT("'"&amp;D33&amp;"'"&amp;"!c:c")),SUMIF(INDIRECT("'"&amp;D33&amp;"'"&amp;"!b:b"),"土地成本比率",INDIRECT("'"&amp;D33&amp;"'"&amp;"!c:c"))))</f>
        <v>#REF!</v>
      </c>
      <c r="E34" s="1939" t="s">
        <v>1936</v>
      </c>
      <c r="F34" s="1470"/>
      <c r="G34" s="134"/>
      <c r="H34" s="134"/>
      <c r="I34" s="134"/>
    </row>
    <row r="35" spans="1:15" ht="15.75" thickBot="1">
      <c r="A35" s="1940"/>
      <c r="B35" s="1941" t="s">
        <v>1937</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2" t="s">
        <v>1938</v>
      </c>
      <c r="F35" s="159"/>
      <c r="G35" s="134"/>
      <c r="H35" s="134"/>
      <c r="I35" s="134"/>
    </row>
    <row r="36" spans="1:15" ht="15.75" thickBot="1">
      <c r="A36" s="3420" t="s">
        <v>1939</v>
      </c>
      <c r="B36" s="1943" t="s">
        <v>1940</v>
      </c>
      <c r="C36" s="150"/>
      <c r="D36" s="1944"/>
      <c r="E36" s="1945"/>
      <c r="F36" s="1946"/>
      <c r="G36" s="134"/>
      <c r="H36" s="134"/>
      <c r="I36" s="134"/>
    </row>
    <row r="37" spans="1:15" ht="15.75" thickBot="1">
      <c r="A37" s="3421"/>
      <c r="B37" s="1830" t="s">
        <v>1941</v>
      </c>
      <c r="C37" s="152"/>
      <c r="D37" s="1273"/>
      <c r="E37" s="1273"/>
      <c r="F37" s="1946"/>
      <c r="G37" s="134"/>
      <c r="H37" s="134"/>
      <c r="I37" s="134"/>
    </row>
    <row r="38" spans="1:15" ht="15.75" thickBot="1">
      <c r="A38" s="3422"/>
      <c r="B38" s="1947" t="s">
        <v>1942</v>
      </c>
      <c r="C38" s="683"/>
      <c r="D38" s="1948" t="s">
        <v>1943</v>
      </c>
      <c r="E38" s="1273"/>
      <c r="F38" s="1946"/>
      <c r="G38" s="134"/>
      <c r="H38" s="134"/>
      <c r="I38" s="134"/>
    </row>
    <row r="39" spans="1:15" ht="15">
      <c r="A39" s="1920" t="s">
        <v>1944</v>
      </c>
      <c r="B39" s="1949" t="s">
        <v>1945</v>
      </c>
      <c r="C39" s="1950" t="s">
        <v>1946</v>
      </c>
      <c r="D39" s="1950" t="s">
        <v>1947</v>
      </c>
      <c r="E39" s="1951" t="s">
        <v>1948</v>
      </c>
      <c r="F39" s="1946"/>
      <c r="G39" s="134"/>
      <c r="H39" s="134"/>
      <c r="I39" s="134"/>
    </row>
    <row r="40" spans="1:15" ht="14.25">
      <c r="A40" s="1952" t="s">
        <v>1949</v>
      </c>
      <c r="B40" s="154"/>
      <c r="C40" s="155"/>
      <c r="D40" s="155"/>
      <c r="E40" s="156"/>
      <c r="F40" s="1946"/>
      <c r="G40" s="134"/>
      <c r="H40" s="134"/>
      <c r="I40" s="134"/>
    </row>
    <row r="41" spans="1:15" ht="14.25">
      <c r="A41" s="1952" t="s">
        <v>1950</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1951</v>
      </c>
      <c r="B44" s="1957"/>
      <c r="C44" s="1957"/>
      <c r="D44" s="1958"/>
      <c r="E44" s="1958"/>
      <c r="F44" s="1959"/>
      <c r="G44" s="1959"/>
      <c r="H44" s="1959"/>
      <c r="I44" s="1959"/>
      <c r="J44" s="1960" t="s">
        <v>1952</v>
      </c>
      <c r="K44" s="1961"/>
      <c r="L44" s="1961"/>
      <c r="M44" s="1961"/>
      <c r="N44" s="1961"/>
      <c r="O44" s="1961"/>
    </row>
    <row r="45" spans="1:15" ht="14.25" customHeight="1" thickBot="1">
      <c r="A45" s="3440" t="s">
        <v>1953</v>
      </c>
      <c r="B45" s="3441"/>
      <c r="C45" s="3442"/>
      <c r="D45" s="160" t="e">
        <f ca="1">ROUND(H101*F45,0)</f>
        <v>#REF!</v>
      </c>
      <c r="E45" s="161" t="s">
        <v>1954</v>
      </c>
      <c r="F45" s="162">
        <v>1</v>
      </c>
      <c r="G45" s="163" t="s">
        <v>1955</v>
      </c>
      <c r="H45" s="134"/>
      <c r="I45" s="134"/>
      <c r="J45" s="3357" t="s">
        <v>1956</v>
      </c>
      <c r="K45" s="3357"/>
      <c r="L45" s="3357"/>
      <c r="M45" s="3357"/>
      <c r="N45" s="3357"/>
      <c r="O45" s="3357"/>
    </row>
    <row r="46" spans="1:15" ht="14.25" customHeight="1">
      <c r="A46" s="3437" t="s">
        <v>1957</v>
      </c>
      <c r="B46" s="3438"/>
      <c r="C46" s="3438"/>
      <c r="D46" s="3438"/>
      <c r="E46" s="3438"/>
      <c r="F46" s="3438"/>
      <c r="G46" s="3439"/>
      <c r="H46" s="1962"/>
      <c r="I46" s="164"/>
      <c r="J46" s="2719">
        <v>1</v>
      </c>
      <c r="K46" s="3358" t="s">
        <v>1958</v>
      </c>
      <c r="L46" s="3358"/>
      <c r="M46" s="3359"/>
      <c r="N46" s="3359"/>
      <c r="O46" s="3359"/>
    </row>
    <row r="47" spans="1:15" ht="12" customHeight="1">
      <c r="A47" s="165" t="s">
        <v>1959</v>
      </c>
      <c r="B47" s="166"/>
      <c r="C47" s="167"/>
      <c r="D47" s="1219" t="s">
        <v>1960</v>
      </c>
      <c r="E47" s="308" t="s">
        <v>1961</v>
      </c>
      <c r="F47" s="168" t="s">
        <v>1962</v>
      </c>
      <c r="G47" s="2742" t="s">
        <v>1963</v>
      </c>
      <c r="H47" s="2743"/>
      <c r="I47" s="164"/>
      <c r="J47" s="2719">
        <v>2</v>
      </c>
      <c r="K47" s="3358" t="s">
        <v>1964</v>
      </c>
      <c r="L47" s="3358"/>
      <c r="M47" s="3360">
        <f>'数据-取费表'!B2</f>
        <v>0</v>
      </c>
      <c r="N47" s="3360"/>
      <c r="O47" s="3360"/>
    </row>
    <row r="48" spans="1:15" ht="25.5">
      <c r="A48" s="3423" t="s">
        <v>1965</v>
      </c>
      <c r="B48" s="3424"/>
      <c r="C48" s="3424"/>
      <c r="D48" s="2517" t="b">
        <f>IF(H48="情况1",0,IF(H48="情况2",D52,IF(H48="情况3",D53,IF(H48="情况4",D54))))</f>
        <v>0</v>
      </c>
      <c r="E48" s="2527" t="str">
        <f>IF(H48="情况4","(销售额-原购置价)×税（费）率","销售额×税（费）率")</f>
        <v>销售额×税（费）率</v>
      </c>
      <c r="F48" s="2744">
        <f>IF(H48="情况1","免征",'数据-取费表'!B41)</f>
        <v>0</v>
      </c>
      <c r="G48" s="2745" t="s">
        <v>1966</v>
      </c>
      <c r="H48" s="2746"/>
      <c r="I48" s="1962"/>
      <c r="J48" s="2719">
        <v>3</v>
      </c>
      <c r="K48" s="3358" t="s">
        <v>1967</v>
      </c>
      <c r="L48" s="3358"/>
      <c r="M48" s="3361" t="e">
        <f ca="1">H101</f>
        <v>#REF!</v>
      </c>
      <c r="N48" s="3361"/>
      <c r="O48" s="3361"/>
    </row>
    <row r="49" spans="1:35" ht="25.5" customHeight="1">
      <c r="A49" s="2526" t="s">
        <v>1968</v>
      </c>
      <c r="B49" s="3406" t="s">
        <v>1969</v>
      </c>
      <c r="C49" s="3406"/>
      <c r="D49" s="1745">
        <v>0</v>
      </c>
      <c r="E49" s="330" t="s">
        <v>1970</v>
      </c>
      <c r="F49" s="2620" t="s">
        <v>34</v>
      </c>
      <c r="G49" s="3389"/>
      <c r="H49" s="2498" t="s">
        <v>2818</v>
      </c>
      <c r="I49" s="2499"/>
      <c r="J49" s="2719">
        <v>4</v>
      </c>
      <c r="K49" s="3358" t="str">
        <f>IF(项目基本情况!E8="房地产抵押价值","房地产抵押价值","抵押担保权已注销时的房地产抵押价值")</f>
        <v>抵押担保权已注销时的房地产抵押价值</v>
      </c>
      <c r="L49" s="3358"/>
      <c r="M49" s="3361" t="str">
        <f>IF(项目基本情况!E8="房地产抵押价值",H107,H109)</f>
        <v>——</v>
      </c>
      <c r="N49" s="3361"/>
      <c r="O49" s="3361"/>
    </row>
    <row r="50" spans="1:35" ht="25.5" customHeight="1">
      <c r="A50" s="2747"/>
      <c r="B50" s="3406" t="s">
        <v>1971</v>
      </c>
      <c r="C50" s="3406"/>
      <c r="D50" s="2748"/>
      <c r="E50" s="338"/>
      <c r="F50" s="2620"/>
      <c r="G50" s="3390"/>
      <c r="H50" s="2500" t="s">
        <v>2819</v>
      </c>
      <c r="I50" s="2499"/>
      <c r="J50" s="3357" t="s">
        <v>1972</v>
      </c>
      <c r="K50" s="3357"/>
      <c r="L50" s="3357"/>
      <c r="M50" s="3357"/>
      <c r="N50" s="3357"/>
      <c r="O50" s="3357"/>
    </row>
    <row r="51" spans="1:35" ht="20.45" customHeight="1">
      <c r="A51" s="2749"/>
      <c r="B51" s="3406" t="s">
        <v>1973</v>
      </c>
      <c r="C51" s="3406"/>
      <c r="D51" s="1219"/>
      <c r="E51" s="333"/>
      <c r="F51" s="2620"/>
      <c r="G51" s="3391"/>
      <c r="H51" s="2500" t="s">
        <v>2820</v>
      </c>
      <c r="I51" s="2499"/>
      <c r="J51" s="2720" t="s">
        <v>1974</v>
      </c>
      <c r="K51" s="3358" t="s">
        <v>1975</v>
      </c>
      <c r="L51" s="3358"/>
      <c r="M51" s="2720" t="s">
        <v>1976</v>
      </c>
      <c r="N51" s="2720" t="s">
        <v>1977</v>
      </c>
      <c r="O51" s="2720" t="s">
        <v>1978</v>
      </c>
    </row>
    <row r="52" spans="1:35" ht="24" customHeight="1">
      <c r="A52" s="2528" t="s">
        <v>1979</v>
      </c>
      <c r="B52" s="3406" t="s">
        <v>1980</v>
      </c>
      <c r="C52" s="3406"/>
      <c r="D52" s="1219" t="e">
        <f ca="1">ROUND(D45*'数据-取费表'!B41/(1+'数据-取费表'!C42),0)</f>
        <v>#REF!</v>
      </c>
      <c r="E52" s="2527" t="s">
        <v>1981</v>
      </c>
      <c r="F52" s="2750">
        <f>'数据-取费表'!B41</f>
        <v>0</v>
      </c>
      <c r="G52" s="2751"/>
      <c r="H52" s="2740"/>
      <c r="I52" s="1963"/>
      <c r="J52" s="2719">
        <v>1</v>
      </c>
      <c r="K52" s="3383" t="s">
        <v>1982</v>
      </c>
      <c r="L52" s="3383"/>
      <c r="M52" s="2721" t="b">
        <f>D48</f>
        <v>0</v>
      </c>
      <c r="N52" s="2719" t="str">
        <f>E48</f>
        <v>销售额×税（费）率</v>
      </c>
      <c r="O52" s="2722">
        <f>F48</f>
        <v>0</v>
      </c>
    </row>
    <row r="53" spans="1:35" ht="12" customHeight="1">
      <c r="A53" s="2528" t="s">
        <v>1983</v>
      </c>
      <c r="B53" s="3407" t="s">
        <v>2979</v>
      </c>
      <c r="C53" s="3408"/>
      <c r="D53" s="1219" t="e">
        <f ca="1">ROUND(D45*'数据-取费表'!B41/(1+'数据-取费表'!C42),0)</f>
        <v>#REF!</v>
      </c>
      <c r="E53" s="2527" t="s">
        <v>1981</v>
      </c>
      <c r="F53" s="2750">
        <f>'数据-取费表'!B41</f>
        <v>0</v>
      </c>
      <c r="G53" s="2751"/>
      <c r="H53" s="2740"/>
      <c r="I53" s="1963"/>
      <c r="J53" s="2719">
        <v>2</v>
      </c>
      <c r="K53" s="3383" t="s">
        <v>1984</v>
      </c>
      <c r="L53" s="3383"/>
      <c r="M53" s="2721" t="e">
        <f t="shared" ref="M53:O54" ca="1" si="0">D55</f>
        <v>#REF!</v>
      </c>
      <c r="N53" s="2719" t="str">
        <f t="shared" si="0"/>
        <v>销售额×税（费）率</v>
      </c>
      <c r="O53" s="2722" t="str">
        <f t="shared" si="0"/>
        <v>免征</v>
      </c>
    </row>
    <row r="54" spans="1:35" ht="12" customHeight="1">
      <c r="A54" s="2528" t="s">
        <v>1985</v>
      </c>
      <c r="B54" s="3407" t="s">
        <v>2980</v>
      </c>
      <c r="C54" s="3408"/>
      <c r="D54" s="1219" t="e">
        <f ca="1">C68</f>
        <v>#REF!</v>
      </c>
      <c r="E54" s="333" t="s">
        <v>1986</v>
      </c>
      <c r="F54" s="2750">
        <f>'数据-取费表'!B41</f>
        <v>0</v>
      </c>
      <c r="G54" s="2751"/>
      <c r="H54" s="2752"/>
      <c r="I54" s="1963"/>
      <c r="J54" s="2719">
        <v>3</v>
      </c>
      <c r="K54" s="3383" t="s">
        <v>1987</v>
      </c>
      <c r="L54" s="3383"/>
      <c r="M54" s="2721" t="e">
        <f t="shared" ca="1" si="0"/>
        <v>#REF!</v>
      </c>
      <c r="N54" s="2719" t="str">
        <f t="shared" si="0"/>
        <v>增值额×税（费）率</v>
      </c>
      <c r="O54" s="2723" t="str">
        <f t="shared" si="0"/>
        <v>免征</v>
      </c>
    </row>
    <row r="55" spans="1:35" ht="24" customHeight="1">
      <c r="A55" s="3446" t="s">
        <v>1988</v>
      </c>
      <c r="B55" s="3424"/>
      <c r="C55" s="3424"/>
      <c r="D55" s="2517" t="e">
        <f ca="1">IF(H55="个人住宅",0,ROUND(D45*I55,0))</f>
        <v>#REF!</v>
      </c>
      <c r="E55" s="2527" t="s">
        <v>1989</v>
      </c>
      <c r="F55" s="2750" t="str">
        <f>IF(H55="正常",I55,"免征")</f>
        <v>免征</v>
      </c>
      <c r="G55" s="2751"/>
      <c r="H55" s="2746"/>
      <c r="I55" s="170">
        <f>'数据-取费表'!B49</f>
        <v>0</v>
      </c>
      <c r="J55" s="2719">
        <f>IF(H59="非个人房产","",4)</f>
        <v>4</v>
      </c>
      <c r="K55" s="3383" t="str">
        <f>IF(H59="非个人房产","——","个人所得税")</f>
        <v>个人所得税</v>
      </c>
      <c r="L55" s="3383"/>
      <c r="M55" s="2724" t="e">
        <f ca="1">D59</f>
        <v>#REF!</v>
      </c>
      <c r="N55" s="2198" t="str">
        <f>E59</f>
        <v>差额计税</v>
      </c>
      <c r="O55" s="2725">
        <f>F59</f>
        <v>0.01</v>
      </c>
    </row>
    <row r="56" spans="1:35" ht="24.75">
      <c r="A56" s="3446" t="s">
        <v>1990</v>
      </c>
      <c r="B56" s="3424"/>
      <c r="C56" s="3424"/>
      <c r="D56" s="2517" t="e">
        <f ca="1">IF(H56="个人住宅",D57,D58)</f>
        <v>#REF!</v>
      </c>
      <c r="E56" s="2527" t="s">
        <v>1991</v>
      </c>
      <c r="F56" s="2750" t="str">
        <f>IF(H56="正常",F58,"免征")</f>
        <v>免征</v>
      </c>
      <c r="G56" s="2753" t="s">
        <v>1992</v>
      </c>
      <c r="H56" s="2754"/>
      <c r="I56" s="1964"/>
      <c r="J56" s="2719" t="str">
        <f>IF(项目基本情况!K6="上海银行",IF(J55="",4,J55+1),"")</f>
        <v/>
      </c>
      <c r="K56" s="3364" t="str">
        <f>IF(项目基本情况!K6="上海银行","其他处置费用","")</f>
        <v/>
      </c>
      <c r="L56" s="3365"/>
      <c r="M56" s="2721" t="str">
        <f>IF(项目基本情况!K6="上海银行",M69,"")</f>
        <v/>
      </c>
      <c r="N56" s="3364" t="str">
        <f>IF(项目基本情况!K6="上海银行","包含处置中涉及的律师、诉讼、拍卖、评估等费用","")</f>
        <v/>
      </c>
      <c r="O56" s="3367"/>
    </row>
    <row r="57" spans="1:35" ht="12.75">
      <c r="A57" s="2528" t="s">
        <v>1968</v>
      </c>
      <c r="B57" s="3407" t="s">
        <v>1993</v>
      </c>
      <c r="C57" s="3408"/>
      <c r="D57" s="1745">
        <v>0</v>
      </c>
      <c r="E57" s="330" t="s">
        <v>1970</v>
      </c>
      <c r="F57" s="308"/>
      <c r="G57" s="2751"/>
      <c r="H57" s="2755"/>
      <c r="I57" s="1964"/>
      <c r="J57" s="3383">
        <f>IF(AND(J55="",J56=""),4,IF(项目基本情况!K6="上海银行",结果表!J56+1,结果表!J55+1))</f>
        <v>5</v>
      </c>
      <c r="K57" s="3383" t="s">
        <v>1994</v>
      </c>
      <c r="L57" s="2726" t="s">
        <v>1995</v>
      </c>
      <c r="M57" s="2727"/>
      <c r="N57" s="2728">
        <f ca="1">SUMIF(M52:M56,"&lt;9e307")</f>
        <v>0</v>
      </c>
      <c r="O57" s="2729"/>
      <c r="P57" s="2889" t="e">
        <f ca="1">N57/M49</f>
        <v>#VALUE!</v>
      </c>
    </row>
    <row r="58" spans="1:35" ht="24.75">
      <c r="A58" s="2528" t="s">
        <v>1979</v>
      </c>
      <c r="B58" s="3407" t="s">
        <v>1996</v>
      </c>
      <c r="C58" s="3406"/>
      <c r="D58" s="2517" t="e">
        <f ca="1">IF(H58="转让取得",C81,C97)</f>
        <v>#REF!</v>
      </c>
      <c r="E58" s="2527" t="s">
        <v>1991</v>
      </c>
      <c r="F58" s="308" t="s">
        <v>34</v>
      </c>
      <c r="G58" s="2751"/>
      <c r="H58" s="2754"/>
      <c r="I58" s="1964"/>
      <c r="J58" s="3383"/>
      <c r="K58" s="3383"/>
      <c r="L58" s="2726" t="s">
        <v>1997</v>
      </c>
      <c r="M58" s="2730"/>
      <c r="N58" s="2731" t="str">
        <f ca="1">NUMBERSTRING(INT(N57*10000),2)&amp;"元整"</f>
        <v>零元整</v>
      </c>
      <c r="O58" s="2732"/>
    </row>
    <row r="59" spans="1:35" ht="24.75" thickBot="1">
      <c r="A59" s="3387" t="s">
        <v>1998</v>
      </c>
      <c r="B59" s="3388"/>
      <c r="C59" s="3388"/>
      <c r="D59" s="2756" t="e">
        <f ca="1">IF(H59="非个人房产","——",IF(H59="个人住宅（满五唯一有凭证）",0,IF(H59="个人其他（无凭证）",ROUND(D45*F59,0),ROUND(C67*F59,0))))</f>
        <v>#REF!</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1992</v>
      </c>
      <c r="H59" s="2502"/>
      <c r="I59" s="2501" t="s">
        <v>2821</v>
      </c>
      <c r="J59" s="3385">
        <f>J57+1</f>
        <v>6</v>
      </c>
      <c r="K59" s="3383" t="s">
        <v>1999</v>
      </c>
      <c r="L59" s="2719" t="s">
        <v>1995</v>
      </c>
      <c r="M59" s="2733"/>
      <c r="N59" s="2734" t="e">
        <f ca="1">M49-N57</f>
        <v>#VALUE!</v>
      </c>
      <c r="O59" s="2735"/>
    </row>
    <row r="60" spans="1:35" ht="12" customHeight="1">
      <c r="A60" s="1965"/>
      <c r="B60" s="1903"/>
      <c r="C60" s="1903"/>
      <c r="D60" s="1903"/>
      <c r="E60" s="1733"/>
      <c r="F60" s="1964"/>
      <c r="G60" s="1964"/>
      <c r="H60" s="1966"/>
      <c r="I60" s="134"/>
      <c r="J60" s="3386"/>
      <c r="K60" s="3383"/>
      <c r="L60" s="2726" t="s">
        <v>1997</v>
      </c>
      <c r="M60" s="2730"/>
      <c r="N60" s="2731" t="e">
        <f ca="1">NUMBERSTRING(INT(N59*10000),2)&amp;"元整"</f>
        <v>#VALUE!</v>
      </c>
      <c r="O60" s="2732"/>
    </row>
    <row r="61" spans="1:35" ht="13.5" thickBot="1">
      <c r="A61" s="3445" t="s">
        <v>2000</v>
      </c>
      <c r="B61" s="3445"/>
      <c r="C61" s="3445"/>
      <c r="D61" s="3445"/>
      <c r="E61" s="3445"/>
      <c r="F61" s="1964"/>
      <c r="G61" s="1964"/>
      <c r="H61" s="1966"/>
      <c r="I61" s="134"/>
      <c r="J61" s="2719">
        <f>J59+1</f>
        <v>7</v>
      </c>
      <c r="K61" s="3383" t="s">
        <v>2001</v>
      </c>
      <c r="L61" s="3383"/>
      <c r="M61" s="2736"/>
      <c r="N61" s="2737" t="e">
        <f ca="1">ROUND(N59*10000/'数据-汇总表'!E3,0)</f>
        <v>#VALUE!</v>
      </c>
      <c r="O61" s="2738"/>
    </row>
    <row r="62" spans="1:35" ht="12.75">
      <c r="A62" s="3402" t="s">
        <v>2002</v>
      </c>
      <c r="B62" s="3403"/>
      <c r="C62" s="2179"/>
      <c r="D62" s="2179" t="s">
        <v>2003</v>
      </c>
      <c r="E62" s="171" t="s">
        <v>2004</v>
      </c>
      <c r="F62" s="1964"/>
      <c r="G62" s="1964"/>
      <c r="H62" s="1966"/>
      <c r="I62" s="134"/>
    </row>
    <row r="63" spans="1:35" ht="12.75">
      <c r="A63" s="178" t="s">
        <v>775</v>
      </c>
      <c r="B63" s="172" t="s">
        <v>2005</v>
      </c>
      <c r="C63" s="2760" t="e">
        <f ca="1">ROUND((C64+C65)/(1+'数据-取费表'!C42),0)</f>
        <v>#REF!</v>
      </c>
      <c r="D63" s="172"/>
      <c r="E63" s="173"/>
      <c r="F63" s="1964"/>
      <c r="G63" s="1964"/>
      <c r="H63" s="1966"/>
      <c r="I63" s="134"/>
      <c r="J63" s="3366" t="s">
        <v>2006</v>
      </c>
      <c r="K63" s="1472" t="s">
        <v>2007</v>
      </c>
      <c r="L63" s="1472" t="e">
        <f>IF(M49&gt;10000,M49*0.5%,IF(AND(M49&gt;1000,M49&lt;=10000),M49*1%,IF(AND(M49&gt;100,M49&lt;=1000),M49*3%,IF(AND(M49&gt;10,M49&lt;=100),M49*5%,M49*8%))))</f>
        <v>#VALUE!</v>
      </c>
      <c r="M63" s="308" t="e">
        <f>ROUND(L63,1)</f>
        <v>#VALUE!</v>
      </c>
      <c r="N63" s="2739"/>
      <c r="Z63" s="1908"/>
      <c r="AI63" s="1909"/>
    </row>
    <row r="64" spans="1:35" ht="14.25" customHeight="1">
      <c r="A64" s="174" t="s">
        <v>770</v>
      </c>
      <c r="B64" s="175" t="s">
        <v>2008</v>
      </c>
      <c r="C64" s="2761" t="e">
        <f ca="1">D45</f>
        <v>#REF!</v>
      </c>
      <c r="D64" s="175" t="s">
        <v>32</v>
      </c>
      <c r="E64" s="177"/>
      <c r="F64" s="1964"/>
      <c r="G64" s="1964"/>
      <c r="H64" s="1966"/>
      <c r="I64" s="134"/>
      <c r="J64" s="3366"/>
      <c r="K64" s="1472" t="s">
        <v>2009</v>
      </c>
      <c r="L64" s="147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40" t="s">
        <v>2010</v>
      </c>
      <c r="Z64" s="1908"/>
      <c r="AI64" s="1909"/>
    </row>
    <row r="65" spans="1:35" ht="14.25" customHeight="1">
      <c r="A65" s="174" t="s">
        <v>771</v>
      </c>
      <c r="B65" s="175" t="s">
        <v>2011</v>
      </c>
      <c r="C65" s="2762"/>
      <c r="D65" s="175"/>
      <c r="E65" s="177"/>
      <c r="F65" s="1964"/>
      <c r="G65" s="1964"/>
      <c r="H65" s="1966"/>
      <c r="I65" s="134"/>
      <c r="J65" s="3366"/>
      <c r="K65" s="1472" t="s">
        <v>2012</v>
      </c>
      <c r="L65" s="1472" t="e">
        <f>IF(M49&gt;1000,M49*0.1%,IF(AND(M49&gt;500,M49&lt;=1000),M49*0.5%,IF(AND(M49&gt;50,M49&lt;=500),M49*1%,IF(AND(M49&gt;1,M49&lt;=50),M49*1.5%))))</f>
        <v>#VALUE!</v>
      </c>
      <c r="M65" s="308" t="e">
        <f t="shared" si="1"/>
        <v>#VALUE!</v>
      </c>
      <c r="N65" s="2740" t="s">
        <v>2010</v>
      </c>
      <c r="Z65" s="1908"/>
      <c r="AI65" s="1909"/>
    </row>
    <row r="66" spans="1:35" ht="14.25" customHeight="1">
      <c r="A66" s="178" t="s">
        <v>772</v>
      </c>
      <c r="B66" s="179" t="s">
        <v>2013</v>
      </c>
      <c r="C66" s="2763"/>
      <c r="D66" s="179" t="s">
        <v>32</v>
      </c>
      <c r="E66" s="1479" t="s">
        <v>1277</v>
      </c>
      <c r="F66" s="1964"/>
      <c r="G66" s="1964"/>
      <c r="H66" s="1966"/>
      <c r="I66" s="134"/>
      <c r="J66" s="3366"/>
      <c r="K66" s="1472" t="s">
        <v>2014</v>
      </c>
      <c r="L66" s="1472" t="e">
        <f>M49*0.5%</f>
        <v>#VALUE!</v>
      </c>
      <c r="M66" s="308" t="e">
        <f>IF(L66&gt;0.5,0.5,ROUND(L66,0))</f>
        <v>#VALUE!</v>
      </c>
      <c r="N66" s="2740" t="s">
        <v>2015</v>
      </c>
      <c r="Z66" s="1908"/>
      <c r="AI66" s="1909"/>
    </row>
    <row r="67" spans="1:35" ht="14.25" customHeight="1">
      <c r="A67" s="178" t="s">
        <v>773</v>
      </c>
      <c r="B67" s="179" t="s">
        <v>2016</v>
      </c>
      <c r="C67" s="2764" t="e">
        <f ca="1">C63-C66</f>
        <v>#REF!</v>
      </c>
      <c r="D67" s="175" t="s">
        <v>32</v>
      </c>
      <c r="E67" s="177"/>
      <c r="F67" s="1964"/>
      <c r="G67" s="1964"/>
      <c r="H67" s="1966"/>
      <c r="I67" s="134"/>
      <c r="J67" s="3366"/>
      <c r="K67" s="1472" t="s">
        <v>2017</v>
      </c>
      <c r="L67" s="147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39"/>
      <c r="Z67" s="1908"/>
      <c r="AI67" s="1909"/>
    </row>
    <row r="68" spans="1:35" ht="14.25" customHeight="1" thickBot="1">
      <c r="A68" s="181" t="s">
        <v>774</v>
      </c>
      <c r="B68" s="182" t="s">
        <v>2018</v>
      </c>
      <c r="C68" s="2765" t="e">
        <f ca="1">IF(C67&lt;=0,0,ROUND(C67*D68,0))</f>
        <v>#REF!</v>
      </c>
      <c r="D68" s="2766">
        <f>'数据-取费表'!B41</f>
        <v>0</v>
      </c>
      <c r="E68" s="184"/>
      <c r="F68" s="1964"/>
      <c r="G68" s="1964"/>
      <c r="H68" s="1966"/>
      <c r="I68" s="134"/>
      <c r="J68" s="3366"/>
      <c r="K68" s="1472" t="s">
        <v>2019</v>
      </c>
      <c r="L68" s="1472" t="e">
        <f>IF(M49&gt;10000,M49*0.5%,IF(AND(M49&gt;5000,M49&lt;=10000),M49*1%,IF(AND(M49&gt;1000,M49&lt;=5000),M49*2%,IF(AND(M49&gt;200,M49&lt;=1000),M49*3%,M49*5%))))</f>
        <v>#VALUE!</v>
      </c>
      <c r="M68" s="308" t="e">
        <f>ROUND(L68,1)</f>
        <v>#VALUE!</v>
      </c>
      <c r="N68" s="2739"/>
      <c r="Z68" s="1908"/>
      <c r="AI68" s="1909"/>
    </row>
    <row r="69" spans="1:35" s="1928" customFormat="1" ht="16.5" customHeight="1">
      <c r="A69" s="1967"/>
      <c r="B69" s="1968"/>
      <c r="C69" s="1969"/>
      <c r="D69" s="1970"/>
      <c r="E69" s="1971"/>
      <c r="F69" s="1733"/>
      <c r="G69" s="1733"/>
      <c r="H69" s="1732"/>
      <c r="I69" s="1903"/>
      <c r="J69" s="3366"/>
      <c r="K69" s="1472" t="s">
        <v>2020</v>
      </c>
      <c r="L69" s="1472"/>
      <c r="M69" s="308" t="e">
        <f>ROUND(SUM(M63:M68),0)</f>
        <v>#VALUE!</v>
      </c>
      <c r="N69" s="2741" t="e">
        <f>M69/M49</f>
        <v>#VALUE!</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410" t="s">
        <v>2021</v>
      </c>
      <c r="B70" s="3411"/>
      <c r="C70" s="3411"/>
      <c r="D70" s="3411"/>
      <c r="E70" s="3411"/>
      <c r="F70" s="3411"/>
      <c r="G70" s="3411"/>
      <c r="H70" s="3411"/>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402" t="s">
        <v>2002</v>
      </c>
      <c r="B71" s="3403"/>
      <c r="C71" s="2179"/>
      <c r="D71" s="2179" t="s">
        <v>2003</v>
      </c>
      <c r="E71" s="185" t="s">
        <v>2004</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2022</v>
      </c>
      <c r="C72" s="2764" t="e">
        <f ca="1">ROUND(D45/(1+'数据-取费表'!C42),0)</f>
        <v>#REF!</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2023</v>
      </c>
      <c r="C73" s="2764" t="e">
        <f ca="1">C74+C78</f>
        <v>#REF!</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2024</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2025</v>
      </c>
      <c r="C75" s="2767"/>
      <c r="D75" s="175" t="s">
        <v>32</v>
      </c>
      <c r="E75" s="190" t="s">
        <v>2026</v>
      </c>
      <c r="F75" s="2768"/>
      <c r="G75" s="190" t="s">
        <v>2027</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2028</v>
      </c>
      <c r="C76" s="175">
        <f>IF(F75="购房发票",ROUND(C75*H75*D76,0),0)</f>
        <v>0</v>
      </c>
      <c r="D76" s="2770">
        <v>0.05</v>
      </c>
      <c r="E76" s="3407" t="s">
        <v>2029</v>
      </c>
      <c r="F76" s="3406"/>
      <c r="G76" s="3406"/>
      <c r="H76" s="3409"/>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2030</v>
      </c>
      <c r="C77" s="175">
        <f>ROUND(IF(G77="个人住宅",0,IF(G77="2016年5月1日前购买",C75*D77,C75*D77/(1+'数据-取费表'!C42))),0)</f>
        <v>0</v>
      </c>
      <c r="D77" s="2771">
        <f>'数据-取费表'!B48+'数据-取费表'!B49</f>
        <v>0</v>
      </c>
      <c r="E77" s="2517" t="s">
        <v>2031</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2032</v>
      </c>
      <c r="C78" s="2772" t="e">
        <f ca="1">ROUND(D45*D78/(1+'数据-取费表'!C42),0)</f>
        <v>#REF!</v>
      </c>
      <c r="D78" s="2773">
        <f>'数据-取费表'!B43</f>
        <v>0</v>
      </c>
      <c r="E78" s="3399" t="s">
        <v>2033</v>
      </c>
      <c r="F78" s="3400"/>
      <c r="G78" s="3400"/>
      <c r="H78" s="3401"/>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2034</v>
      </c>
      <c r="C79" s="2764" t="e">
        <f ca="1">C72-C73</f>
        <v>#REF!</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2035</v>
      </c>
      <c r="C80" s="2774" t="e">
        <f ca="1">IF(C79&lt;=0,0,C79/C73)</f>
        <v>#REF!</v>
      </c>
      <c r="D80" s="175" t="s">
        <v>32</v>
      </c>
      <c r="E80" s="2517" t="e">
        <f ca="1">IF(C80&gt;=200%,"增值额超过扣除项目金额200%",IF(C80&gt;=100%,"增值额超过扣除项目金额100%，未超过200%",IF(C80&gt;=50%,"增值额超过扣除项目金额50%，未超过100%",IF(C80&lt;50%,"增值额未超过扣除项目金额50%"))))</f>
        <v>#REF!</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2036</v>
      </c>
      <c r="C81" s="2775" t="e">
        <f ca="1">ROUND(IF(C79&lt;=0,0,IF(C80&gt;=200%,C79*60%-C73*35%,IF(C80&gt;=100%,C79*50%-C73*15%,IF(C80&gt;=50%,C79*40%-C73*5%,IF(C80&lt;50%,C79*30%,0))))),0)</f>
        <v>#REF!</v>
      </c>
      <c r="D81" s="277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410" t="s">
        <v>2037</v>
      </c>
      <c r="B83" s="3411"/>
      <c r="C83" s="3411"/>
      <c r="D83" s="3411"/>
      <c r="E83" s="3411"/>
      <c r="F83" s="3411"/>
      <c r="G83" s="3411"/>
      <c r="H83" s="3411"/>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402" t="s">
        <v>2002</v>
      </c>
      <c r="B84" s="3403"/>
      <c r="C84" s="2179"/>
      <c r="D84" s="2179" t="s">
        <v>2003</v>
      </c>
      <c r="E84" s="185" t="s">
        <v>2004</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2022</v>
      </c>
      <c r="C85" s="2764" t="e">
        <f ca="1">ROUND(D45/(1+'数据-取费表'!C42),0)</f>
        <v>#REF!</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2023</v>
      </c>
      <c r="C86" s="2764" t="e">
        <f ca="1">IF(H88="仅含出让金",C87+C90+C91+C92+C93+C94,C87+C91+C92+C93+C94)</f>
        <v>#REF!</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2038</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2039</v>
      </c>
      <c r="C88" s="2778"/>
      <c r="D88" s="2773"/>
      <c r="E88" s="199" t="s">
        <v>2040</v>
      </c>
      <c r="F88" s="2520"/>
      <c r="G88" s="200" t="s">
        <v>2041</v>
      </c>
      <c r="H88" s="1980"/>
      <c r="I88" s="1977"/>
      <c r="J88" s="2717" t="s">
        <v>2976</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2030</v>
      </c>
      <c r="C89" s="2772">
        <f>ROUND(C88*D89,0)</f>
        <v>0</v>
      </c>
      <c r="D89" s="2773">
        <f>'数据-取费表'!B48+'数据-取费表'!B49</f>
        <v>0</v>
      </c>
      <c r="E89" s="199" t="s">
        <v>2042</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2043</v>
      </c>
      <c r="C90" s="2778"/>
      <c r="D90" s="2773"/>
      <c r="E90" s="199" t="str">
        <f>IF(H88="-","土地取得成本中已包含该笔费用"," ")</f>
        <v xml:space="preserve"> </v>
      </c>
      <c r="F90" s="2520"/>
      <c r="G90" s="3368" t="s">
        <v>2813</v>
      </c>
      <c r="H90" s="3369"/>
      <c r="I90" s="1977"/>
      <c r="J90" s="2717" t="s">
        <v>2977</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2044</v>
      </c>
      <c r="B91" s="175" t="s">
        <v>2045</v>
      </c>
      <c r="C91" s="2772">
        <f>IF(H91="——",成本法!C33,I91)</f>
        <v>0</v>
      </c>
      <c r="D91" s="2773"/>
      <c r="E91" s="3399" t="s">
        <v>2046</v>
      </c>
      <c r="F91" s="3400"/>
      <c r="G91" s="3400"/>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2047</v>
      </c>
      <c r="B92" s="175" t="s">
        <v>2048</v>
      </c>
      <c r="C92" s="2772">
        <f>ROUND((C87+C90+C91)*D92,0)</f>
        <v>0</v>
      </c>
      <c r="D92" s="2779"/>
      <c r="E92" s="3399" t="s">
        <v>2049</v>
      </c>
      <c r="F92" s="3400"/>
      <c r="G92" s="3400"/>
      <c r="H92" s="3401"/>
      <c r="I92" s="1977"/>
      <c r="J92" s="2718" t="s">
        <v>2978</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2050</v>
      </c>
      <c r="B93" s="175" t="s">
        <v>2032</v>
      </c>
      <c r="C93" s="2772" t="e">
        <f ca="1">ROUND(D45*D93/(1+'数据-取费表'!C42),0)</f>
        <v>#REF!</v>
      </c>
      <c r="D93" s="2773">
        <f>'数据-取费表'!B43</f>
        <v>0</v>
      </c>
      <c r="E93" s="3399" t="s">
        <v>2033</v>
      </c>
      <c r="F93" s="3400"/>
      <c r="G93" s="3400"/>
      <c r="H93" s="3401"/>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2051</v>
      </c>
      <c r="B94" s="175" t="s">
        <v>2052</v>
      </c>
      <c r="C94" s="2778">
        <f>ROUND((C87+C90+C91)*D94,0)</f>
        <v>0</v>
      </c>
      <c r="D94" s="2773">
        <v>0.2</v>
      </c>
      <c r="E94" s="3447" t="s">
        <v>2053</v>
      </c>
      <c r="F94" s="3448"/>
      <c r="G94" s="3448"/>
      <c r="H94" s="3449"/>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2034</v>
      </c>
      <c r="C95" s="2764" t="e">
        <f ca="1">ROUND(C85-C86,0)</f>
        <v>#REF!</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2035</v>
      </c>
      <c r="C96" s="2774" t="e">
        <f ca="1">IF(C95&lt;=0,0,C95/C86)</f>
        <v>#REF!</v>
      </c>
      <c r="D96" s="175" t="s">
        <v>32</v>
      </c>
      <c r="E96" s="2517" t="e">
        <f ca="1">IF(C96&gt;=200%,"增值额超过扣除项目金额200%",IF(C96&gt;=100%,"增值额超过扣除项目金额100%，未超过200%",IF(C96&gt;=50%,"增值额超过扣除项目金额50%，未超过100%",IF(C96&lt;50%,"增值额未超过扣除项目金额50%"))))</f>
        <v>#REF!</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2036</v>
      </c>
      <c r="C97" s="2775" t="e">
        <f ca="1">ROUND(IF(C95&lt;=0,0,IF(C96&gt;=200%,C95*60%-C86*35%,IF(C96&gt;=100%,C95*50%-C86*15%,IF(C96&gt;=50%,C95*40%-C86*5%,IF(C96&lt;50%,C95*30%,0))))),0)</f>
        <v>#REF!</v>
      </c>
      <c r="D97" s="277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2054</v>
      </c>
      <c r="B99" s="1903"/>
      <c r="C99" s="1903"/>
      <c r="D99" s="1903"/>
      <c r="E99" s="1733"/>
      <c r="F99" s="1733"/>
      <c r="G99" s="1733"/>
      <c r="H99" s="1732"/>
      <c r="I99" s="134"/>
    </row>
    <row r="100" spans="1:35" ht="18.75" customHeight="1">
      <c r="A100" s="3349" t="s">
        <v>2055</v>
      </c>
      <c r="B100" s="3350"/>
      <c r="C100" s="3350"/>
      <c r="D100" s="3384"/>
      <c r="E100" s="3350" t="s">
        <v>2056</v>
      </c>
      <c r="F100" s="3350"/>
      <c r="G100" s="3350"/>
      <c r="H100" s="3384"/>
      <c r="I100" s="134"/>
    </row>
    <row r="101" spans="1:35" ht="18.75" customHeight="1">
      <c r="A101" s="3392" t="s">
        <v>2057</v>
      </c>
      <c r="B101" s="3393"/>
      <c r="C101" s="2781">
        <f>C4</f>
        <v>0</v>
      </c>
      <c r="D101" s="2782">
        <f>D4</f>
        <v>0</v>
      </c>
      <c r="E101" s="3362" t="s">
        <v>2058</v>
      </c>
      <c r="F101" s="3363"/>
      <c r="G101" s="1983" t="s">
        <v>2059</v>
      </c>
      <c r="H101" s="2791" t="e">
        <f ca="1">H118</f>
        <v>#REF!</v>
      </c>
      <c r="I101" s="134"/>
    </row>
    <row r="102" spans="1:35" ht="18.75" customHeight="1">
      <c r="A102" s="3394" t="s">
        <v>2060</v>
      </c>
      <c r="B102" s="2780" t="s">
        <v>2059</v>
      </c>
      <c r="C102" s="2781" t="e">
        <f ca="1">C19</f>
        <v>#REF!</v>
      </c>
      <c r="D102" s="2782" t="e">
        <f ca="1">D19</f>
        <v>#REF!</v>
      </c>
      <c r="E102" s="3362"/>
      <c r="F102" s="3363"/>
      <c r="G102" s="1983" t="s">
        <v>2061</v>
      </c>
      <c r="H102" s="2751" t="e">
        <f ca="1">I118</f>
        <v>#REF!</v>
      </c>
      <c r="I102" s="134"/>
    </row>
    <row r="103" spans="1:35" ht="42.75" customHeight="1">
      <c r="A103" s="3394"/>
      <c r="B103" s="2780" t="s">
        <v>2061</v>
      </c>
      <c r="C103" s="2783" t="e">
        <f ca="1">C20</f>
        <v>#REF!</v>
      </c>
      <c r="D103" s="2784" t="e">
        <f ca="1">D20</f>
        <v>#REF!</v>
      </c>
      <c r="E103" s="3355" t="s">
        <v>2062</v>
      </c>
      <c r="F103" s="3356"/>
      <c r="G103" s="1984" t="s">
        <v>2063</v>
      </c>
      <c r="H103" s="2791">
        <f>IF(D36="正常操作",H104+H105+H106,H105+H106)</f>
        <v>0</v>
      </c>
      <c r="I103" s="134"/>
    </row>
    <row r="104" spans="1:35" ht="18.75" customHeight="1">
      <c r="A104" s="3394" t="s">
        <v>2064</v>
      </c>
      <c r="B104" s="2785" t="s">
        <v>2059</v>
      </c>
      <c r="C104" s="2786" t="e">
        <f ca="1">H118</f>
        <v>#REF!</v>
      </c>
      <c r="D104" s="2787"/>
      <c r="E104" s="1830" t="s">
        <v>2065</v>
      </c>
      <c r="F104" s="1821"/>
      <c r="G104" s="1984" t="s">
        <v>2063</v>
      </c>
      <c r="H104" s="2792">
        <f>IF(D36="同一抵押权人同一抵押物续贷",C36&amp;"（续贷，未扣减，详见特别提示）",C36)</f>
        <v>0</v>
      </c>
      <c r="I104" s="134"/>
    </row>
    <row r="105" spans="1:35" ht="18.75" customHeight="1" thickBot="1">
      <c r="A105" s="3404"/>
      <c r="B105" s="2788" t="s">
        <v>2061</v>
      </c>
      <c r="C105" s="2789" t="e">
        <f ca="1">I118</f>
        <v>#REF!</v>
      </c>
      <c r="D105" s="2790"/>
      <c r="E105" s="1830" t="s">
        <v>2066</v>
      </c>
      <c r="F105" s="1821"/>
      <c r="G105" s="1984" t="s">
        <v>2063</v>
      </c>
      <c r="H105" s="2793">
        <f>C37</f>
        <v>0</v>
      </c>
      <c r="I105" s="134"/>
    </row>
    <row r="106" spans="1:35" ht="18.75" customHeight="1">
      <c r="A106" s="1903" t="s">
        <v>2067</v>
      </c>
      <c r="B106" s="1903"/>
      <c r="C106" s="1903"/>
      <c r="D106" s="1903"/>
      <c r="E106" s="1985" t="s">
        <v>2068</v>
      </c>
      <c r="F106" s="1821"/>
      <c r="G106" s="1984" t="s">
        <v>2063</v>
      </c>
      <c r="H106" s="2793">
        <f>C38</f>
        <v>0</v>
      </c>
      <c r="I106" s="134"/>
    </row>
    <row r="107" spans="1:35" ht="18.75" customHeight="1">
      <c r="A107" s="134"/>
      <c r="B107" s="134"/>
      <c r="C107" s="134"/>
      <c r="D107" s="134"/>
      <c r="E107" s="3395" t="str">
        <f>IF(项目基本情况!E8="已注销","——","3.房地产抵押价值")</f>
        <v>3.房地产抵押价值</v>
      </c>
      <c r="F107" s="3363"/>
      <c r="G107" s="1983" t="s">
        <v>2059</v>
      </c>
      <c r="H107" s="2791" t="e">
        <f ca="1">IF(E107="——","——",H101-H103)</f>
        <v>#REF!</v>
      </c>
      <c r="I107" s="134"/>
    </row>
    <row r="108" spans="1:35" ht="18.75" customHeight="1">
      <c r="A108" s="134"/>
      <c r="B108" s="134"/>
      <c r="C108" s="134"/>
      <c r="D108" s="134"/>
      <c r="E108" s="3395"/>
      <c r="F108" s="3363"/>
      <c r="G108" s="1983" t="s">
        <v>2061</v>
      </c>
      <c r="H108" s="2751" t="e">
        <f ca="1">ROUND(H107*10000/'数据-汇总表'!E3,0)</f>
        <v>#REF!</v>
      </c>
      <c r="I108" s="134"/>
    </row>
    <row r="109" spans="1:35" ht="18.75" customHeight="1">
      <c r="A109" s="134"/>
      <c r="B109" s="134"/>
      <c r="C109" s="134"/>
      <c r="D109" s="134"/>
      <c r="E109" s="3395" t="str">
        <f>IF(项目基本情况!E8="已注销及未注销","4.抵押担保权已注销时的房地产抵押价值",IF(项目基本情况!E8="已注销","3.抵押担保权已注销时的房地产抵押价值","——"))</f>
        <v>——</v>
      </c>
      <c r="F109" s="3363"/>
      <c r="G109" s="1983" t="s">
        <v>2059</v>
      </c>
      <c r="H109" s="2794" t="str">
        <f>IF(E109="——","——",H101-H105-H106)</f>
        <v>——</v>
      </c>
      <c r="I109" s="134"/>
    </row>
    <row r="110" spans="1:35" ht="18.75" customHeight="1">
      <c r="A110" s="134"/>
      <c r="B110" s="134"/>
      <c r="C110" s="134"/>
      <c r="D110" s="134"/>
      <c r="E110" s="3395"/>
      <c r="F110" s="3363"/>
      <c r="G110" s="1983" t="s">
        <v>2061</v>
      </c>
      <c r="H110" s="2751" t="str">
        <f>IF(H109="——","——",ROUND(H109*10000/'数据-汇总表'!E3,0))</f>
        <v>——</v>
      </c>
      <c r="I110" s="134"/>
    </row>
    <row r="111" spans="1:35" ht="18.75" customHeight="1">
      <c r="A111" s="134"/>
      <c r="B111" s="134"/>
      <c r="C111" s="134"/>
      <c r="D111" s="134"/>
      <c r="E111" s="3396" t="str">
        <f>IF(项目基本情况!E9="抵押净值",IF(OR(项目基本情况!E8="已注销",项目基本情况!E8="房地产抵押价值"),"4.抵押净值","5.抵押净值"),"——")</f>
        <v>——</v>
      </c>
      <c r="F111" s="3382"/>
      <c r="G111" s="1983" t="s">
        <v>2059</v>
      </c>
      <c r="H111" s="2791" t="str">
        <f>IF(E111="——","——",N59)</f>
        <v>——</v>
      </c>
      <c r="I111" s="134"/>
    </row>
    <row r="112" spans="1:35" ht="18.75" customHeight="1" thickBot="1">
      <c r="A112" s="134"/>
      <c r="B112" s="134"/>
      <c r="C112" s="134"/>
      <c r="D112" s="134"/>
      <c r="E112" s="3397"/>
      <c r="F112" s="3398"/>
      <c r="G112" s="1986" t="s">
        <v>2061</v>
      </c>
      <c r="H112" s="2795" t="str">
        <f>IF(E111="——","——",N61)</f>
        <v>——</v>
      </c>
      <c r="I112" s="134"/>
    </row>
    <row r="113" spans="1:27" ht="18.75" customHeight="1">
      <c r="A113" s="134"/>
      <c r="B113" s="134"/>
      <c r="C113" s="134"/>
      <c r="D113" s="134"/>
      <c r="E113" s="3405" t="s">
        <v>2067</v>
      </c>
      <c r="F113" s="3405"/>
      <c r="G113" s="3405"/>
      <c r="H113" s="3405"/>
      <c r="I113" s="134"/>
    </row>
    <row r="114" spans="1:27" ht="3.75" customHeight="1">
      <c r="A114" s="1903"/>
      <c r="B114" s="1903"/>
      <c r="C114" s="1903"/>
      <c r="D114" s="1903"/>
      <c r="E114" s="1965"/>
      <c r="F114" s="1965"/>
      <c r="G114" s="1965"/>
      <c r="H114" s="1965"/>
      <c r="I114" s="1903"/>
    </row>
    <row r="115" spans="1:27" ht="18.75" customHeight="1">
      <c r="A115" s="3416" t="s">
        <v>2069</v>
      </c>
      <c r="B115" s="3417"/>
      <c r="C115" s="3417"/>
      <c r="D115" s="3417"/>
      <c r="E115" s="3417"/>
      <c r="F115" s="3417"/>
      <c r="G115" s="3417"/>
      <c r="H115" s="3417"/>
      <c r="I115" s="3418"/>
    </row>
    <row r="116" spans="1:27" ht="27" customHeight="1">
      <c r="A116" s="3370" t="s">
        <v>2070</v>
      </c>
      <c r="B116" s="3374" t="s">
        <v>2071</v>
      </c>
      <c r="C116" s="3374" t="s">
        <v>2072</v>
      </c>
      <c r="D116" s="3380" t="s">
        <v>2073</v>
      </c>
      <c r="E116" s="3381"/>
      <c r="F116" s="3412" t="s">
        <v>2074</v>
      </c>
      <c r="G116" s="3412"/>
      <c r="H116" s="3370" t="s">
        <v>2075</v>
      </c>
      <c r="I116" s="3370"/>
    </row>
    <row r="117" spans="1:27" ht="18.75" customHeight="1">
      <c r="A117" s="3370"/>
      <c r="B117" s="3375"/>
      <c r="C117" s="3375"/>
      <c r="D117" s="2522" t="s">
        <v>2076</v>
      </c>
      <c r="E117" s="2522" t="s">
        <v>2077</v>
      </c>
      <c r="F117" s="2522" t="s">
        <v>2076</v>
      </c>
      <c r="G117" s="2522" t="s">
        <v>2078</v>
      </c>
      <c r="H117" s="2522" t="s">
        <v>2076</v>
      </c>
      <c r="I117" s="2522" t="s">
        <v>2078</v>
      </c>
    </row>
    <row r="118" spans="1:27" ht="24.75" customHeight="1">
      <c r="A118" s="2796" t="str">
        <f>项目基本情况!S2</f>
        <v>房地产</v>
      </c>
      <c r="B118" s="2522">
        <f>M18</f>
        <v>0</v>
      </c>
      <c r="C118" s="2522" t="e">
        <f>M19</f>
        <v>#DIV/0!</v>
      </c>
      <c r="D118" s="2522" t="e">
        <f ca="1">ROUND(IF(D32="总价",C34,E118*B118/10000),0)</f>
        <v>#REF!</v>
      </c>
      <c r="E118" s="2522" t="e">
        <f ca="1">ROUND(IF(C33="自定义",IF(D32="楼面单价",C34,D118*10000/B118),I118-G118),0)</f>
        <v>#REF!</v>
      </c>
      <c r="F118" s="2522" t="e">
        <f ca="1">ROUND(IF(D32="总价",C35,G118*B118/10000),0)</f>
        <v>#REF!</v>
      </c>
      <c r="G118" s="2522" t="e">
        <f ca="1">ROUND(IF(D32="楼面单价",C35,F118*10000/B118),0)</f>
        <v>#REF!</v>
      </c>
      <c r="H118" s="2522" t="e">
        <f ca="1">ROUND(IF(D32="总价",C32,I118*B118/10000),0)</f>
        <v>#REF!</v>
      </c>
      <c r="I118" s="2522" t="e">
        <f ca="1">ROUND(IF(D32="楼面单价",C32,H118*10000/B118),0)</f>
        <v>#REF!</v>
      </c>
    </row>
    <row r="119" spans="1:27" ht="18.75" customHeight="1">
      <c r="A119" s="3370" t="s">
        <v>2079</v>
      </c>
      <c r="B119" s="3370"/>
      <c r="C119" s="3370"/>
      <c r="D119" s="3376" t="e">
        <f ca="1">NUMBERSTRING(INT(D118*10000),2)&amp;"元整"</f>
        <v>#REF!</v>
      </c>
      <c r="E119" s="3377"/>
      <c r="F119" s="3376" t="e">
        <f ca="1">NUMBERSTRING(INT(F118*10000),2)&amp;"元整"</f>
        <v>#REF!</v>
      </c>
      <c r="G119" s="3377"/>
      <c r="H119" s="3376" t="e">
        <f ca="1">NUMBERSTRING(INT(H118*10000),2)&amp;"元整"</f>
        <v>#REF!</v>
      </c>
      <c r="I119" s="3377"/>
    </row>
    <row r="120" spans="1:27" ht="18.75" customHeight="1">
      <c r="A120" s="3371" t="str">
        <f>IF(项目基本情况!B9="房地产市场价值","",MID(E103,3,LEN(E103)-2))</f>
        <v>估价师知悉的法定优先受偿款</v>
      </c>
      <c r="B120" s="3372"/>
      <c r="C120" s="3373"/>
      <c r="D120" s="3371">
        <f>H103</f>
        <v>0</v>
      </c>
      <c r="E120" s="3372"/>
      <c r="F120" s="3372"/>
      <c r="G120" s="3372"/>
      <c r="H120" s="3372"/>
      <c r="I120" s="3373"/>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413" t="s">
        <v>2079</v>
      </c>
      <c r="B121" s="3414"/>
      <c r="C121" s="3415"/>
      <c r="D121" s="3376" t="str">
        <f>IF(D120=0,"零元整",NUMBERSTRING(INT(D120*10000),2)&amp;"元整")</f>
        <v>零元整</v>
      </c>
      <c r="E121" s="3378"/>
      <c r="F121" s="3378"/>
      <c r="G121" s="3378"/>
      <c r="H121" s="3378"/>
      <c r="I121" s="3377"/>
      <c r="AA121" s="734"/>
    </row>
    <row r="122" spans="1:27" ht="18.75" customHeight="1">
      <c r="A122" s="3382" t="str">
        <f>IF(项目基本情况!B9="房地产市场价值","",MID(E107,3,LEN(E107)-2))</f>
        <v>房地产抵押价值</v>
      </c>
      <c r="B122" s="3382"/>
      <c r="C122" s="3382"/>
      <c r="D122" s="3371" t="e">
        <f ca="1">H107</f>
        <v>#REF!</v>
      </c>
      <c r="E122" s="3372"/>
      <c r="F122" s="3372"/>
      <c r="G122" s="3372"/>
      <c r="H122" s="3372"/>
      <c r="I122" s="3373"/>
      <c r="AA122" s="734"/>
    </row>
    <row r="123" spans="1:27" ht="18.75" customHeight="1">
      <c r="A123" s="3370" t="s">
        <v>2079</v>
      </c>
      <c r="B123" s="3370"/>
      <c r="C123" s="3370"/>
      <c r="D123" s="3376" t="e">
        <f ca="1">NUMBERSTRING(INT(D122*10000),2)&amp;"元整"</f>
        <v>#REF!</v>
      </c>
      <c r="E123" s="3378"/>
      <c r="F123" s="3378"/>
      <c r="G123" s="3378"/>
      <c r="H123" s="3378"/>
      <c r="I123" s="3377"/>
      <c r="AA123" s="734"/>
    </row>
    <row r="124" spans="1:27" ht="18.75" customHeight="1">
      <c r="A124" s="3382" t="str">
        <f>IF(项目基本情况!B9="房地产市场价值","",MID(E109,3,LEN(E109)-2))</f>
        <v/>
      </c>
      <c r="B124" s="3382"/>
      <c r="C124" s="3382"/>
      <c r="D124" s="3371" t="str">
        <f>H109</f>
        <v>——</v>
      </c>
      <c r="E124" s="3372"/>
      <c r="F124" s="3372"/>
      <c r="G124" s="3372"/>
      <c r="H124" s="3372"/>
      <c r="I124" s="3373"/>
      <c r="AA124" s="734"/>
    </row>
    <row r="125" spans="1:27" ht="18.75" customHeight="1">
      <c r="A125" s="3370" t="s">
        <v>2079</v>
      </c>
      <c r="B125" s="3370"/>
      <c r="C125" s="3370"/>
      <c r="D125" s="3376" t="e">
        <f>NUMBERSTRING(INT(D124*10000),2)&amp;"元整"</f>
        <v>#VALUE!</v>
      </c>
      <c r="E125" s="3378"/>
      <c r="F125" s="3378"/>
      <c r="G125" s="3378"/>
      <c r="H125" s="3378"/>
      <c r="I125" s="3377"/>
      <c r="AA125" s="734"/>
    </row>
    <row r="126" spans="1:27" ht="18.75" customHeight="1">
      <c r="A126" s="3382" t="str">
        <f>IF(项目基本情况!B9="房地产市场价值","",MID(E111,3,LEN(E111)-2))</f>
        <v/>
      </c>
      <c r="B126" s="3382"/>
      <c r="C126" s="3382"/>
      <c r="D126" s="3371" t="str">
        <f>H111</f>
        <v>——</v>
      </c>
      <c r="E126" s="3372"/>
      <c r="F126" s="3372"/>
      <c r="G126" s="3372"/>
      <c r="H126" s="3372"/>
      <c r="I126" s="3373"/>
      <c r="AA126" s="734"/>
    </row>
    <row r="127" spans="1:27" ht="18.75" customHeight="1">
      <c r="A127" s="3370" t="s">
        <v>2079</v>
      </c>
      <c r="B127" s="3370"/>
      <c r="C127" s="3370"/>
      <c r="D127" s="3376" t="e">
        <f>NUMBERSTRING(INT(D126*10000),2)&amp;"元整"</f>
        <v>#VALUE!</v>
      </c>
      <c r="E127" s="3378"/>
      <c r="F127" s="3378"/>
      <c r="G127" s="3378"/>
      <c r="H127" s="3378"/>
      <c r="I127" s="3377"/>
      <c r="AA127" s="734"/>
    </row>
    <row r="128" spans="1:27" ht="21.75" customHeight="1">
      <c r="A128" s="3379" t="s">
        <v>2080</v>
      </c>
      <c r="B128" s="3379"/>
      <c r="C128" s="3379"/>
      <c r="D128" s="3379"/>
      <c r="E128" s="3379"/>
      <c r="F128" s="3379"/>
      <c r="G128" s="3379"/>
      <c r="H128" s="3379"/>
      <c r="I128" s="3379"/>
      <c r="AA128" s="734"/>
    </row>
    <row r="129" spans="1:35" ht="21.75" customHeight="1">
      <c r="A129" s="1987" t="s">
        <v>2081</v>
      </c>
      <c r="B129" s="1988"/>
      <c r="C129" s="1989" t="s">
        <v>2082</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2083</v>
      </c>
      <c r="G135" s="2004"/>
      <c r="H135" s="2004"/>
      <c r="I135" s="2005" t="s">
        <v>2084</v>
      </c>
    </row>
    <row r="136" spans="1:35" ht="21.75" customHeight="1">
      <c r="A136" s="734"/>
      <c r="B136" s="2006" t="s">
        <v>2085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2086</v>
      </c>
    </row>
    <row r="139" spans="1:35" ht="21.75" customHeight="1">
      <c r="A139" s="734"/>
      <c r="B139" s="2006" t="s">
        <v>2087</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2086</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2088</v>
      </c>
      <c r="B1" s="1624"/>
      <c r="C1" s="204"/>
      <c r="D1" s="204"/>
      <c r="E1" s="204"/>
      <c r="F1" s="204"/>
      <c r="G1" s="1260">
        <f>MATCH(B1,'数据-取费表'!A6:A16,0)+5</f>
        <v>6</v>
      </c>
    </row>
    <row r="2" spans="1:9" s="206" customFormat="1" ht="18" customHeight="1">
      <c r="A2" s="207" t="s">
        <v>2089</v>
      </c>
      <c r="B2" s="208" t="e">
        <f ca="1">IF(D2="——",C52,C52-E2)</f>
        <v>#DIV/0!</v>
      </c>
      <c r="C2" s="205" t="s">
        <v>2090</v>
      </c>
      <c r="D2" s="2009" t="s">
        <v>70</v>
      </c>
      <c r="E2" s="1303" t="e">
        <f ca="1">SUMIF(INDIRECT("'"&amp;G2&amp;"'"&amp;"!A:A"),"承租人权益价值",INDIRECT("'"&amp;G2&amp;"'"&amp;"!c:c"))</f>
        <v>#REF!</v>
      </c>
      <c r="F2" s="2010" t="s">
        <v>2090</v>
      </c>
      <c r="G2" s="2011"/>
    </row>
    <row r="3" spans="1:9" s="206" customFormat="1" ht="18" customHeight="1" thickBot="1">
      <c r="A3" s="209" t="s">
        <v>2091</v>
      </c>
      <c r="B3" s="210" t="e">
        <f ca="1">ROUND(B2*10000/(IF(B1="",'数据-汇总表'!E3,INDIRECT("'数据-取费表'!k"&amp;$G$1))),0)</f>
        <v>#DIV/0!</v>
      </c>
      <c r="C3" s="205" t="s">
        <v>2092</v>
      </c>
      <c r="D3" s="205"/>
      <c r="E3" s="205"/>
      <c r="F3" s="205"/>
      <c r="G3" s="205"/>
    </row>
    <row r="4" spans="1:9" s="214" customFormat="1" ht="15.75">
      <c r="A4" s="211" t="s">
        <v>2093</v>
      </c>
      <c r="B4" s="212"/>
      <c r="C4" s="212"/>
      <c r="D4" s="212"/>
      <c r="E4" s="212"/>
      <c r="F4" s="212"/>
      <c r="G4" s="213"/>
    </row>
    <row r="5" spans="1:9" s="220" customFormat="1" ht="13.5" customHeight="1">
      <c r="A5" s="261" t="s">
        <v>2094</v>
      </c>
      <c r="B5" s="216" t="s">
        <v>2095</v>
      </c>
      <c r="C5" s="217">
        <f>C6+C7+C8</f>
        <v>0</v>
      </c>
      <c r="D5" s="217" t="s">
        <v>2096</v>
      </c>
      <c r="E5" s="218" t="s">
        <v>2097</v>
      </c>
      <c r="F5" s="218" t="s">
        <v>2098</v>
      </c>
      <c r="G5" s="219"/>
    </row>
    <row r="6" spans="1:9" s="220" customFormat="1" ht="13.5" customHeight="1">
      <c r="A6" s="886" t="s">
        <v>2099</v>
      </c>
      <c r="B6" s="221" t="s">
        <v>2100</v>
      </c>
      <c r="C6" s="222"/>
      <c r="D6" s="223"/>
      <c r="E6" s="224"/>
      <c r="F6" s="224"/>
      <c r="G6" s="225"/>
    </row>
    <row r="7" spans="1:9" s="220" customFormat="1" ht="13.5" customHeight="1">
      <c r="A7" s="886" t="s">
        <v>2101</v>
      </c>
      <c r="B7" s="221" t="s">
        <v>2102</v>
      </c>
      <c r="C7" s="226">
        <f>ROUND(C6*F7,0)</f>
        <v>0</v>
      </c>
      <c r="D7" s="226"/>
      <c r="E7" s="224"/>
      <c r="F7" s="227">
        <f>IF(项目基本情况!B8="出让",0,'数据-取费表'!B48+'数据-取费表'!B49)</f>
        <v>0</v>
      </c>
      <c r="G7" s="225"/>
    </row>
    <row r="8" spans="1:9" s="229" customFormat="1">
      <c r="A8" s="886" t="s">
        <v>2103</v>
      </c>
      <c r="B8" s="221" t="s">
        <v>2104</v>
      </c>
      <c r="C8" s="226">
        <f>IF(G8="已包含在土地购买价格中","0",IF(B1="",'数据-取费表'!B29,IF(G9="全部缴纳",C9+C10,H9)))</f>
        <v>0</v>
      </c>
      <c r="D8" s="228"/>
      <c r="E8" s="226"/>
      <c r="F8" s="227"/>
      <c r="G8" s="2012"/>
    </row>
    <row r="9" spans="1:9" s="220" customFormat="1" ht="13.5" customHeight="1">
      <c r="A9" s="887" t="s">
        <v>800</v>
      </c>
      <c r="B9" s="230" t="s">
        <v>2105</v>
      </c>
      <c r="C9" s="231">
        <f ca="1">ROUND(D9*E9/10000,0)</f>
        <v>0</v>
      </c>
      <c r="D9" s="954">
        <f ca="1">IF(B1="",'数据-汇总表'!E5,IF(INDIRECT("'数据-取费表'!c"&amp;$G$1)="住宅",INDIRECT("'数据-取费表'!k"&amp;$G$1),0))</f>
        <v>0</v>
      </c>
      <c r="E9" s="231">
        <f>'数据-取费表'!B27</f>
        <v>0</v>
      </c>
      <c r="F9" s="227"/>
      <c r="G9" s="2013"/>
      <c r="H9" s="1271"/>
      <c r="I9" s="2014" t="s">
        <v>2106</v>
      </c>
    </row>
    <row r="10" spans="1:9" s="220" customFormat="1" ht="13.5" customHeight="1">
      <c r="A10" s="887" t="s">
        <v>801</v>
      </c>
      <c r="B10" s="230" t="s">
        <v>2107</v>
      </c>
      <c r="C10" s="231">
        <f ca="1">ROUND(D10*E10/10000,0)</f>
        <v>0</v>
      </c>
      <c r="D10" s="954">
        <f ca="1">IF(B1="",'数据-汇总表'!E6,IF(INDIRECT("'数据-取费表'!c"&amp;$G$1)="住宅",INDIRECT("'数据-取费表'!s"&amp;$G$1),INDIRECT("'数据-取费表'!k"&amp;$G$1)+INDIRECT("'数据-取费表'!s"&amp;$G$1)))</f>
        <v>0</v>
      </c>
      <c r="E10" s="231">
        <f>'数据-取费表'!B28</f>
        <v>0</v>
      </c>
      <c r="F10" s="227"/>
      <c r="G10" s="232"/>
    </row>
    <row r="11" spans="1:9" s="220" customFormat="1" ht="13.5" hidden="1" customHeight="1">
      <c r="A11" s="233" t="s">
        <v>7</v>
      </c>
      <c r="B11" s="221" t="s">
        <v>2108</v>
      </c>
      <c r="C11" s="217"/>
      <c r="D11" s="956"/>
      <c r="E11" s="224"/>
      <c r="F11" s="224"/>
      <c r="G11" s="225"/>
    </row>
    <row r="12" spans="1:9" s="220" customFormat="1" ht="13.5" hidden="1" customHeight="1">
      <c r="A12" s="233" t="s">
        <v>8</v>
      </c>
      <c r="B12" s="221" t="s">
        <v>2109</v>
      </c>
      <c r="C12" s="217">
        <v>0</v>
      </c>
      <c r="D12" s="956"/>
      <c r="E12" s="234"/>
      <c r="F12" s="227">
        <v>3.0499999999999999E-2</v>
      </c>
      <c r="G12" s="225"/>
    </row>
    <row r="13" spans="1:9" s="220" customFormat="1" ht="13.5" hidden="1" customHeight="1">
      <c r="A13" s="233" t="s">
        <v>9</v>
      </c>
      <c r="B13" s="221" t="s">
        <v>2110</v>
      </c>
      <c r="C13" s="217"/>
      <c r="D13" s="956"/>
      <c r="E13" s="224"/>
      <c r="F13" s="224"/>
      <c r="G13" s="225"/>
    </row>
    <row r="14" spans="1:9" s="220" customFormat="1" ht="13.5" hidden="1" customHeight="1">
      <c r="A14" s="233" t="s">
        <v>10</v>
      </c>
      <c r="B14" s="221" t="s">
        <v>2111</v>
      </c>
      <c r="C14" s="217"/>
      <c r="D14" s="956"/>
      <c r="E14" s="224"/>
      <c r="F14" s="224"/>
      <c r="G14" s="225" t="s">
        <v>2112</v>
      </c>
    </row>
    <row r="15" spans="1:9" s="220" customFormat="1" ht="13.5" hidden="1" customHeight="1">
      <c r="A15" s="233" t="s">
        <v>11</v>
      </c>
      <c r="B15" s="221" t="s">
        <v>2113</v>
      </c>
      <c r="C15" s="226"/>
      <c r="D15" s="956"/>
      <c r="E15" s="224"/>
      <c r="F15" s="224"/>
      <c r="G15" s="225" t="s">
        <v>2114</v>
      </c>
    </row>
    <row r="16" spans="1:9" s="220" customFormat="1" ht="13.5" hidden="1" customHeight="1">
      <c r="A16" s="233" t="s">
        <v>12</v>
      </c>
      <c r="B16" s="221" t="s">
        <v>2111</v>
      </c>
      <c r="C16" s="226"/>
      <c r="D16" s="956"/>
      <c r="E16" s="224"/>
      <c r="F16" s="224"/>
      <c r="G16" s="225"/>
    </row>
    <row r="17" spans="1:7" s="220" customFormat="1" ht="13.5" hidden="1" customHeight="1">
      <c r="A17" s="233" t="s">
        <v>13</v>
      </c>
      <c r="B17" s="221" t="s">
        <v>2115</v>
      </c>
      <c r="C17" s="235"/>
      <c r="D17" s="957"/>
      <c r="E17" s="235"/>
      <c r="F17" s="235"/>
      <c r="G17" s="225" t="s">
        <v>2114</v>
      </c>
    </row>
    <row r="18" spans="1:7" s="220" customFormat="1" ht="13.5" hidden="1" customHeight="1">
      <c r="A18" s="233" t="s">
        <v>14</v>
      </c>
      <c r="B18" s="221" t="s">
        <v>2116</v>
      </c>
      <c r="C18" s="226">
        <v>0</v>
      </c>
      <c r="D18" s="956"/>
      <c r="E18" s="224"/>
      <c r="F18" s="227">
        <v>3.0499999999999999E-2</v>
      </c>
      <c r="G18" s="225" t="s">
        <v>2117</v>
      </c>
    </row>
    <row r="19" spans="1:7" s="229" customFormat="1" ht="13.5" customHeight="1">
      <c r="A19" s="261" t="s">
        <v>2118</v>
      </c>
      <c r="B19" s="216" t="s">
        <v>2119</v>
      </c>
      <c r="C19" s="217">
        <f ca="1">IF(G19="已包含在土地取得成本中","0",ROUND(D19*E19/10000,0))</f>
        <v>0</v>
      </c>
      <c r="D19" s="958">
        <f ca="1">D9+D10</f>
        <v>0</v>
      </c>
      <c r="E19" s="217">
        <f>'数据-取费表'!B31</f>
        <v>0</v>
      </c>
      <c r="F19" s="237"/>
      <c r="G19" s="2012"/>
    </row>
    <row r="20" spans="1:7" s="220" customFormat="1" ht="13.5" customHeight="1">
      <c r="A20" s="261" t="s">
        <v>2120</v>
      </c>
      <c r="B20" s="216" t="s">
        <v>2121</v>
      </c>
      <c r="C20" s="238">
        <f ca="1">ROUND((C5+C19)*F20,0)</f>
        <v>0</v>
      </c>
      <c r="D20" s="238"/>
      <c r="E20" s="238"/>
      <c r="F20" s="239">
        <f>'数据-取费表'!B37</f>
        <v>0</v>
      </c>
      <c r="G20" s="240" t="s">
        <v>2122</v>
      </c>
    </row>
    <row r="21" spans="1:7" s="220" customFormat="1" ht="13.5" customHeight="1">
      <c r="A21" s="261" t="s">
        <v>2123</v>
      </c>
      <c r="B21" s="216" t="s">
        <v>2124</v>
      </c>
      <c r="C21" s="241">
        <f>F21</f>
        <v>0</v>
      </c>
      <c r="D21" s="242" t="s">
        <v>2125</v>
      </c>
      <c r="E21" s="238"/>
      <c r="F21" s="239">
        <f>'数据-取费表'!B38</f>
        <v>0</v>
      </c>
      <c r="G21" s="240" t="s">
        <v>2126</v>
      </c>
    </row>
    <row r="22" spans="1:7" s="220" customFormat="1" ht="13.5" customHeight="1">
      <c r="A22" s="261" t="s">
        <v>2127</v>
      </c>
      <c r="B22" s="216" t="s">
        <v>2128</v>
      </c>
      <c r="C22" s="1236">
        <f ca="1">ROUND(SUM(C23:C25),0)</f>
        <v>0</v>
      </c>
      <c r="D22" s="241">
        <f ca="1">C26</f>
        <v>0</v>
      </c>
      <c r="E22" s="242" t="s">
        <v>2125</v>
      </c>
      <c r="F22" s="243">
        <f ca="1">'数据-取费表'!B40</f>
        <v>0</v>
      </c>
      <c r="G22" s="240" t="str">
        <f>IF('数据-取费表'!B22&lt;=1,"单利计息","复利计息")</f>
        <v>单利计息</v>
      </c>
    </row>
    <row r="23" spans="1:7" s="220" customFormat="1" ht="13.5" customHeight="1">
      <c r="A23" s="888" t="s">
        <v>2129</v>
      </c>
      <c r="B23" s="221" t="s">
        <v>2130</v>
      </c>
      <c r="C23" s="1237">
        <f ca="1">ROUND(IF('数据-取费表'!B22&lt;=1,C5*F22*'数据-取费表'!B23,C5*(POWER((1+F22),'数据-取费表'!B23)-1)),0)</f>
        <v>0</v>
      </c>
      <c r="D23" s="244"/>
      <c r="E23" s="244"/>
      <c r="F23" s="245"/>
      <c r="G23" s="246" t="s">
        <v>2131</v>
      </c>
    </row>
    <row r="24" spans="1:7" s="220" customFormat="1" ht="13.5" customHeight="1">
      <c r="A24" s="888" t="s">
        <v>2132</v>
      </c>
      <c r="B24" s="221" t="s">
        <v>2133</v>
      </c>
      <c r="C24" s="1237">
        <f ca="1">ROUND(IF('数据-取费表'!B22&lt;=1,C19*F22*('数据-取费表'!B19/2+'数据-取费表'!B21),C19*(POWER((1+F22),('数据-取费表'!B19/2+'数据-取费表'!B21))-1)),0)</f>
        <v>0</v>
      </c>
      <c r="D24" s="244"/>
      <c r="E24" s="244"/>
      <c r="F24" s="245"/>
      <c r="G24" s="246" t="s">
        <v>2134</v>
      </c>
    </row>
    <row r="25" spans="1:7" s="220" customFormat="1" ht="24">
      <c r="A25" s="888" t="s">
        <v>2135</v>
      </c>
      <c r="B25" s="221" t="s">
        <v>2136</v>
      </c>
      <c r="C25" s="1237">
        <f ca="1">ROUND(IF('数据-取费表'!B22&lt;=1,C20*F22*'数据-取费表'!B23/2,C20*(POWER((1+F22),'数据-取费表'!B23/2)-1)),0)</f>
        <v>0</v>
      </c>
      <c r="D25" s="244"/>
      <c r="E25" s="247"/>
      <c r="F25" s="245"/>
      <c r="G25" s="248" t="s">
        <v>2137</v>
      </c>
    </row>
    <row r="26" spans="1:7" s="220" customFormat="1">
      <c r="A26" s="888" t="s">
        <v>795</v>
      </c>
      <c r="B26" s="221" t="s">
        <v>2138</v>
      </c>
      <c r="C26" s="244">
        <f ca="1">ROUND(IF('数据-取费表'!B22&lt;=1,F21*F22*'数据-取费表'!B23/2,F21*(POWER((1+F22),'数据-取费表'!B23/2)-1)),4)</f>
        <v>0</v>
      </c>
      <c r="D26" s="244"/>
      <c r="E26" s="247"/>
      <c r="F26" s="245"/>
      <c r="G26" s="249"/>
    </row>
    <row r="27" spans="1:7" s="220" customFormat="1" ht="24.75">
      <c r="A27" s="261" t="s">
        <v>2139</v>
      </c>
      <c r="B27" s="250" t="s">
        <v>2140</v>
      </c>
      <c r="C27" s="251" t="e">
        <f ca="1">C28</f>
        <v>#DIV/0!</v>
      </c>
      <c r="D27" s="241" t="e">
        <f ca="1">C29</f>
        <v>#DIV/0!</v>
      </c>
      <c r="E27" s="242" t="s">
        <v>2141</v>
      </c>
      <c r="F27" s="252" t="e">
        <f ca="1">IF(B1="",'数据-取费表'!Q16,INDIRECT("'数据-取费表'!q"&amp;$G$1))</f>
        <v>#DIV/0!</v>
      </c>
      <c r="G27" s="253" t="s">
        <v>2142</v>
      </c>
    </row>
    <row r="28" spans="1:7" s="220" customFormat="1" ht="13.5" customHeight="1">
      <c r="A28" s="888" t="s">
        <v>791</v>
      </c>
      <c r="B28" s="254" t="s">
        <v>2143</v>
      </c>
      <c r="C28" s="255" t="e">
        <f ca="1">ROUND((C5+C19+C20)*F27*'数据-取费表'!B21/'数据-取费表'!B20,0)</f>
        <v>#DIV/0!</v>
      </c>
      <c r="D28" s="241"/>
      <c r="E28" s="242"/>
      <c r="F28" s="252"/>
      <c r="G28" s="253"/>
    </row>
    <row r="29" spans="1:7" s="220" customFormat="1" ht="13.5" customHeight="1">
      <c r="A29" s="888" t="s">
        <v>792</v>
      </c>
      <c r="B29" s="254" t="s">
        <v>2144</v>
      </c>
      <c r="C29" s="244" t="e">
        <f ca="1">ROUND(C21*F27*'数据-取费表'!B21/'数据-取费表'!B20,4)</f>
        <v>#DIV/0!</v>
      </c>
      <c r="D29" s="241"/>
      <c r="E29" s="242"/>
      <c r="F29" s="252"/>
      <c r="G29" s="253"/>
    </row>
    <row r="30" spans="1:7" s="220" customFormat="1" ht="13.5" customHeight="1">
      <c r="A30" s="261" t="s">
        <v>2145</v>
      </c>
      <c r="B30" s="216" t="s">
        <v>2146</v>
      </c>
      <c r="C30" s="241">
        <f>ROUND(F30/(1+'数据-取费表'!C42),4)</f>
        <v>0</v>
      </c>
      <c r="D30" s="242" t="s">
        <v>2141</v>
      </c>
      <c r="E30" s="247"/>
      <c r="F30" s="243">
        <f>'数据-取费表'!B41</f>
        <v>0</v>
      </c>
      <c r="G30" s="240" t="s">
        <v>2147</v>
      </c>
    </row>
    <row r="31" spans="1:7" ht="16.5" customHeight="1">
      <c r="A31" s="215">
        <v>1</v>
      </c>
      <c r="B31" s="216" t="s">
        <v>2148</v>
      </c>
      <c r="C31" s="217" t="e">
        <f ca="1">ROUND((C5+C19+C20+C22+C27)/(1-C21-D22-D27-C30),0)</f>
        <v>#DIV/0!</v>
      </c>
      <c r="D31" s="236"/>
      <c r="E31" s="217"/>
      <c r="F31" s="256"/>
      <c r="G31" s="240" t="s">
        <v>2149</v>
      </c>
    </row>
    <row r="32" spans="1:7" s="214" customFormat="1" ht="15.75">
      <c r="A32" s="258" t="s">
        <v>2150</v>
      </c>
      <c r="B32" s="259"/>
      <c r="C32" s="259"/>
      <c r="D32" s="259"/>
      <c r="E32" s="259"/>
      <c r="F32" s="259"/>
      <c r="G32" s="260"/>
    </row>
    <row r="33" spans="1:7" s="220" customFormat="1" ht="13.5" customHeight="1">
      <c r="A33" s="261" t="s">
        <v>782</v>
      </c>
      <c r="B33" s="216" t="s">
        <v>2151</v>
      </c>
      <c r="C33" s="262">
        <f ca="1">SUM(C34:C38)</f>
        <v>0</v>
      </c>
      <c r="D33" s="238"/>
      <c r="E33" s="218"/>
      <c r="F33" s="247"/>
      <c r="G33" s="240"/>
    </row>
    <row r="34" spans="1:7" s="264" customFormat="1" ht="13.5" customHeight="1">
      <c r="A34" s="888" t="s">
        <v>791</v>
      </c>
      <c r="B34" s="221" t="s">
        <v>2152</v>
      </c>
      <c r="C34" s="226">
        <f ca="1">IF(B1="",IF(F34=100%,'数据-取费表'!M16,'数据-取费表'!O16),IF(F34=100%,INDIRECT("'数据-取费表'!m"&amp;$G$1)+INDIRECT("'数据-取费表'!t"&amp;$G$1),INDIRECT("'数据-取费表'!o"&amp;$G$1)+INDIRECT("'数据-取费表'!aq"&amp;$G$1)))</f>
        <v>0</v>
      </c>
      <c r="D34" s="223"/>
      <c r="E34" s="226"/>
      <c r="F34" s="263">
        <f ca="1">IF('数据-取费表'!B24=0,1,IF(B1="",'数据-取费表'!N16,INDIRECT("'数据-取费表'!n"&amp;$G$1)))</f>
        <v>1</v>
      </c>
      <c r="G34" s="225" t="s">
        <v>2153</v>
      </c>
    </row>
    <row r="35" spans="1:7" ht="13.5" customHeight="1">
      <c r="A35" s="888" t="s">
        <v>796</v>
      </c>
      <c r="B35" s="221" t="s">
        <v>2154</v>
      </c>
      <c r="C35" s="226">
        <f ca="1">ROUND(C34*F35,0)</f>
        <v>0</v>
      </c>
      <c r="D35" s="226"/>
      <c r="E35" s="226"/>
      <c r="F35" s="265">
        <f>'数据-取费表'!B33</f>
        <v>0</v>
      </c>
      <c r="G35" s="225" t="s">
        <v>2155</v>
      </c>
    </row>
    <row r="36" spans="1:7" ht="24">
      <c r="A36" s="888" t="s">
        <v>797</v>
      </c>
      <c r="B36" s="221" t="s">
        <v>2156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2157</v>
      </c>
    </row>
    <row r="37" spans="1:7" s="264" customFormat="1" ht="13.5" customHeight="1">
      <c r="A37" s="888" t="s">
        <v>798</v>
      </c>
      <c r="B37" s="221" t="s">
        <v>2158</v>
      </c>
      <c r="C37" s="255">
        <f ca="1">ROUND(E37*D37*F34/10000,0)</f>
        <v>0</v>
      </c>
      <c r="D37" s="223">
        <f ca="1">D19</f>
        <v>0</v>
      </c>
      <c r="E37" s="255">
        <f>'数据-取费表'!B35</f>
        <v>0</v>
      </c>
      <c r="F37" s="265"/>
      <c r="G37" s="267" t="s">
        <v>2159</v>
      </c>
    </row>
    <row r="38" spans="1:7" ht="13.5" customHeight="1">
      <c r="A38" s="888" t="s">
        <v>799</v>
      </c>
      <c r="B38" s="221" t="s">
        <v>2160</v>
      </c>
      <c r="C38" s="226">
        <f ca="1">ROUND(C34*F38,0)</f>
        <v>0</v>
      </c>
      <c r="D38" s="226"/>
      <c r="E38" s="226"/>
      <c r="F38" s="265">
        <f>'数据-取费表'!B36</f>
        <v>0</v>
      </c>
      <c r="G38" s="225" t="s">
        <v>2155</v>
      </c>
    </row>
    <row r="39" spans="1:7" s="220" customFormat="1" ht="13.5" customHeight="1">
      <c r="A39" s="261" t="s">
        <v>2161</v>
      </c>
      <c r="B39" s="216" t="s">
        <v>2162</v>
      </c>
      <c r="C39" s="238">
        <f ca="1">ROUND(C33*F20,0)</f>
        <v>0</v>
      </c>
      <c r="D39" s="238"/>
      <c r="E39" s="238"/>
      <c r="F39" s="2505">
        <f>F20</f>
        <v>0</v>
      </c>
      <c r="G39" s="240" t="s">
        <v>2163</v>
      </c>
    </row>
    <row r="40" spans="1:7" s="220" customFormat="1" ht="13.5" customHeight="1">
      <c r="A40" s="261" t="s">
        <v>2164</v>
      </c>
      <c r="B40" s="216" t="s">
        <v>2165</v>
      </c>
      <c r="C40" s="1467">
        <f>F21</f>
        <v>0</v>
      </c>
      <c r="D40" s="242" t="s">
        <v>2166</v>
      </c>
      <c r="E40" s="238"/>
      <c r="F40" s="2505">
        <f>F21</f>
        <v>0</v>
      </c>
      <c r="G40" s="240" t="s">
        <v>2167</v>
      </c>
    </row>
    <row r="41" spans="1:7" s="220" customFormat="1" ht="13.5" customHeight="1">
      <c r="A41" s="261" t="s">
        <v>2168</v>
      </c>
      <c r="B41" s="216" t="s">
        <v>2169</v>
      </c>
      <c r="C41" s="238">
        <f ca="1">ROUND(SUM(C42:C43),0)</f>
        <v>0</v>
      </c>
      <c r="D41" s="241">
        <f ca="1">C44</f>
        <v>0</v>
      </c>
      <c r="E41" s="242" t="s">
        <v>2166</v>
      </c>
      <c r="F41" s="2506">
        <f ca="1">F22</f>
        <v>0</v>
      </c>
      <c r="G41" s="240" t="str">
        <f>IF('数据-取费表'!B22&lt;=1,"单利计息","复利计息")</f>
        <v>单利计息</v>
      </c>
    </row>
    <row r="42" spans="1:7" ht="13.5" customHeight="1">
      <c r="A42" s="888" t="s">
        <v>791</v>
      </c>
      <c r="B42" s="221" t="s">
        <v>2170</v>
      </c>
      <c r="C42" s="244">
        <f ca="1">ROUND(IF('数据-取费表'!B22&lt;=1,C33*F22*'数据-取费表'!B21/2,C33*(POWER((1+F22),'数据-取费表'!B21/2)-1)),0)</f>
        <v>0</v>
      </c>
      <c r="D42" s="244"/>
      <c r="E42" s="244"/>
      <c r="F42" s="245"/>
      <c r="G42" s="3452" t="s">
        <v>2171</v>
      </c>
    </row>
    <row r="43" spans="1:7" ht="13.5" customHeight="1">
      <c r="A43" s="888" t="s">
        <v>792</v>
      </c>
      <c r="B43" s="221" t="s">
        <v>2172</v>
      </c>
      <c r="C43" s="244">
        <f ca="1">ROUND(IF('数据-取费表'!B22&lt;=1,C39*F22*'数据-取费表'!B21/2,C39*(POWER((1+F22),'数据-取费表'!B21/2)-1)),0)</f>
        <v>0</v>
      </c>
      <c r="D43" s="244"/>
      <c r="E43" s="244"/>
      <c r="F43" s="245"/>
      <c r="G43" s="3453"/>
    </row>
    <row r="44" spans="1:7" ht="13.5" customHeight="1">
      <c r="A44" s="888" t="s">
        <v>793</v>
      </c>
      <c r="B44" s="221" t="s">
        <v>2173</v>
      </c>
      <c r="C44" s="244">
        <f ca="1">ROUND(IF('数据-取费表'!B22&lt;=1,C40*F22*'数据-取费表'!B21/2,C40*(POWER((1+F22),'数据-取费表'!B21/2)-1)),4)</f>
        <v>0</v>
      </c>
      <c r="D44" s="244"/>
      <c r="E44" s="244"/>
      <c r="F44" s="245"/>
      <c r="G44" s="3454"/>
    </row>
    <row r="45" spans="1:7" s="220" customFormat="1" ht="13.5" customHeight="1">
      <c r="A45" s="261" t="s">
        <v>2174</v>
      </c>
      <c r="B45" s="250" t="s">
        <v>2140</v>
      </c>
      <c r="C45" s="251" t="e">
        <f ca="1">C46</f>
        <v>#DIV/0!</v>
      </c>
      <c r="D45" s="241" t="e">
        <f ca="1">C47</f>
        <v>#DIV/0!</v>
      </c>
      <c r="E45" s="242" t="s">
        <v>2166</v>
      </c>
      <c r="F45" s="2507" t="e">
        <f ca="1">F27</f>
        <v>#DIV/0!</v>
      </c>
      <c r="G45" s="253" t="s">
        <v>2175</v>
      </c>
    </row>
    <row r="46" spans="1:7" s="220" customFormat="1" ht="13.5" customHeight="1">
      <c r="A46" s="888" t="s">
        <v>791</v>
      </c>
      <c r="B46" s="254" t="s">
        <v>2176</v>
      </c>
      <c r="C46" s="255" t="e">
        <f ca="1">ROUND((C33+C39)*F27,0)</f>
        <v>#DIV/0!</v>
      </c>
      <c r="D46" s="269"/>
      <c r="E46" s="242"/>
      <c r="F46" s="252"/>
      <c r="G46" s="253"/>
    </row>
    <row r="47" spans="1:7" s="220" customFormat="1" ht="13.5" customHeight="1">
      <c r="A47" s="888" t="s">
        <v>792</v>
      </c>
      <c r="B47" s="254" t="s">
        <v>2177</v>
      </c>
      <c r="C47" s="244" t="e">
        <f ca="1">ROUND(C40*F27,4)</f>
        <v>#DIV/0!</v>
      </c>
      <c r="D47" s="269"/>
      <c r="E47" s="242"/>
      <c r="F47" s="252"/>
      <c r="G47" s="253"/>
    </row>
    <row r="48" spans="1:7" s="220" customFormat="1" ht="13.5" customHeight="1">
      <c r="A48" s="261" t="s">
        <v>2139</v>
      </c>
      <c r="B48" s="216" t="s">
        <v>2178</v>
      </c>
      <c r="C48" s="1467">
        <f>ROUND(F30/(1+'数据-取费表'!C42),4)</f>
        <v>0</v>
      </c>
      <c r="D48" s="242" t="s">
        <v>2166</v>
      </c>
      <c r="E48" s="238"/>
      <c r="F48" s="2506">
        <f>F30</f>
        <v>0</v>
      </c>
      <c r="G48" s="240" t="s">
        <v>2179</v>
      </c>
    </row>
    <row r="49" spans="1:7" ht="16.5" customHeight="1">
      <c r="A49" s="261" t="s">
        <v>2145</v>
      </c>
      <c r="B49" s="216" t="s">
        <v>2180</v>
      </c>
      <c r="C49" s="238" t="e">
        <f ca="1">ROUND((C33+C39+C41+C45)/(1-C40-D41-D45-C48),0)</f>
        <v>#DIV/0!</v>
      </c>
      <c r="D49" s="238"/>
      <c r="E49" s="238"/>
      <c r="F49" s="270"/>
      <c r="G49" s="240" t="s">
        <v>2181</v>
      </c>
    </row>
    <row r="50" spans="1:7" s="264" customFormat="1" ht="24">
      <c r="A50" s="261" t="s">
        <v>2182</v>
      </c>
      <c r="B50" s="216" t="s">
        <v>2183</v>
      </c>
      <c r="C50" s="238"/>
      <c r="D50" s="238"/>
      <c r="E50" s="238"/>
      <c r="F50" s="270" t="e">
        <f>IF('数据-取费表'!B24=0,'数据-取费表'!N16,1)</f>
        <v>#DIV/0!</v>
      </c>
      <c r="G50" s="253" t="s">
        <v>2184</v>
      </c>
    </row>
    <row r="51" spans="1:7" ht="16.5" customHeight="1">
      <c r="A51" s="261" t="s">
        <v>2185</v>
      </c>
      <c r="B51" s="216" t="s">
        <v>2186</v>
      </c>
      <c r="C51" s="238" t="e">
        <f ca="1">ROUND(C49*F50,0)</f>
        <v>#DIV/0!</v>
      </c>
      <c r="D51" s="238"/>
      <c r="E51" s="238"/>
      <c r="F51" s="270"/>
      <c r="G51" s="240" t="s">
        <v>2187</v>
      </c>
    </row>
    <row r="52" spans="1:7" s="214" customFormat="1" ht="16.5" thickBot="1">
      <c r="A52" s="271" t="s">
        <v>2188</v>
      </c>
      <c r="B52" s="272"/>
      <c r="C52" s="273" t="e">
        <f ca="1">C31+C51</f>
        <v>#DIV/0!</v>
      </c>
      <c r="D52" s="272"/>
      <c r="E52" s="272"/>
      <c r="F52" s="272"/>
      <c r="G52" s="274"/>
    </row>
    <row r="55" spans="1:7" ht="15">
      <c r="B55" s="276" t="s">
        <v>2189</v>
      </c>
      <c r="C55" s="277"/>
    </row>
    <row r="56" spans="1:7">
      <c r="B56" s="279" t="s">
        <v>1418</v>
      </c>
      <c r="C56" s="281" t="e">
        <f ca="1">1-C57</f>
        <v>#DIV/0!</v>
      </c>
    </row>
    <row r="57" spans="1:7">
      <c r="B57" s="279" t="s">
        <v>1419</v>
      </c>
      <c r="C57" s="280"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2088</v>
      </c>
      <c r="B1" s="1624"/>
      <c r="C1" s="2015" t="s">
        <v>2190</v>
      </c>
      <c r="D1" s="204"/>
      <c r="E1" s="204"/>
      <c r="F1" s="204"/>
      <c r="G1" s="1260">
        <f>MATCH(B1,'数据-取费表'!A6:A16,0)+5</f>
        <v>6</v>
      </c>
      <c r="H1" s="1192" t="str">
        <f>IF(ISERROR(FIND("住宅",B1)),"非住宅","住宅")</f>
        <v>非住宅</v>
      </c>
    </row>
    <row r="2" spans="1:8" s="206" customFormat="1" ht="18" customHeight="1">
      <c r="A2" s="207" t="s">
        <v>2089</v>
      </c>
      <c r="B2" s="208" t="e">
        <f ca="1">ROUND(IF(D2="——",C52/10000,C52/10000-E2),0)</f>
        <v>#DIV/0!</v>
      </c>
      <c r="C2" s="205" t="s">
        <v>2090</v>
      </c>
      <c r="D2" s="2009" t="s">
        <v>70</v>
      </c>
      <c r="E2" s="1303" t="e">
        <f ca="1">SUMIF(INDIRECT("'"&amp;G2&amp;"'"&amp;"!A:A"),"承租人权益价值",INDIRECT("'"&amp;G2&amp;"'"&amp;"!c:c"))</f>
        <v>#REF!</v>
      </c>
      <c r="F2" s="2010" t="s">
        <v>2090</v>
      </c>
      <c r="G2" s="2011"/>
    </row>
    <row r="3" spans="1:8" s="206" customFormat="1" ht="18" customHeight="1" thickBot="1">
      <c r="A3" s="209" t="s">
        <v>2091</v>
      </c>
      <c r="B3" s="210" t="e">
        <f ca="1">ROUND(B2*10000/(IF(B1="",'数据-汇总表'!E3,INDIRECT("'数据-取费表'!k"&amp;$G$1))),0)</f>
        <v>#DIV/0!</v>
      </c>
      <c r="C3" s="205" t="s">
        <v>2092</v>
      </c>
      <c r="D3" s="205"/>
      <c r="E3" s="205"/>
      <c r="F3" s="205"/>
      <c r="G3" s="205"/>
    </row>
    <row r="4" spans="1:8" s="214" customFormat="1" ht="15.75">
      <c r="A4" s="211" t="s">
        <v>2093</v>
      </c>
      <c r="B4" s="212"/>
      <c r="C4" s="212"/>
      <c r="D4" s="212"/>
      <c r="E4" s="212"/>
      <c r="F4" s="212"/>
      <c r="G4" s="213"/>
    </row>
    <row r="5" spans="1:8" s="220" customFormat="1" ht="13.5" customHeight="1">
      <c r="A5" s="261" t="s">
        <v>2094</v>
      </c>
      <c r="B5" s="216" t="s">
        <v>2095</v>
      </c>
      <c r="C5" s="217">
        <f ca="1">C6+C7+C8</f>
        <v>0</v>
      </c>
      <c r="D5" s="217" t="s">
        <v>2096</v>
      </c>
      <c r="E5" s="218" t="s">
        <v>2097</v>
      </c>
      <c r="F5" s="218" t="s">
        <v>2098</v>
      </c>
      <c r="G5" s="219"/>
    </row>
    <row r="6" spans="1:8" s="220" customFormat="1" ht="13.5" customHeight="1">
      <c r="A6" s="886" t="s">
        <v>2099</v>
      </c>
      <c r="B6" s="221" t="s">
        <v>2100</v>
      </c>
      <c r="C6" s="222"/>
      <c r="D6" s="223"/>
      <c r="E6" s="224"/>
      <c r="F6" s="224"/>
      <c r="G6" s="225"/>
    </row>
    <row r="7" spans="1:8" s="220" customFormat="1" ht="13.5" customHeight="1">
      <c r="A7" s="886" t="s">
        <v>2101</v>
      </c>
      <c r="B7" s="221" t="s">
        <v>2102</v>
      </c>
      <c r="C7" s="226">
        <f>ROUND(C6*F7,0)</f>
        <v>0</v>
      </c>
      <c r="D7" s="226"/>
      <c r="E7" s="224"/>
      <c r="F7" s="227">
        <f>IF(项目基本情况!B8="出让",0,'数据-取费表'!B48+'数据-取费表'!B49)</f>
        <v>0</v>
      </c>
      <c r="G7" s="225"/>
    </row>
    <row r="8" spans="1:8" s="229" customFormat="1">
      <c r="A8" s="886" t="s">
        <v>2103</v>
      </c>
      <c r="B8" s="221" t="s">
        <v>2104</v>
      </c>
      <c r="C8" s="226">
        <f ca="1">IF(G8="已包含在土地购买价格中",0,C9+C10)</f>
        <v>0</v>
      </c>
      <c r="D8" s="228"/>
      <c r="E8" s="226"/>
      <c r="F8" s="227"/>
      <c r="G8" s="2012"/>
    </row>
    <row r="9" spans="1:8" s="220" customFormat="1" ht="13.5" customHeight="1">
      <c r="A9" s="887" t="s">
        <v>800</v>
      </c>
      <c r="B9" s="230" t="s">
        <v>2105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2107</v>
      </c>
      <c r="C10" s="231">
        <f ca="1">ROUND(D10*E10,0)</f>
        <v>0</v>
      </c>
      <c r="D10" s="954">
        <f ca="1">IF(B1="",'数据-汇总表'!E6,IF(INDIRECT("'数据-取费表'!c"&amp;$G$1)="住宅",INDIRECT("'数据-取费表'!s"&amp;$G$1),INDIRECT("'数据-取费表'!k"&amp;$G$1)+INDIRECT("'数据-取费表'!s"&amp;$G$1)))</f>
        <v>0</v>
      </c>
      <c r="E10" s="231">
        <f>'数据-取费表'!B28</f>
        <v>0</v>
      </c>
      <c r="F10" s="227"/>
      <c r="G10" s="232"/>
    </row>
    <row r="11" spans="1:8" s="220" customFormat="1" ht="13.5" hidden="1" customHeight="1">
      <c r="A11" s="233" t="s">
        <v>7</v>
      </c>
      <c r="B11" s="221" t="s">
        <v>2108</v>
      </c>
      <c r="C11" s="217"/>
      <c r="D11" s="956"/>
      <c r="E11" s="224"/>
      <c r="F11" s="224"/>
      <c r="G11" s="225"/>
    </row>
    <row r="12" spans="1:8" s="220" customFormat="1" ht="13.5" hidden="1" customHeight="1">
      <c r="A12" s="233" t="s">
        <v>8</v>
      </c>
      <c r="B12" s="221" t="s">
        <v>2191</v>
      </c>
      <c r="C12" s="217">
        <v>0</v>
      </c>
      <c r="D12" s="956"/>
      <c r="E12" s="234"/>
      <c r="F12" s="227">
        <v>3.0499999999999999E-2</v>
      </c>
      <c r="G12" s="225"/>
    </row>
    <row r="13" spans="1:8" s="220" customFormat="1" ht="13.5" hidden="1" customHeight="1">
      <c r="A13" s="233" t="s">
        <v>9</v>
      </c>
      <c r="B13" s="221" t="s">
        <v>2192</v>
      </c>
      <c r="C13" s="217"/>
      <c r="D13" s="956"/>
      <c r="E13" s="224"/>
      <c r="F13" s="224"/>
      <c r="G13" s="225"/>
    </row>
    <row r="14" spans="1:8" s="220" customFormat="1" ht="13.5" hidden="1" customHeight="1">
      <c r="A14" s="233" t="s">
        <v>10</v>
      </c>
      <c r="B14" s="221" t="s">
        <v>2104</v>
      </c>
      <c r="C14" s="217"/>
      <c r="D14" s="956"/>
      <c r="E14" s="224"/>
      <c r="F14" s="224"/>
      <c r="G14" s="225" t="s">
        <v>2193</v>
      </c>
    </row>
    <row r="15" spans="1:8" s="220" customFormat="1" ht="13.5" hidden="1" customHeight="1">
      <c r="A15" s="233" t="s">
        <v>11</v>
      </c>
      <c r="B15" s="221" t="s">
        <v>2194</v>
      </c>
      <c r="C15" s="226"/>
      <c r="D15" s="956"/>
      <c r="E15" s="224"/>
      <c r="F15" s="224"/>
      <c r="G15" s="225" t="s">
        <v>2195</v>
      </c>
    </row>
    <row r="16" spans="1:8" s="220" customFormat="1" ht="13.5" hidden="1" customHeight="1">
      <c r="A16" s="233" t="s">
        <v>12</v>
      </c>
      <c r="B16" s="221" t="s">
        <v>2104</v>
      </c>
      <c r="C16" s="226"/>
      <c r="D16" s="956"/>
      <c r="E16" s="224"/>
      <c r="F16" s="224"/>
      <c r="G16" s="225"/>
    </row>
    <row r="17" spans="1:7" s="220" customFormat="1" ht="13.5" hidden="1" customHeight="1">
      <c r="A17" s="233" t="s">
        <v>13</v>
      </c>
      <c r="B17" s="221" t="s">
        <v>2196</v>
      </c>
      <c r="C17" s="235"/>
      <c r="D17" s="957"/>
      <c r="E17" s="235"/>
      <c r="F17" s="235"/>
      <c r="G17" s="225" t="s">
        <v>2195</v>
      </c>
    </row>
    <row r="18" spans="1:7" s="220" customFormat="1" ht="13.5" hidden="1" customHeight="1">
      <c r="A18" s="233" t="s">
        <v>14</v>
      </c>
      <c r="B18" s="221" t="s">
        <v>2197</v>
      </c>
      <c r="C18" s="226">
        <v>0</v>
      </c>
      <c r="D18" s="956"/>
      <c r="E18" s="224"/>
      <c r="F18" s="227">
        <v>3.0499999999999999E-2</v>
      </c>
      <c r="G18" s="225" t="s">
        <v>2198</v>
      </c>
    </row>
    <row r="19" spans="1:7" s="229" customFormat="1" ht="13.5" customHeight="1">
      <c r="A19" s="261" t="s">
        <v>2199</v>
      </c>
      <c r="B19" s="216" t="s">
        <v>2200</v>
      </c>
      <c r="C19" s="217">
        <f ca="1">IF(G19="已包含在土地取得成本中","0",ROUND(D19*E19,0))</f>
        <v>0</v>
      </c>
      <c r="D19" s="958">
        <f ca="1">D9+D10</f>
        <v>0</v>
      </c>
      <c r="E19" s="217">
        <f>'数据-取费表'!B31</f>
        <v>0</v>
      </c>
      <c r="F19" s="237"/>
      <c r="G19" s="2012"/>
    </row>
    <row r="20" spans="1:7" s="220" customFormat="1" ht="13.5" customHeight="1">
      <c r="A20" s="261" t="s">
        <v>2201</v>
      </c>
      <c r="B20" s="216" t="s">
        <v>2202</v>
      </c>
      <c r="C20" s="238">
        <f ca="1">ROUND((C5+C19)*F20,0)</f>
        <v>0</v>
      </c>
      <c r="D20" s="238"/>
      <c r="E20" s="238"/>
      <c r="F20" s="239">
        <f>'数据-取费表'!B37</f>
        <v>0</v>
      </c>
      <c r="G20" s="240" t="s">
        <v>2203</v>
      </c>
    </row>
    <row r="21" spans="1:7" s="220" customFormat="1" ht="13.5" customHeight="1">
      <c r="A21" s="261" t="s">
        <v>2204</v>
      </c>
      <c r="B21" s="216" t="s">
        <v>2205</v>
      </c>
      <c r="C21" s="241">
        <f>F21</f>
        <v>0</v>
      </c>
      <c r="D21" s="242" t="s">
        <v>2206</v>
      </c>
      <c r="E21" s="238"/>
      <c r="F21" s="239">
        <f>'数据-取费表'!B38</f>
        <v>0</v>
      </c>
      <c r="G21" s="240" t="s">
        <v>2207</v>
      </c>
    </row>
    <row r="22" spans="1:7" s="220" customFormat="1" ht="13.5" customHeight="1">
      <c r="A22" s="261" t="s">
        <v>2208</v>
      </c>
      <c r="B22" s="216" t="s">
        <v>2209</v>
      </c>
      <c r="C22" s="1261">
        <f ca="1">ROUND(SUM(C23:C25),0)</f>
        <v>0</v>
      </c>
      <c r="D22" s="241">
        <f ca="1">C26</f>
        <v>0</v>
      </c>
      <c r="E22" s="242" t="s">
        <v>2206</v>
      </c>
      <c r="F22" s="243">
        <f ca="1">'数据-取费表'!B40</f>
        <v>0</v>
      </c>
      <c r="G22" s="240" t="str">
        <f>IF('数据-取费表'!B22&lt;=1,"单利计息","复利计息")</f>
        <v>单利计息</v>
      </c>
    </row>
    <row r="23" spans="1:7" s="220" customFormat="1" ht="13.5" customHeight="1">
      <c r="A23" s="888" t="s">
        <v>2099</v>
      </c>
      <c r="B23" s="221" t="s">
        <v>2210</v>
      </c>
      <c r="C23" s="1262">
        <f ca="1">ROUND(IF('数据-取费表'!B22&lt;=1,C5*F22*'数据-取费表'!B22,C5*(POWER((1+F22),'数据-取费表'!B22)-1)),0)</f>
        <v>0</v>
      </c>
      <c r="D23" s="244"/>
      <c r="E23" s="244"/>
      <c r="F23" s="245"/>
      <c r="G23" s="246" t="s">
        <v>2211</v>
      </c>
    </row>
    <row r="24" spans="1:7" s="220" customFormat="1" ht="13.5" customHeight="1">
      <c r="A24" s="888" t="s">
        <v>2101</v>
      </c>
      <c r="B24" s="221" t="s">
        <v>2212</v>
      </c>
      <c r="C24" s="1262">
        <f ca="1">ROUND(IF('数据-取费表'!B22&lt;=1,C19*F22*('数据-取费表'!B19/2+'数据-取费表'!B20),C19*(POWER((1+F22),('数据-取费表'!B19/2+'数据-取费表'!B20))-1)),0)</f>
        <v>0</v>
      </c>
      <c r="D24" s="244"/>
      <c r="E24" s="244"/>
      <c r="F24" s="245"/>
      <c r="G24" s="246" t="s">
        <v>2213</v>
      </c>
    </row>
    <row r="25" spans="1:7" s="220" customFormat="1" ht="24">
      <c r="A25" s="888" t="s">
        <v>2103</v>
      </c>
      <c r="B25" s="221" t="s">
        <v>2214</v>
      </c>
      <c r="C25" s="1262">
        <f ca="1">ROUND(IF('数据-取费表'!B22&lt;=1,C20*F22*'数据-取费表'!B22/2,C20*(POWER((1+F22),'数据-取费表'!B22/2)-1)),0)</f>
        <v>0</v>
      </c>
      <c r="D25" s="244"/>
      <c r="E25" s="247"/>
      <c r="F25" s="245"/>
      <c r="G25" s="248" t="s">
        <v>2215</v>
      </c>
    </row>
    <row r="26" spans="1:7" s="220" customFormat="1">
      <c r="A26" s="888" t="s">
        <v>795</v>
      </c>
      <c r="B26" s="221" t="s">
        <v>2138</v>
      </c>
      <c r="C26" s="244">
        <f ca="1">ROUND(IF('数据-取费表'!B22&lt;=1,F21*F22*'数据-取费表'!B22/2,F21*(POWER((1+F22),'数据-取费表'!B22/2)-1)),4)</f>
        <v>0</v>
      </c>
      <c r="D26" s="244"/>
      <c r="E26" s="247"/>
      <c r="F26" s="245"/>
      <c r="G26" s="249"/>
    </row>
    <row r="27" spans="1:7" s="220" customFormat="1" ht="24.75">
      <c r="A27" s="261" t="s">
        <v>2139</v>
      </c>
      <c r="B27" s="250" t="s">
        <v>2140</v>
      </c>
      <c r="C27" s="251" t="e">
        <f ca="1">C28</f>
        <v>#DIV/0!</v>
      </c>
      <c r="D27" s="241" t="e">
        <f ca="1">C29</f>
        <v>#DIV/0!</v>
      </c>
      <c r="E27" s="242" t="s">
        <v>2141</v>
      </c>
      <c r="F27" s="252" t="e">
        <f ca="1">IF(B1="",'数据-取费表'!Q16,INDIRECT("'数据-取费表'!q"&amp;$G$1))</f>
        <v>#DIV/0!</v>
      </c>
      <c r="G27" s="253" t="s">
        <v>2142</v>
      </c>
    </row>
    <row r="28" spans="1:7" s="220" customFormat="1" ht="13.5" customHeight="1">
      <c r="A28" s="888" t="s">
        <v>791</v>
      </c>
      <c r="B28" s="254" t="s">
        <v>2143</v>
      </c>
      <c r="C28" s="255" t="e">
        <f ca="1">ROUND((C5+C19+C20)*F27,0)</f>
        <v>#DIV/0!</v>
      </c>
      <c r="D28" s="241"/>
      <c r="E28" s="242"/>
      <c r="F28" s="252"/>
      <c r="G28" s="253"/>
    </row>
    <row r="29" spans="1:7" s="220" customFormat="1" ht="13.5" customHeight="1">
      <c r="A29" s="888" t="s">
        <v>792</v>
      </c>
      <c r="B29" s="254" t="s">
        <v>2144</v>
      </c>
      <c r="C29" s="244" t="e">
        <f ca="1">ROUND(C21*F27,4)</f>
        <v>#DIV/0!</v>
      </c>
      <c r="D29" s="241"/>
      <c r="E29" s="242"/>
      <c r="F29" s="252"/>
      <c r="G29" s="253"/>
    </row>
    <row r="30" spans="1:7" s="220" customFormat="1" ht="13.5" customHeight="1">
      <c r="A30" s="261" t="s">
        <v>2145</v>
      </c>
      <c r="B30" s="216" t="s">
        <v>2146</v>
      </c>
      <c r="C30" s="241">
        <f>ROUND(F30/(1+'数据-取费表'!C42),4)</f>
        <v>0</v>
      </c>
      <c r="D30" s="242" t="s">
        <v>2141</v>
      </c>
      <c r="E30" s="247"/>
      <c r="F30" s="243">
        <f>'数据-取费表'!B41</f>
        <v>0</v>
      </c>
      <c r="G30" s="240" t="s">
        <v>2147</v>
      </c>
    </row>
    <row r="31" spans="1:7" ht="16.5" customHeight="1">
      <c r="A31" s="215">
        <v>1</v>
      </c>
      <c r="B31" s="216" t="s">
        <v>2148</v>
      </c>
      <c r="C31" s="217" t="e">
        <f ca="1">ROUND((C5+C19+C20+C22+C27)/(1-C21-D22-D27-C30),0)</f>
        <v>#DIV/0!</v>
      </c>
      <c r="D31" s="236"/>
      <c r="E31" s="217"/>
      <c r="F31" s="256"/>
      <c r="G31" s="240" t="s">
        <v>2149</v>
      </c>
    </row>
    <row r="32" spans="1:7" s="214" customFormat="1" ht="15.75">
      <c r="A32" s="258" t="s">
        <v>2216</v>
      </c>
      <c r="B32" s="259"/>
      <c r="C32" s="259"/>
      <c r="D32" s="259"/>
      <c r="E32" s="259"/>
      <c r="F32" s="259"/>
      <c r="G32" s="260"/>
    </row>
    <row r="33" spans="1:7" s="220" customFormat="1" ht="13.5" customHeight="1">
      <c r="A33" s="261" t="s">
        <v>782</v>
      </c>
      <c r="B33" s="216" t="s">
        <v>2217</v>
      </c>
      <c r="C33" s="262">
        <f ca="1">SUM(C34:C38)</f>
        <v>0</v>
      </c>
      <c r="D33" s="238"/>
      <c r="E33" s="218"/>
      <c r="F33" s="247"/>
      <c r="G33" s="240"/>
    </row>
    <row r="34" spans="1:7" s="264" customFormat="1" ht="13.5" customHeight="1">
      <c r="A34" s="888" t="s">
        <v>791</v>
      </c>
      <c r="B34" s="221" t="s">
        <v>2152</v>
      </c>
      <c r="C34" s="226">
        <f ca="1">ROUND(IF(B1="",SUMPRODUCT('数据-取费表'!K6:K14,'数据-取费表'!L6:L14),INDIRECT("'数据-取费表'!l"&amp;$G$1)*INDIRECT("'数据-取费表'!k"&amp;$G$1)+'数据-取费表'!L14*INDIRECT("'数据-取费表'!S"&amp;$G$1)),0)</f>
        <v>0</v>
      </c>
      <c r="D34" s="223"/>
      <c r="E34" s="226"/>
      <c r="F34" s="263"/>
      <c r="G34" s="225"/>
    </row>
    <row r="35" spans="1:7" ht="13.5" customHeight="1">
      <c r="A35" s="888" t="s">
        <v>796</v>
      </c>
      <c r="B35" s="221" t="s">
        <v>2154</v>
      </c>
      <c r="C35" s="226">
        <f ca="1">ROUND(C34*F35,0)</f>
        <v>0</v>
      </c>
      <c r="D35" s="226"/>
      <c r="E35" s="226"/>
      <c r="F35" s="265">
        <f>'数据-取费表'!B33</f>
        <v>0</v>
      </c>
      <c r="G35" s="225" t="s">
        <v>2155</v>
      </c>
    </row>
    <row r="36" spans="1:7" ht="24">
      <c r="A36" s="888" t="s">
        <v>797</v>
      </c>
      <c r="B36" s="221" t="s">
        <v>2156</v>
      </c>
      <c r="C36" s="226">
        <f ca="1">ROUND(IF(B1="",SUM('数据-取费表'!AP6:AP13)*F36,IF(INDIRECT("'数据-取费表'!c"&amp;$G$1)="住宅",INDIRECT("'数据-取费表'!k"&amp;$G$1)*INDIRECT("'数据-取费表'!l"&amp;$G$1)*F36,0)),0)</f>
        <v>0</v>
      </c>
      <c r="D36" s="226"/>
      <c r="E36" s="226"/>
      <c r="F36" s="265">
        <f>'数据-取费表'!B34</f>
        <v>0</v>
      </c>
      <c r="G36" s="266" t="s">
        <v>2157</v>
      </c>
    </row>
    <row r="37" spans="1:7" s="264" customFormat="1" ht="13.5" customHeight="1">
      <c r="A37" s="888" t="s">
        <v>798</v>
      </c>
      <c r="B37" s="221" t="s">
        <v>2158</v>
      </c>
      <c r="C37" s="255">
        <f ca="1">ROUND(E37*D37,0)</f>
        <v>0</v>
      </c>
      <c r="D37" s="223">
        <f ca="1">D19</f>
        <v>0</v>
      </c>
      <c r="E37" s="255">
        <f>'数据-取费表'!B35</f>
        <v>0</v>
      </c>
      <c r="F37" s="265"/>
      <c r="G37" s="267"/>
    </row>
    <row r="38" spans="1:7" ht="13.5" customHeight="1">
      <c r="A38" s="888" t="s">
        <v>799</v>
      </c>
      <c r="B38" s="221" t="s">
        <v>2160</v>
      </c>
      <c r="C38" s="226">
        <f ca="1">ROUND(C34*F38,0)</f>
        <v>0</v>
      </c>
      <c r="D38" s="226"/>
      <c r="E38" s="226"/>
      <c r="F38" s="265">
        <f>'数据-取费表'!B36</f>
        <v>0</v>
      </c>
      <c r="G38" s="225" t="s">
        <v>2155</v>
      </c>
    </row>
    <row r="39" spans="1:7" s="220" customFormat="1" ht="13.5" customHeight="1">
      <c r="A39" s="261" t="s">
        <v>2161</v>
      </c>
      <c r="B39" s="216" t="s">
        <v>2162</v>
      </c>
      <c r="C39" s="238">
        <f ca="1">ROUND(C33*F20,0)</f>
        <v>0</v>
      </c>
      <c r="D39" s="238"/>
      <c r="E39" s="238"/>
      <c r="F39" s="2505">
        <f>F20</f>
        <v>0</v>
      </c>
      <c r="G39" s="240" t="s">
        <v>2163</v>
      </c>
    </row>
    <row r="40" spans="1:7" s="220" customFormat="1" ht="13.5" customHeight="1">
      <c r="A40" s="261" t="s">
        <v>2164</v>
      </c>
      <c r="B40" s="216" t="s">
        <v>2165</v>
      </c>
      <c r="C40" s="1467">
        <f>F21</f>
        <v>0</v>
      </c>
      <c r="D40" s="242" t="s">
        <v>2166</v>
      </c>
      <c r="E40" s="238"/>
      <c r="F40" s="2505">
        <f>F21</f>
        <v>0</v>
      </c>
      <c r="G40" s="240" t="s">
        <v>2167</v>
      </c>
    </row>
    <row r="41" spans="1:7" s="220" customFormat="1" ht="13.5" customHeight="1">
      <c r="A41" s="261" t="s">
        <v>2168</v>
      </c>
      <c r="B41" s="216" t="s">
        <v>2169</v>
      </c>
      <c r="C41" s="238">
        <f ca="1">ROUND(SUM(C42:C43),0)</f>
        <v>0</v>
      </c>
      <c r="D41" s="241">
        <f ca="1">C44</f>
        <v>0</v>
      </c>
      <c r="E41" s="242" t="s">
        <v>2166</v>
      </c>
      <c r="F41" s="2506">
        <f ca="1">F22</f>
        <v>0</v>
      </c>
      <c r="G41" s="240" t="str">
        <f>IF('数据-取费表'!B22&lt;=1,"单利计息","复利计息")</f>
        <v>单利计息</v>
      </c>
    </row>
    <row r="42" spans="1:7" ht="13.5" customHeight="1">
      <c r="A42" s="888" t="s">
        <v>791</v>
      </c>
      <c r="B42" s="221" t="s">
        <v>2170</v>
      </c>
      <c r="C42" s="244">
        <f ca="1">ROUND(IF('数据-取费表'!B22&lt;=1,C33*F22*'数据-取费表'!B20/2,C33*(POWER((1+F22),'数据-取费表'!B20/2)-1)),0)</f>
        <v>0</v>
      </c>
      <c r="D42" s="244"/>
      <c r="E42" s="244"/>
      <c r="F42" s="245"/>
      <c r="G42" s="3452" t="s">
        <v>2218</v>
      </c>
    </row>
    <row r="43" spans="1:7" ht="13.5" customHeight="1">
      <c r="A43" s="888" t="s">
        <v>792</v>
      </c>
      <c r="B43" s="221" t="s">
        <v>2172</v>
      </c>
      <c r="C43" s="244">
        <f ca="1">ROUND(IF('数据-取费表'!B22&lt;=1,C39*F22*'数据-取费表'!B20/2,C39*(POWER((1+F22),'数据-取费表'!B20/2)-1)),0)</f>
        <v>0</v>
      </c>
      <c r="D43" s="244"/>
      <c r="E43" s="244"/>
      <c r="F43" s="245"/>
      <c r="G43" s="3453"/>
    </row>
    <row r="44" spans="1:7" ht="13.5" customHeight="1">
      <c r="A44" s="888" t="s">
        <v>793</v>
      </c>
      <c r="B44" s="221" t="s">
        <v>2173</v>
      </c>
      <c r="C44" s="244">
        <f ca="1">ROUND(IF('数据-取费表'!B22&lt;=1,C40*F22*'数据-取费表'!B20/2,C40*(POWER((1+F22),'数据-取费表'!B20/2)-1)),4)</f>
        <v>0</v>
      </c>
      <c r="D44" s="244"/>
      <c r="E44" s="244"/>
      <c r="F44" s="245"/>
      <c r="G44" s="3454"/>
    </row>
    <row r="45" spans="1:7" s="220" customFormat="1" ht="13.5" customHeight="1">
      <c r="A45" s="261" t="s">
        <v>2174</v>
      </c>
      <c r="B45" s="250" t="s">
        <v>2140</v>
      </c>
      <c r="C45" s="251" t="e">
        <f ca="1">C46</f>
        <v>#DIV/0!</v>
      </c>
      <c r="D45" s="241" t="e">
        <f ca="1">C47</f>
        <v>#DIV/0!</v>
      </c>
      <c r="E45" s="242" t="s">
        <v>2166</v>
      </c>
      <c r="F45" s="2507" t="e">
        <f ca="1">F27</f>
        <v>#DIV/0!</v>
      </c>
      <c r="G45" s="253" t="s">
        <v>2175</v>
      </c>
    </row>
    <row r="46" spans="1:7" s="220" customFormat="1" ht="13.5" customHeight="1">
      <c r="A46" s="888" t="s">
        <v>791</v>
      </c>
      <c r="B46" s="254" t="s">
        <v>2176</v>
      </c>
      <c r="C46" s="255" t="e">
        <f ca="1">ROUND((C33+C39)*F27,0)</f>
        <v>#DIV/0!</v>
      </c>
      <c r="D46" s="269"/>
      <c r="E46" s="242"/>
      <c r="F46" s="252"/>
      <c r="G46" s="253"/>
    </row>
    <row r="47" spans="1:7" s="220" customFormat="1" ht="13.5" customHeight="1">
      <c r="A47" s="888" t="s">
        <v>792</v>
      </c>
      <c r="B47" s="254" t="s">
        <v>2177</v>
      </c>
      <c r="C47" s="244" t="e">
        <f ca="1">ROUND(C40*F27,4)</f>
        <v>#DIV/0!</v>
      </c>
      <c r="D47" s="269"/>
      <c r="E47" s="242"/>
      <c r="F47" s="252"/>
      <c r="G47" s="253"/>
    </row>
    <row r="48" spans="1:7" s="220" customFormat="1" ht="13.5" customHeight="1">
      <c r="A48" s="261" t="s">
        <v>2139</v>
      </c>
      <c r="B48" s="216" t="s">
        <v>2178</v>
      </c>
      <c r="C48" s="268">
        <f>ROUND(F30/(1+'数据-取费表'!C42),4)</f>
        <v>0</v>
      </c>
      <c r="D48" s="242" t="s">
        <v>2166</v>
      </c>
      <c r="E48" s="238"/>
      <c r="F48" s="2506">
        <f>F30</f>
        <v>0</v>
      </c>
      <c r="G48" s="240" t="s">
        <v>2179</v>
      </c>
    </row>
    <row r="49" spans="1:7" ht="16.5" customHeight="1">
      <c r="A49" s="261" t="s">
        <v>2145</v>
      </c>
      <c r="B49" s="216" t="s">
        <v>2219</v>
      </c>
      <c r="C49" s="238" t="e">
        <f ca="1">ROUND((C33+C39+C41+C45)/(1-C40-D41-D45-C48),0)</f>
        <v>#DIV/0!</v>
      </c>
      <c r="D49" s="238"/>
      <c r="E49" s="238"/>
      <c r="F49" s="270"/>
      <c r="G49" s="240" t="s">
        <v>2181</v>
      </c>
    </row>
    <row r="50" spans="1:7" s="264" customFormat="1">
      <c r="A50" s="261" t="s">
        <v>2182</v>
      </c>
      <c r="B50" s="216" t="s">
        <v>2183</v>
      </c>
      <c r="C50" s="238"/>
      <c r="D50" s="238"/>
      <c r="E50" s="238"/>
      <c r="F50" s="270" t="e">
        <f>IF('数据-取费表'!B24=0,'数据-取费表'!N16,1)</f>
        <v>#DIV/0!</v>
      </c>
      <c r="G50" s="253"/>
    </row>
    <row r="51" spans="1:7" ht="16.5" customHeight="1">
      <c r="A51" s="261" t="s">
        <v>2185</v>
      </c>
      <c r="B51" s="216" t="s">
        <v>2220</v>
      </c>
      <c r="C51" s="238" t="e">
        <f ca="1">ROUND(C49*F50,0)</f>
        <v>#DIV/0!</v>
      </c>
      <c r="D51" s="238"/>
      <c r="E51" s="238"/>
      <c r="F51" s="270"/>
      <c r="G51" s="240" t="s">
        <v>2187</v>
      </c>
    </row>
    <row r="52" spans="1:7" s="214" customFormat="1" ht="16.5" thickBot="1">
      <c r="A52" s="271" t="s">
        <v>2188</v>
      </c>
      <c r="B52" s="272"/>
      <c r="C52" s="273" t="e">
        <f ca="1">C31+C51</f>
        <v>#DIV/0!</v>
      </c>
      <c r="D52" s="272"/>
      <c r="E52" s="272"/>
      <c r="F52" s="272"/>
      <c r="G52" s="274"/>
    </row>
    <row r="55" spans="1:7" ht="15">
      <c r="B55" s="276" t="s">
        <v>2189</v>
      </c>
      <c r="C55" s="277"/>
    </row>
    <row r="56" spans="1:7">
      <c r="B56" s="279" t="s">
        <v>1418</v>
      </c>
      <c r="C56" s="281" t="e">
        <f ca="1">1-C57</f>
        <v>#DIV/0!</v>
      </c>
    </row>
    <row r="57" spans="1:7">
      <c r="B57" s="279" t="s">
        <v>1419</v>
      </c>
      <c r="C57" s="280" t="e">
        <f ca="1">ROUND(C51/C52,3)</f>
        <v>#DIV/0!</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2221</v>
      </c>
      <c r="B1" s="1325"/>
      <c r="C1" s="1326"/>
      <c r="D1" s="1324"/>
      <c r="E1" s="3007"/>
      <c r="F1" s="3007"/>
      <c r="G1" s="2870"/>
      <c r="H1" s="3007"/>
      <c r="I1" s="3007"/>
      <c r="J1" s="3007"/>
      <c r="K1" s="3008">
        <f>MATCH(C1,'数据-取费表'!A6:A16,0)+5</f>
        <v>6</v>
      </c>
    </row>
    <row r="2" spans="1:33" ht="18" customHeight="1">
      <c r="A2" s="207" t="s">
        <v>2089</v>
      </c>
      <c r="B2" s="210" t="e">
        <f ca="1">C32</f>
        <v>#DIV/0!</v>
      </c>
      <c r="C2" s="282" t="s">
        <v>2222</v>
      </c>
      <c r="D2" s="282"/>
      <c r="E2" s="3007"/>
      <c r="F2" s="3007"/>
      <c r="G2" s="3007"/>
      <c r="H2" s="3007"/>
      <c r="I2" s="3007"/>
      <c r="J2" s="3007"/>
      <c r="K2" s="3007"/>
    </row>
    <row r="3" spans="1:33" ht="18" customHeight="1" thickBot="1">
      <c r="A3" s="209" t="s">
        <v>2091</v>
      </c>
      <c r="B3" s="210" t="e">
        <f ca="1">ROUND(B2*10000/IF(C1="",'数据-汇总表'!E3,INDIRECT("'数据-取费表'!K"&amp;$K$1)),0)</f>
        <v>#DIV/0!</v>
      </c>
      <c r="C3" s="282" t="s">
        <v>2223</v>
      </c>
      <c r="D3" s="282"/>
      <c r="E3" s="3007"/>
      <c r="F3" s="3007"/>
      <c r="G3" s="3007"/>
      <c r="H3" s="3007"/>
      <c r="I3" s="3007"/>
      <c r="J3" s="3007"/>
      <c r="K3" s="3007"/>
    </row>
    <row r="4" spans="1:33" s="893" customFormat="1" ht="16.5" customHeight="1">
      <c r="A4" s="890" t="s">
        <v>2224</v>
      </c>
      <c r="B4" s="891"/>
      <c r="C4" s="933">
        <f>SUM(C8:K8)</f>
        <v>0</v>
      </c>
      <c r="D4" s="891"/>
      <c r="E4" s="891"/>
      <c r="F4" s="891"/>
      <c r="G4" s="891"/>
      <c r="H4" s="891"/>
      <c r="I4" s="891"/>
      <c r="J4" s="891"/>
      <c r="K4" s="892"/>
    </row>
    <row r="5" spans="1:33" s="897" customFormat="1" ht="24.75">
      <c r="A5" s="894" t="s">
        <v>2225</v>
      </c>
      <c r="B5" s="895" t="s">
        <v>2226</v>
      </c>
      <c r="C5" s="2016" t="s">
        <v>2227</v>
      </c>
      <c r="D5" s="2016" t="s">
        <v>2228</v>
      </c>
      <c r="E5" s="2016" t="s">
        <v>2229</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2230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2231</v>
      </c>
      <c r="B7" s="136" t="s">
        <v>2232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2233</v>
      </c>
      <c r="B8" s="169" t="s">
        <v>2234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2235</v>
      </c>
      <c r="B9" s="891"/>
      <c r="C9" s="891"/>
      <c r="D9" s="891"/>
      <c r="E9" s="891"/>
      <c r="F9" s="891"/>
      <c r="G9" s="891"/>
      <c r="H9" s="891"/>
      <c r="I9" s="891"/>
      <c r="J9" s="891"/>
      <c r="K9" s="892"/>
    </row>
    <row r="10" spans="1:33" s="907" customFormat="1" ht="13.5" customHeight="1">
      <c r="A10" s="894" t="s">
        <v>2236</v>
      </c>
      <c r="B10" s="8" t="s">
        <v>2237</v>
      </c>
      <c r="C10" s="903" t="s">
        <v>2238</v>
      </c>
      <c r="D10" s="904" t="s">
        <v>2239</v>
      </c>
      <c r="E10" s="904" t="s">
        <v>2240</v>
      </c>
      <c r="F10" s="904" t="s">
        <v>2241</v>
      </c>
      <c r="G10" s="8"/>
      <c r="H10" s="905"/>
      <c r="I10" s="905"/>
      <c r="J10" s="905"/>
      <c r="K10" s="906"/>
    </row>
    <row r="11" spans="1:33" s="912" customFormat="1" ht="13.5" customHeight="1">
      <c r="A11" s="908" t="s">
        <v>1241</v>
      </c>
      <c r="B11" s="909" t="s">
        <v>2242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2243</v>
      </c>
      <c r="C12" s="24">
        <f ca="1">ROUND(C11*F12,0)</f>
        <v>0</v>
      </c>
      <c r="D12" s="910"/>
      <c r="E12" s="335"/>
      <c r="F12" s="913">
        <f>'数据-取费表'!B33</f>
        <v>0</v>
      </c>
      <c r="G12" s="8" t="s">
        <v>2244</v>
      </c>
      <c r="H12" s="905"/>
      <c r="I12" s="905"/>
      <c r="J12" s="905"/>
      <c r="K12" s="906"/>
    </row>
    <row r="13" spans="1:33" s="912" customFormat="1" ht="13.5" customHeight="1">
      <c r="A13" s="908" t="s">
        <v>1243</v>
      </c>
      <c r="B13" s="909" t="s">
        <v>2245</v>
      </c>
      <c r="C13" s="24">
        <f ca="1">ROUND(IF(C1="",SUMIF('数据-取费表'!C:C,"住宅",'数据-取费表'!P:P)*F13,IF(INDIRECT("'数据-取费表'!c"&amp;$K$1)="住宅",INDIRECT("'数据-取费表'!P"&amp;$K$1)*F13,0)),0)</f>
        <v>0</v>
      </c>
      <c r="D13" s="955"/>
      <c r="E13" s="335"/>
      <c r="F13" s="913">
        <f>'数据-取费表'!B34</f>
        <v>0</v>
      </c>
      <c r="G13" s="8" t="s">
        <v>2246</v>
      </c>
      <c r="H13" s="905"/>
      <c r="I13" s="905"/>
      <c r="J13" s="905"/>
      <c r="K13" s="906"/>
    </row>
    <row r="14" spans="1:33" s="914" customFormat="1" ht="13.5" customHeight="1">
      <c r="A14" s="908" t="s">
        <v>1244</v>
      </c>
      <c r="B14" s="909" t="s">
        <v>2247</v>
      </c>
      <c r="C14" s="24">
        <f ca="1">ROUND(D14*E14*F11/10000,0)</f>
        <v>0</v>
      </c>
      <c r="D14" s="955">
        <f ca="1">IF(C1="",'数据-汇总表'!E3,INDIRECT("'数据-取费表'!K"&amp;$K$1)+INDIRECT("'数据-取费表'!S"&amp;$K$1))</f>
        <v>0</v>
      </c>
      <c r="E14" s="24">
        <f>'数据-取费表'!B35</f>
        <v>0</v>
      </c>
      <c r="F14" s="913"/>
      <c r="G14" s="8" t="s">
        <v>2248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2249</v>
      </c>
      <c r="C15" s="920">
        <f ca="1">ROUND(C11*F15,0)</f>
        <v>0</v>
      </c>
      <c r="D15" s="915"/>
      <c r="E15" s="920"/>
      <c r="F15" s="921">
        <f>'数据-取费表'!B36</f>
        <v>0</v>
      </c>
      <c r="G15" s="136" t="s">
        <v>2250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2251</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2252</v>
      </c>
      <c r="C17" s="24">
        <f ca="1">ROUND(D17*E17/10000,0)</f>
        <v>0</v>
      </c>
      <c r="D17" s="955">
        <f ca="1">D14</f>
        <v>0</v>
      </c>
      <c r="E17" s="24">
        <f>'数据-取费表'!B32</f>
        <v>0</v>
      </c>
      <c r="F17" s="915"/>
      <c r="G17" s="136" t="s">
        <v>2253</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2254</v>
      </c>
      <c r="C18" s="24">
        <f ca="1">C19+C20-IF(C1="",'数据-取费表'!B29,IF(G18="已全部缴纳",C19+C20,H18))</f>
        <v>0</v>
      </c>
      <c r="D18" s="955"/>
      <c r="E18" s="24"/>
      <c r="F18" s="913"/>
      <c r="G18" s="2018"/>
      <c r="H18" s="1321"/>
      <c r="I18" s="2019" t="s">
        <v>2255</v>
      </c>
      <c r="J18" s="916"/>
      <c r="K18" s="917"/>
    </row>
    <row r="19" spans="1:33" s="912" customFormat="1" ht="13.5" customHeight="1">
      <c r="A19" s="908" t="s">
        <v>805</v>
      </c>
      <c r="B19" s="909" t="s">
        <v>2256</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2257</v>
      </c>
      <c r="C20" s="24">
        <f ca="1">ROUND(D20*E20/10000,0)</f>
        <v>0</v>
      </c>
      <c r="D20" s="955">
        <f ca="1">IF(C1="",'数据-汇总表'!E6,IF(INDIRECT("'数据-取费表'!c"&amp;$K$1)="住宅",INDIRECT("'数据-取费表'!s"&amp;$K$1),INDIRECT("'数据-取费表'!k"&amp;$K$1)+INDIRECT("'数据-取费表'!s"&amp;$K$1)))</f>
        <v>0</v>
      </c>
      <c r="E20" s="24">
        <f>'数据-取费表'!B28</f>
        <v>0</v>
      </c>
      <c r="F20" s="913"/>
      <c r="G20" s="15"/>
      <c r="H20" s="918"/>
      <c r="I20" s="918"/>
      <c r="J20" s="918"/>
      <c r="K20" s="919"/>
    </row>
    <row r="21" spans="1:33" s="912" customFormat="1" ht="13.5" customHeight="1">
      <c r="A21" s="898" t="s">
        <v>802</v>
      </c>
      <c r="B21" s="922" t="s">
        <v>2258</v>
      </c>
      <c r="C21" s="923">
        <f ca="1">C16+C17+C18</f>
        <v>0</v>
      </c>
      <c r="D21" s="924"/>
      <c r="E21" s="287"/>
      <c r="F21" s="287"/>
      <c r="G21" s="136" t="s">
        <v>2259</v>
      </c>
      <c r="H21" s="916"/>
      <c r="I21" s="916"/>
      <c r="J21" s="916"/>
      <c r="K21" s="917"/>
    </row>
    <row r="22" spans="1:33" s="912" customFormat="1" ht="13.5" customHeight="1">
      <c r="A22" s="898" t="s">
        <v>2231</v>
      </c>
      <c r="B22" s="922" t="s">
        <v>2260</v>
      </c>
      <c r="C22" s="923">
        <f ca="1">ROUND(C21*F22,0)</f>
        <v>0</v>
      </c>
      <c r="D22" s="287"/>
      <c r="E22" s="287"/>
      <c r="F22" s="925">
        <f>'数据-取费表'!B37</f>
        <v>0</v>
      </c>
      <c r="G22" s="8" t="s">
        <v>2261</v>
      </c>
      <c r="H22" s="905"/>
      <c r="I22" s="905"/>
      <c r="J22" s="905"/>
      <c r="K22" s="906"/>
    </row>
    <row r="23" spans="1:33" s="912" customFormat="1" ht="13.5" customHeight="1">
      <c r="A23" s="898" t="s">
        <v>2233</v>
      </c>
      <c r="B23" s="922" t="s">
        <v>2262</v>
      </c>
      <c r="C23" s="923">
        <f ca="1">ROUND(C4*F23*F11,0)</f>
        <v>0</v>
      </c>
      <c r="D23" s="287"/>
      <c r="E23" s="287"/>
      <c r="F23" s="925">
        <f>'数据-取费表'!B38</f>
        <v>0</v>
      </c>
      <c r="G23" s="8" t="s">
        <v>2263</v>
      </c>
      <c r="H23" s="905"/>
      <c r="I23" s="905"/>
      <c r="J23" s="905"/>
      <c r="K23" s="906"/>
    </row>
    <row r="24" spans="1:33" s="912" customFormat="1" ht="13.5" customHeight="1">
      <c r="A24" s="898" t="s">
        <v>2264</v>
      </c>
      <c r="B24" s="922" t="s">
        <v>2265</v>
      </c>
      <c r="C24" s="286">
        <f>ROUND(F24/(1+'数据-取费表'!C42),4)</f>
        <v>0</v>
      </c>
      <c r="D24" s="287" t="s">
        <v>15</v>
      </c>
      <c r="E24" s="287"/>
      <c r="F24" s="925">
        <f>IF(项目基本情况!B8="出让",0,'数据-取费表'!B48+'数据-取费表'!B49)</f>
        <v>0</v>
      </c>
      <c r="G24" s="8" t="s">
        <v>2266</v>
      </c>
      <c r="H24" s="927"/>
      <c r="I24" s="927"/>
      <c r="J24" s="927"/>
      <c r="K24" s="928"/>
    </row>
    <row r="25" spans="1:33" s="912" customFormat="1" ht="13.5" customHeight="1">
      <c r="A25" s="898" t="s">
        <v>2267</v>
      </c>
      <c r="B25" s="924" t="s">
        <v>2268</v>
      </c>
      <c r="C25" s="1238">
        <f ca="1">C27</f>
        <v>0</v>
      </c>
      <c r="D25" s="286">
        <f ca="1">C26</f>
        <v>0</v>
      </c>
      <c r="E25" s="288" t="s">
        <v>15</v>
      </c>
      <c r="F25" s="289">
        <f ca="1">'数据-取费表'!B40</f>
        <v>0</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2269</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2270</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2271</v>
      </c>
      <c r="B28" s="2021" t="s">
        <v>2272</v>
      </c>
      <c r="C28" s="293" t="e">
        <f ca="1">C30</f>
        <v>#DIV/0!</v>
      </c>
      <c r="D28" s="286" t="e">
        <f ca="1">C29</f>
        <v>#DIV/0!</v>
      </c>
      <c r="E28" s="288" t="s">
        <v>15</v>
      </c>
      <c r="F28" s="294" t="e">
        <f ca="1">IF(C1="",'数据-取费表'!Q16,INDIRECT("'数据-取费表'!q"&amp;$K$1))</f>
        <v>#DIV/0!</v>
      </c>
      <c r="G28" s="926"/>
      <c r="H28" s="927"/>
      <c r="I28" s="927"/>
      <c r="J28" s="927"/>
      <c r="K28" s="928"/>
    </row>
    <row r="29" spans="1:33" s="297" customFormat="1" ht="13.5" customHeight="1">
      <c r="A29" s="908" t="s">
        <v>803</v>
      </c>
      <c r="B29" s="931" t="s">
        <v>2273</v>
      </c>
      <c r="C29" s="290" t="e">
        <f ca="1">ROUND((1+C24)*F28*'数据-取费表'!B24/'数据-取费表'!B20,4)</f>
        <v>#DIV/0!</v>
      </c>
      <c r="D29" s="290"/>
      <c r="E29" s="291"/>
      <c r="F29" s="296"/>
      <c r="G29" s="136" t="s">
        <v>2274</v>
      </c>
      <c r="H29" s="916"/>
      <c r="I29" s="916"/>
      <c r="J29" s="916"/>
      <c r="K29" s="917"/>
    </row>
    <row r="30" spans="1:33" s="297" customFormat="1" ht="13.5" customHeight="1">
      <c r="A30" s="908" t="s">
        <v>804</v>
      </c>
      <c r="B30" s="931" t="s">
        <v>2275</v>
      </c>
      <c r="C30" s="298" t="e">
        <f ca="1">ROUND((C21+C22+C23)*F28,0)</f>
        <v>#DIV/0!</v>
      </c>
      <c r="D30" s="290"/>
      <c r="E30" s="291"/>
      <c r="F30" s="296"/>
      <c r="G30" s="136"/>
      <c r="H30" s="916"/>
      <c r="I30" s="916"/>
      <c r="J30" s="916"/>
      <c r="K30" s="917"/>
    </row>
    <row r="31" spans="1:33" s="912" customFormat="1" ht="13.5" customHeight="1" thickBot="1">
      <c r="A31" s="2022" t="s">
        <v>2276</v>
      </c>
      <c r="B31" s="942" t="s">
        <v>2277</v>
      </c>
      <c r="C31" s="943">
        <f>ROUND(C4*F31/(1+'数据-取费表'!C42),0)</f>
        <v>0</v>
      </c>
      <c r="D31" s="944"/>
      <c r="E31" s="945"/>
      <c r="F31" s="946">
        <f>'数据-取费表'!B41</f>
        <v>0</v>
      </c>
      <c r="G31" s="947" t="s">
        <v>2278</v>
      </c>
      <c r="H31" s="948"/>
      <c r="I31" s="948"/>
      <c r="J31" s="948"/>
      <c r="K31" s="949"/>
    </row>
    <row r="32" spans="1:33" s="907" customFormat="1" ht="13.5" customHeight="1" thickBot="1">
      <c r="A32" s="937" t="s">
        <v>2279</v>
      </c>
      <c r="B32" s="938"/>
      <c r="C32" s="939" t="e">
        <f ca="1">ROUND((C4-C21-C22-C23-C25-C28-C31)/(1+C24+D25+D28),0)</f>
        <v>#DIV/0!</v>
      </c>
      <c r="D32" s="938"/>
      <c r="E32" s="938"/>
      <c r="F32" s="938"/>
      <c r="G32" s="940" t="s">
        <v>2280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t="e">
        <f ca="1">C40+J29+L46</f>
        <v>#DIV/0!</v>
      </c>
      <c r="C2" s="1541" t="s">
        <v>1421</v>
      </c>
      <c r="D2" s="1541"/>
      <c r="E2" s="1542"/>
      <c r="F2" s="1543"/>
      <c r="G2" s="2905"/>
      <c r="H2" s="2894"/>
      <c r="I2" s="2894"/>
      <c r="J2" s="2894"/>
      <c r="K2" s="2895"/>
      <c r="L2" s="2894"/>
      <c r="M2" s="2894"/>
    </row>
    <row r="3" spans="1:37" ht="18" customHeight="1" thickBot="1">
      <c r="A3" s="1544" t="s">
        <v>1422</v>
      </c>
      <c r="B3" s="1545">
        <f ca="1">IF(ISERROR(B2*10000/F43),0,ROUND(B2*10000/F43,0))</f>
        <v>0</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0</v>
      </c>
      <c r="D5" s="1518" t="s">
        <v>1307</v>
      </c>
      <c r="E5" s="1203"/>
      <c r="F5" s="1204"/>
      <c r="G5" s="1538"/>
      <c r="H5" s="305">
        <v>1</v>
      </c>
      <c r="I5" s="306" t="s">
        <v>1306</v>
      </c>
      <c r="J5" s="1202">
        <f ca="1">J6+J10+J12</f>
        <v>0</v>
      </c>
      <c r="K5" s="1518" t="s">
        <v>1307</v>
      </c>
      <c r="L5" s="1203"/>
      <c r="M5" s="1204"/>
    </row>
    <row r="6" spans="1:37" ht="18" customHeight="1">
      <c r="A6" s="1201" t="s">
        <v>1003</v>
      </c>
      <c r="B6" s="3457" t="s">
        <v>1308</v>
      </c>
      <c r="C6" s="1206">
        <f ca="1">ROUND(F6*F8*F7*(1-F9)/10000,0)</f>
        <v>0</v>
      </c>
      <c r="D6" s="160" t="s">
        <v>2792</v>
      </c>
      <c r="E6" s="308" t="s">
        <v>1310</v>
      </c>
      <c r="F6" s="309">
        <f ca="1">INDIRECT("'数据-取费表'!u"&amp;$G$1)</f>
        <v>0</v>
      </c>
      <c r="G6" s="1538"/>
      <c r="H6" s="1201" t="s">
        <v>1003</v>
      </c>
      <c r="I6" s="3457" t="s">
        <v>1308</v>
      </c>
      <c r="J6" s="307">
        <f ca="1">ROUND(M6*M8*M7*(1-M9)/10000,0)</f>
        <v>0</v>
      </c>
      <c r="K6" s="160" t="s">
        <v>2791</v>
      </c>
      <c r="L6" s="308" t="s">
        <v>1310</v>
      </c>
      <c r="M6" s="309">
        <f ca="1">INDIRECT("'数据-取费表'!z"&amp;$G$1)</f>
        <v>0</v>
      </c>
    </row>
    <row r="7" spans="1:37" ht="18" customHeight="1">
      <c r="A7" s="1205"/>
      <c r="B7" s="3458"/>
      <c r="C7" s="1207"/>
      <c r="D7" s="313"/>
      <c r="E7" s="1208" t="s">
        <v>1311</v>
      </c>
      <c r="F7" s="309">
        <f ca="1">IF(INDIRECT("'数据-取费表'!ah"&amp;$G$1)="",INDIRECT("'数据-取费表'!k"&amp;$G$1),INDIRECT("'数据-取费表'!ah"&amp;$G$1))</f>
        <v>0</v>
      </c>
      <c r="G7" s="1538"/>
      <c r="H7" s="310"/>
      <c r="I7" s="3458"/>
      <c r="J7" s="312"/>
      <c r="K7" s="313"/>
      <c r="L7" s="308" t="s">
        <v>1311</v>
      </c>
      <c r="M7" s="309">
        <f ca="1">F7</f>
        <v>0</v>
      </c>
    </row>
    <row r="8" spans="1:37" ht="18" customHeight="1">
      <c r="A8" s="310"/>
      <c r="B8" s="3458"/>
      <c r="C8" s="312"/>
      <c r="D8" s="313"/>
      <c r="E8" s="308" t="s">
        <v>1312</v>
      </c>
      <c r="F8" s="309">
        <f ca="1">INDIRECT("'数据-取费表'!ai"&amp;$G$1)</f>
        <v>0</v>
      </c>
      <c r="G8" s="1538"/>
      <c r="H8" s="310"/>
      <c r="I8" s="3458"/>
      <c r="J8" s="312"/>
      <c r="K8" s="313"/>
      <c r="L8" s="308" t="s">
        <v>1312</v>
      </c>
      <c r="M8" s="309">
        <f ca="1">INDIRECT("'数据-取费表'!ai"&amp;$G$1)</f>
        <v>0</v>
      </c>
    </row>
    <row r="9" spans="1:37" ht="18" customHeight="1">
      <c r="A9" s="310"/>
      <c r="B9" s="3459"/>
      <c r="C9" s="312"/>
      <c r="D9" s="313"/>
      <c r="E9" s="308" t="s">
        <v>1313</v>
      </c>
      <c r="F9" s="318">
        <f ca="1">INDIRECT("'数据-取费表'!w"&amp;$G$1)</f>
        <v>0</v>
      </c>
      <c r="G9" s="1538"/>
      <c r="H9" s="310"/>
      <c r="I9" s="345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2800</v>
      </c>
      <c r="E10" s="319" t="s">
        <v>1315</v>
      </c>
      <c r="F10" s="1248"/>
      <c r="G10" s="1538"/>
      <c r="H10" s="1201" t="s">
        <v>1007</v>
      </c>
      <c r="I10" s="1519" t="s">
        <v>1314</v>
      </c>
      <c r="J10" s="307">
        <f ca="1">ROUND(IF(M10="押一",J6/12*M11,IF(M10="押二",J6/12*2*M11,IF(M10="押三",J6/12*3*M11,J11*M11))),0)</f>
        <v>0</v>
      </c>
      <c r="K10" s="1520" t="s">
        <v>2799</v>
      </c>
      <c r="L10" s="319" t="s">
        <v>1315</v>
      </c>
      <c r="M10" s="1248" t="s">
        <v>1316</v>
      </c>
    </row>
    <row r="11" spans="1:37" ht="18" customHeight="1">
      <c r="A11" s="314"/>
      <c r="B11" s="1521" t="s">
        <v>1293</v>
      </c>
      <c r="C11" s="1090"/>
      <c r="D11" s="1522"/>
      <c r="E11" s="319" t="s">
        <v>1317</v>
      </c>
      <c r="F11" s="320">
        <f ca="1">'数据-取费表'!B39</f>
        <v>0</v>
      </c>
      <c r="G11" s="1538"/>
      <c r="H11" s="1209"/>
      <c r="I11" s="1521" t="s">
        <v>1293</v>
      </c>
      <c r="J11" s="1090"/>
      <c r="K11" s="693"/>
      <c r="L11" s="319" t="s">
        <v>1317</v>
      </c>
      <c r="M11" s="971">
        <f ca="1">'数据-取费表'!B39</f>
        <v>0</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ROUND(F17*(F43+INDIRECT("'数据-取费表'!S"&amp;$G$1))/10000,0)</f>
        <v>0</v>
      </c>
      <c r="D17" s="308" t="s">
        <v>1332</v>
      </c>
      <c r="E17" s="308" t="s">
        <v>1333</v>
      </c>
      <c r="F17" s="26">
        <f>'数据-取费表'!B35</f>
        <v>0</v>
      </c>
      <c r="G17" s="1550"/>
      <c r="H17" s="1113" t="s">
        <v>1003</v>
      </c>
      <c r="I17" s="308" t="s">
        <v>1334</v>
      </c>
      <c r="J17" s="2504">
        <f ca="1">ROUND(IF(AND(项目基本情况!B11="自然人",项目基本情况!B10="北京市"),J6*M17/(1+'数据-取费表'!C42),J18+J19+J20),0)</f>
        <v>0</v>
      </c>
      <c r="K17" s="1499" t="s">
        <v>1335</v>
      </c>
      <c r="L17" s="1498" t="s">
        <v>1336</v>
      </c>
      <c r="M17" s="2503">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0</v>
      </c>
      <c r="G18" s="1550"/>
      <c r="H18" s="1113" t="s">
        <v>1002</v>
      </c>
      <c r="I18" s="308" t="s">
        <v>1338</v>
      </c>
      <c r="J18" s="24">
        <f ca="1">ROUND(J6*M18/(1+'数据-取费表'!C42),2)</f>
        <v>0</v>
      </c>
      <c r="K18" s="1498" t="s">
        <v>1339</v>
      </c>
      <c r="L18" s="308" t="s">
        <v>1327</v>
      </c>
      <c r="M18" s="328">
        <f>'数据-取费表'!B41</f>
        <v>0</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IF(K19="按租金收入计税",ROUND(J6*M19/(1+'数据-取费表'!C42),2),ROUND(C29*M19*0.7,2))</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v>
      </c>
      <c r="G20" s="1550"/>
      <c r="H20" s="1113" t="s">
        <v>1294</v>
      </c>
      <c r="I20" s="160" t="s">
        <v>1346</v>
      </c>
      <c r="J20" s="25">
        <f ca="1">ROUND(M20*M21/10000,2)</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0</v>
      </c>
      <c r="G23" s="1550"/>
      <c r="H23" s="1113" t="s">
        <v>1043</v>
      </c>
      <c r="I23" s="308" t="s">
        <v>1358</v>
      </c>
      <c r="J23" s="24">
        <f ca="1">ROUND(J13*M23,1)</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0</v>
      </c>
      <c r="D24" s="335" t="str">
        <f>IF(F23&lt;=1,"销售费用×利率×(建设周期÷2)","销售费用×((1+利率)^(建设周期÷2)-1)")</f>
        <v>销售费用×利率×(建设周期÷2)</v>
      </c>
      <c r="E24" s="308" t="s">
        <v>1363</v>
      </c>
      <c r="F24" s="337">
        <f ca="1">'数据-取费表'!B40</f>
        <v>0</v>
      </c>
      <c r="G24" s="1550"/>
      <c r="H24" s="1221" t="s">
        <v>1298</v>
      </c>
      <c r="I24" s="1222" t="s">
        <v>1344</v>
      </c>
      <c r="J24" s="1223">
        <f ca="1">ROUND(J5*M24,1)</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0</v>
      </c>
      <c r="D28" s="329" t="s">
        <v>1381</v>
      </c>
      <c r="E28" s="308" t="s">
        <v>1327</v>
      </c>
      <c r="F28" s="328">
        <f>'数据-取费表'!B41</f>
        <v>0</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f ca="1">IF(项目基本情况!B11="企业","——",IF('数据-取费表'!B10="住宅",IF(F6*F7*F8/12/(1+'数据-取费表'!F30)&gt;100000,4%,2.5%),IF(F6*F7*F8/12/(1+'数据-取费表'!F30)&gt;100000,12%,7%)))</f>
        <v>7.0000000000000007E-2</v>
      </c>
      <c r="G31" s="1538"/>
      <c r="H31" s="3009" t="s">
        <v>2999</v>
      </c>
      <c r="I31" s="1552"/>
      <c r="J31" s="1553"/>
      <c r="K31" s="2671"/>
      <c r="L31" s="2897"/>
      <c r="M31" s="2898"/>
    </row>
    <row r="32" spans="1:37" ht="18" customHeight="1">
      <c r="A32" s="1113" t="s">
        <v>1002</v>
      </c>
      <c r="B32" s="308" t="s">
        <v>1338</v>
      </c>
      <c r="C32" s="24">
        <f ca="1">IF(项目基本情况!B11="自然人","——",ROUND(C6*F32/(1+'数据-取费表'!C42),2))</f>
        <v>0</v>
      </c>
      <c r="D32" s="1498" t="s">
        <v>1339</v>
      </c>
      <c r="E32" s="308" t="s">
        <v>1327</v>
      </c>
      <c r="F32" s="337">
        <f>'数据-取费表'!B41</f>
        <v>0</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IF(项目基本情况!B11="自然人","——",ROUND(F34*F35/10000,2))</f>
        <v>0</v>
      </c>
      <c r="D34" s="330" t="s">
        <v>1347</v>
      </c>
      <c r="E34" s="308" t="s">
        <v>1348</v>
      </c>
      <c r="F34" s="331">
        <f>'数据-取费表'!B52</f>
        <v>0</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ROUND(C29*F36,1)</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ROUND(C13*F37,1)</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ROUND(C40*10000/F43,0)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t="e">
        <f ca="1">C68-C40</f>
        <v>#DIV/0!</v>
      </c>
      <c r="D46" s="1560" t="str">
        <f>C2</f>
        <v>万元</v>
      </c>
      <c r="E46" s="1554"/>
      <c r="F46" s="1554"/>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ROUND(F49*F51*F50*(1-F52)/10000,0)</f>
        <v>0</v>
      </c>
      <c r="D49" s="1186" t="s">
        <v>2793</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250"/>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24.75" thickBot="1">
      <c r="A53" s="1286" t="s">
        <v>1046</v>
      </c>
      <c r="B53" s="1527" t="s">
        <v>1314</v>
      </c>
      <c r="C53" s="322">
        <f ca="1">ROUND(IF(F53="押一",C49/12*F11,IF(F53="押二",C49/12*2*F11,IF(F53="押三",C49/12*3*F11,C54*F11))),0)</f>
        <v>0</v>
      </c>
      <c r="D53" s="1520" t="s">
        <v>2799</v>
      </c>
      <c r="E53" s="319" t="s">
        <v>1315</v>
      </c>
      <c r="F53" s="1248"/>
      <c r="I53" s="1593" t="s">
        <v>1452</v>
      </c>
      <c r="J53" s="2356">
        <f ca="1">IF(M47="住宅",IF(D1="——",MAX(J51,L48),MAX(J51,L48-'数据-取费表'!B24)),IF(D1="——",MIN(J51,L48),MIN(J51,L48-'数据-取费表'!B24)))</f>
        <v>0</v>
      </c>
      <c r="K53" s="3455" t="s">
        <v>1453</v>
      </c>
      <c r="L53" s="3456"/>
      <c r="O53" s="1572" t="s">
        <v>1014</v>
      </c>
      <c r="P53" s="1573" t="s">
        <v>1454</v>
      </c>
      <c r="Q53" s="1574" t="e">
        <f ca="1">Q47+Q48</f>
        <v>#DIV/0!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0</v>
      </c>
      <c r="D56" s="1601"/>
      <c r="E56" s="1602"/>
      <c r="F56" s="1594"/>
      <c r="I56" s="1603" t="s">
        <v>1459</v>
      </c>
      <c r="J56" s="1604"/>
      <c r="K56" s="1575" t="s">
        <v>1460</v>
      </c>
      <c r="L56" s="1578">
        <f ca="1">IF(L48&lt;J51,"——",L48-J53)</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1462</v>
      </c>
      <c r="L57" s="1578">
        <f ca="1">IF(L48&lt;J51,"——",IF(L55="比较法",L49,IF(L55="基准地价",L50,L51)))</f>
        <v>0</v>
      </c>
      <c r="O57" s="1572" t="s">
        <v>1009</v>
      </c>
      <c r="P57" s="1573" t="s">
        <v>1463</v>
      </c>
      <c r="Q57" s="1574" t="e">
        <f ca="1">L60</f>
        <v>#DIV/0!</v>
      </c>
      <c r="R57" s="1574" t="s">
        <v>1464</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f ca="1">IF(项目基本情况!B11="企业","——",IF('数据-取费表'!B10="住宅",IF(F49*F50*F51/12/(1+'数据-取费表'!F30)&gt;100000,4%,2.5%),IF(F49*F50*F51/12/(1+'数据-取费表'!F30)&gt;100000,12%,7%)))</f>
        <v>7.0000000000000007E-2</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0</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0</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ROUND(C48*F66,1)</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c r="O70" s="1582" t="s">
        <v>1017</v>
      </c>
      <c r="P70" s="1621" t="s">
        <v>1490</v>
      </c>
      <c r="Q70" s="1574">
        <f ca="1">C13</f>
        <v>0</v>
      </c>
      <c r="R70" s="1574" t="s">
        <v>1434</v>
      </c>
    </row>
    <row r="71" spans="1:18" s="1538" customFormat="1" ht="13.5" thickBot="1">
      <c r="A71" s="1102" t="s">
        <v>1001</v>
      </c>
      <c r="B71" s="1103" t="s">
        <v>1392</v>
      </c>
      <c r="C71" s="342" t="e">
        <f ca="1">ROUND(C68*10000/F71,0)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57" t="s">
        <v>1308</v>
      </c>
      <c r="C6" s="1206">
        <f ca="1">ROUND(F6*F8*F7*(1-F9),0)</f>
        <v>0</v>
      </c>
      <c r="D6" s="160" t="s">
        <v>2789</v>
      </c>
      <c r="E6" s="308" t="s">
        <v>1310</v>
      </c>
      <c r="F6" s="309">
        <f ca="1">INDIRECT("'数据-取费表'!u"&amp;$G$1)</f>
        <v>0</v>
      </c>
      <c r="G6" s="1538"/>
      <c r="H6" s="1201" t="s">
        <v>1003</v>
      </c>
      <c r="I6" s="3457" t="s">
        <v>1308</v>
      </c>
      <c r="J6" s="307">
        <f ca="1">ROUND(M6*M8*M7*(1-M9),0)</f>
        <v>0</v>
      </c>
      <c r="K6" s="1530" t="s">
        <v>2790</v>
      </c>
      <c r="L6" s="308" t="s">
        <v>1310</v>
      </c>
      <c r="M6" s="309">
        <f ca="1">INDIRECT("'数据-取费表'!z"&amp;$G$1)</f>
        <v>0</v>
      </c>
    </row>
    <row r="7" spans="1:37" ht="18" customHeight="1">
      <c r="A7" s="1205"/>
      <c r="B7" s="3458"/>
      <c r="C7" s="1207"/>
      <c r="D7" s="313"/>
      <c r="E7" s="1208" t="s">
        <v>1311</v>
      </c>
      <c r="F7" s="309">
        <f ca="1">IF(INDIRECT("'数据-取费表'!ah"&amp;$G$1)="",INDIRECT("'数据-取费表'!k"&amp;$G$1),INDIRECT("'数据-取费表'!ah"&amp;$G$1))</f>
        <v>0</v>
      </c>
      <c r="G7" s="1538"/>
      <c r="H7" s="310"/>
      <c r="I7" s="3458"/>
      <c r="J7" s="312"/>
      <c r="K7" s="313"/>
      <c r="L7" s="308" t="s">
        <v>1311</v>
      </c>
      <c r="M7" s="309">
        <f ca="1">F7</f>
        <v>0</v>
      </c>
    </row>
    <row r="8" spans="1:37" ht="18" customHeight="1">
      <c r="A8" s="310"/>
      <c r="B8" s="3458"/>
      <c r="C8" s="312"/>
      <c r="D8" s="313"/>
      <c r="E8" s="308" t="s">
        <v>1312</v>
      </c>
      <c r="F8" s="309">
        <f ca="1">INDIRECT("'数据-取费表'!ai"&amp;$G$1)</f>
        <v>0</v>
      </c>
      <c r="G8" s="1538"/>
      <c r="H8" s="310"/>
      <c r="I8" s="3458"/>
      <c r="J8" s="312"/>
      <c r="K8" s="313"/>
      <c r="L8" s="308" t="s">
        <v>1312</v>
      </c>
      <c r="M8" s="309">
        <f ca="1">INDIRECT("'数据-取费表'!ai"&amp;$G$1)</f>
        <v>0</v>
      </c>
    </row>
    <row r="9" spans="1:37" ht="18" customHeight="1">
      <c r="A9" s="310"/>
      <c r="B9" s="3459"/>
      <c r="C9" s="312"/>
      <c r="D9" s="313"/>
      <c r="E9" s="308" t="s">
        <v>1313</v>
      </c>
      <c r="F9" s="318">
        <f ca="1">INDIRECT("'数据-取费表'!w"&amp;$G$1)</f>
        <v>0</v>
      </c>
      <c r="G9" s="1538"/>
      <c r="H9" s="310"/>
      <c r="I9" s="345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2799</v>
      </c>
      <c r="E10" s="319" t="s">
        <v>1315</v>
      </c>
      <c r="F10" s="1248"/>
      <c r="G10" s="1538"/>
      <c r="H10" s="1201" t="s">
        <v>1007</v>
      </c>
      <c r="I10" s="1519" t="s">
        <v>1314</v>
      </c>
      <c r="J10" s="307">
        <f ca="1">ROUND(IF(M10="押一",J6/12*M11,IF(M10="押二",J6/12*2*M11,IF(M10="押三",J6/12*3*M11,J11*M11))),0)</f>
        <v>0</v>
      </c>
      <c r="K10" s="1531" t="s">
        <v>2801</v>
      </c>
      <c r="L10" s="319" t="s">
        <v>1315</v>
      </c>
      <c r="M10" s="1248"/>
    </row>
    <row r="11" spans="1:37" ht="18" customHeight="1">
      <c r="A11" s="314"/>
      <c r="B11" s="1521" t="s">
        <v>1507</v>
      </c>
      <c r="C11" s="1090"/>
      <c r="D11" s="313"/>
      <c r="E11" s="319" t="s">
        <v>1317</v>
      </c>
      <c r="F11" s="320">
        <f ca="1">'数据-取费表'!B39</f>
        <v>0</v>
      </c>
      <c r="G11" s="1538"/>
      <c r="H11" s="1209"/>
      <c r="I11" s="1521" t="s">
        <v>1508</v>
      </c>
      <c r="J11" s="1090"/>
      <c r="K11" s="693"/>
      <c r="L11" s="319" t="s">
        <v>1317</v>
      </c>
      <c r="M11" s="971">
        <f ca="1">'数据-取费表'!B39</f>
        <v>0</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0</v>
      </c>
      <c r="G17" s="1550"/>
      <c r="H17" s="1113" t="s">
        <v>1003</v>
      </c>
      <c r="I17" s="308" t="s">
        <v>1334</v>
      </c>
      <c r="J17" s="2504">
        <f ca="1">ROUND(IF(AND(项目基本情况!B11="自然人",项目基本情况!B10="北京市"),J6*M17/(1+'数据-取费表'!C42),J18+J19+J20),0)</f>
        <v>0</v>
      </c>
      <c r="K17" s="1499" t="s">
        <v>1335</v>
      </c>
      <c r="L17" s="1498" t="s">
        <v>1336</v>
      </c>
      <c r="M17" s="2503">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0</v>
      </c>
      <c r="G18" s="1550"/>
      <c r="H18" s="1113" t="s">
        <v>1002</v>
      </c>
      <c r="I18" s="308" t="s">
        <v>1338</v>
      </c>
      <c r="J18" s="24">
        <f ca="1">ROUND(J6*M18/(1+'数据-取费表'!C42),0)</f>
        <v>0</v>
      </c>
      <c r="K18" s="1498" t="s">
        <v>1339</v>
      </c>
      <c r="L18" s="308" t="s">
        <v>1327</v>
      </c>
      <c r="M18" s="328">
        <f>'数据-取费表'!B41</f>
        <v>0</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v>
      </c>
      <c r="G20" s="1550"/>
      <c r="H20" s="1113" t="s">
        <v>1294</v>
      </c>
      <c r="I20" s="160" t="s">
        <v>1346</v>
      </c>
      <c r="J20" s="25">
        <f ca="1">ROUND(M20*M21,0)</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0</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0</v>
      </c>
      <c r="D24" s="335" t="str">
        <f>IF(F23&lt;=1,"销售费用×利率×(建设周期÷2)","销售费用×((1+利率)^(建设周期÷2)-1)")</f>
        <v>销售费用×利率×(建设周期÷2)</v>
      </c>
      <c r="E24" s="308" t="s">
        <v>1363</v>
      </c>
      <c r="F24" s="337">
        <f ca="1">'数据-取费表'!B40</f>
        <v>0</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0</v>
      </c>
      <c r="D28" s="329" t="s">
        <v>1381</v>
      </c>
      <c r="E28" s="308" t="s">
        <v>1327</v>
      </c>
      <c r="F28" s="328">
        <f>'数据-取费表'!B41</f>
        <v>0</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f ca="1">IF(项目基本情况!B11="企业","——",IF('数据-取费表'!B10="住宅",IF(F6*F7*F8/12/(1+'数据-取费表'!F30)&gt;100000,4%,2.5%),IF(F6*F7*F8/12/(1+'数据-取费表'!F30)&gt;100000,12%,7%)))</f>
        <v>7.0000000000000007E-2</v>
      </c>
      <c r="G31" s="1538"/>
      <c r="H31" s="3009" t="s">
        <v>2999</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0</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0</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2802</v>
      </c>
      <c r="E53" s="319" t="s">
        <v>1315</v>
      </c>
      <c r="F53" s="1248"/>
      <c r="I53" s="1593" t="s">
        <v>1452</v>
      </c>
      <c r="J53" s="2356">
        <f ca="1">IF(M47="住宅",IF(D1="——",MAX(J51,L48),MAX(J51,L48-'数据-取费表'!B24)),IF(D1="——",MIN(J51,L48),MIN(J51,L48-'数据-取费表'!B24)))</f>
        <v>0</v>
      </c>
      <c r="K53" s="3455" t="s">
        <v>1453</v>
      </c>
      <c r="L53" s="3456"/>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f ca="1">IF(项目基本情况!B11="企业","——",IF('数据-取费表'!B10="住宅",IF(F49*F50*F51/12/(1+'数据-取费表'!F30)&gt;100000,4%,2.5%),IF(F49*F50*F51/12/(1+'数据-取费表'!F30)&gt;100000,12%,7%)))</f>
        <v>7.0000000000000007E-2</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0</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0</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3128</v>
      </c>
      <c r="B1" s="3033"/>
      <c r="C1" s="3045"/>
      <c r="D1" s="3045"/>
      <c r="E1" s="3034"/>
      <c r="F1" s="3035"/>
      <c r="G1" s="3036"/>
      <c r="J1" s="3039" t="s">
        <v>3007</v>
      </c>
      <c r="K1" s="3040"/>
      <c r="L1" s="3040"/>
      <c r="M1" s="3040"/>
      <c r="N1" s="3040"/>
      <c r="O1" s="3040"/>
      <c r="P1" s="3040"/>
      <c r="Q1" s="3040"/>
      <c r="R1" s="3041"/>
      <c r="S1" s="3042"/>
      <c r="T1" s="3042"/>
      <c r="U1" s="3042"/>
    </row>
    <row r="2" spans="1:22" s="3054" customFormat="1" ht="13.15" customHeight="1">
      <c r="A2" s="1539" t="s">
        <v>3008</v>
      </c>
      <c r="B2" s="3044" t="e">
        <f>C40</f>
        <v>#DIV/0!</v>
      </c>
      <c r="C2" s="3045" t="s">
        <v>3009</v>
      </c>
      <c r="D2" s="3045"/>
      <c r="E2" s="3046"/>
      <c r="F2" s="3047"/>
      <c r="G2" s="3048"/>
      <c r="H2" s="3049"/>
      <c r="I2" s="3050"/>
      <c r="J2" s="3460" t="s">
        <v>3010</v>
      </c>
      <c r="K2" s="3461"/>
      <c r="L2" s="3051" t="s">
        <v>3011</v>
      </c>
      <c r="M2" s="3051" t="s">
        <v>3012</v>
      </c>
      <c r="N2" s="3051" t="s">
        <v>3013</v>
      </c>
      <c r="O2" s="3051" t="s">
        <v>3014</v>
      </c>
      <c r="P2" s="3051" t="s">
        <v>3015</v>
      </c>
      <c r="Q2" s="3052" t="s">
        <v>3016</v>
      </c>
      <c r="R2" s="3053" t="s">
        <v>3017</v>
      </c>
      <c r="S2" s="3042"/>
      <c r="T2" s="3042"/>
      <c r="U2" s="3042"/>
      <c r="V2" s="3050"/>
    </row>
    <row r="3" spans="1:22" s="3054" customFormat="1" ht="13.15" customHeight="1">
      <c r="A3" s="3055" t="s">
        <v>3018</v>
      </c>
      <c r="B3" s="3056" t="e">
        <f>ROUND(B2*10000/B4,0)</f>
        <v>#DIV/0!</v>
      </c>
      <c r="C3" s="3045" t="s">
        <v>3019</v>
      </c>
      <c r="D3" s="3045"/>
      <c r="E3" s="3046"/>
      <c r="F3" s="3047"/>
      <c r="G3" s="3048"/>
      <c r="H3" s="3049"/>
      <c r="I3" s="3050"/>
      <c r="J3" s="3462" t="s">
        <v>3020</v>
      </c>
      <c r="K3" s="3463"/>
      <c r="L3" s="3057"/>
      <c r="M3" s="3057"/>
      <c r="N3" s="3057"/>
      <c r="O3" s="3057"/>
      <c r="P3" s="3057"/>
      <c r="Q3" s="3058"/>
      <c r="R3" s="3059">
        <f>SUM(L3:Q3)</f>
        <v>0</v>
      </c>
      <c r="S3" s="3042"/>
      <c r="T3" s="3042"/>
      <c r="U3" s="3042"/>
      <c r="V3" s="3050"/>
    </row>
    <row r="4" spans="1:22" s="3054" customFormat="1" ht="13.15" customHeight="1">
      <c r="A4" s="3060" t="s">
        <v>3021</v>
      </c>
      <c r="B4" s="3061"/>
      <c r="C4" s="3045"/>
      <c r="D4" s="3045"/>
      <c r="E4" s="3046"/>
      <c r="F4" s="3047"/>
      <c r="G4" s="3048"/>
      <c r="H4" s="3049"/>
      <c r="I4" s="3050"/>
      <c r="J4" s="3462" t="s">
        <v>3022</v>
      </c>
      <c r="K4" s="3463"/>
      <c r="L4" s="3062"/>
      <c r="M4" s="3062"/>
      <c r="N4" s="3062"/>
      <c r="O4" s="3062"/>
      <c r="P4" s="3062"/>
      <c r="Q4" s="3063"/>
      <c r="R4" s="3064">
        <f>SUM(L4:Q4)</f>
        <v>0</v>
      </c>
      <c r="S4" s="3042"/>
      <c r="T4" s="3042"/>
      <c r="U4" s="3042"/>
      <c r="V4" s="3050"/>
    </row>
    <row r="5" spans="1:22" s="3054" customFormat="1" ht="13.15" customHeight="1" thickBot="1">
      <c r="A5" s="3065" t="s">
        <v>3023</v>
      </c>
      <c r="B5" s="3066"/>
      <c r="C5" s="3045"/>
      <c r="D5" s="3067"/>
      <c r="E5" s="3047"/>
      <c r="F5" s="3047"/>
      <c r="G5" s="3048"/>
      <c r="H5" s="3049"/>
      <c r="I5" s="3050"/>
      <c r="J5" s="3068" t="s">
        <v>3024</v>
      </c>
      <c r="K5" s="3069"/>
      <c r="L5" s="3069"/>
      <c r="M5" s="3070"/>
      <c r="N5" s="3070"/>
      <c r="O5" s="3070"/>
      <c r="P5" s="3070"/>
      <c r="Q5" s="3070"/>
      <c r="R5" s="3053">
        <f>SUM(R14,R19,R24,R25,R27,R28)</f>
        <v>0</v>
      </c>
      <c r="S5" s="3042"/>
      <c r="T5" s="3042" t="s">
        <v>3025</v>
      </c>
      <c r="U5" s="3042" t="e">
        <f>ROUND(R5*10000/365/R3,1)</f>
        <v>#DIV/0!</v>
      </c>
      <c r="V5" s="3050"/>
    </row>
    <row r="6" spans="1:22" s="3054" customFormat="1" ht="13.15" customHeight="1" thickBot="1">
      <c r="A6" s="3464" t="s">
        <v>3026</v>
      </c>
      <c r="B6" s="3465"/>
      <c r="C6" s="3466"/>
      <c r="D6" s="3071"/>
      <c r="E6" s="3072"/>
      <c r="F6" s="3073"/>
      <c r="G6" s="3074"/>
      <c r="H6" s="3049"/>
      <c r="I6" s="3050"/>
      <c r="J6" s="3467">
        <v>1</v>
      </c>
      <c r="K6" s="3468" t="s">
        <v>3027</v>
      </c>
      <c r="L6" s="3075" t="s">
        <v>3028</v>
      </c>
      <c r="M6" s="3076" t="s">
        <v>3029</v>
      </c>
      <c r="N6" s="3076" t="s">
        <v>3030</v>
      </c>
      <c r="O6" s="3076" t="s">
        <v>3031</v>
      </c>
      <c r="P6" s="3076" t="s">
        <v>3032</v>
      </c>
      <c r="Q6" s="3076" t="s">
        <v>3033</v>
      </c>
      <c r="R6" s="3059" t="s">
        <v>3034</v>
      </c>
      <c r="S6" s="3042"/>
      <c r="T6" s="3042" t="s">
        <v>3035</v>
      </c>
      <c r="U6" s="3042"/>
      <c r="V6" s="3050"/>
    </row>
    <row r="7" spans="1:22" s="3054" customFormat="1" ht="13.15" customHeight="1">
      <c r="A7" s="3077" t="s">
        <v>3036</v>
      </c>
      <c r="B7" s="3078"/>
      <c r="C7" s="3079"/>
      <c r="D7" s="3080">
        <f>SUM(D9,D10,D11,D17,0)</f>
        <v>0</v>
      </c>
      <c r="E7" s="3081" t="e">
        <f>E9+E10+E11+E17</f>
        <v>#DIV/0!</v>
      </c>
      <c r="F7" s="3082"/>
      <c r="G7" s="3083"/>
      <c r="H7" s="3049"/>
      <c r="I7" s="3050"/>
      <c r="J7" s="3467"/>
      <c r="K7" s="3469"/>
      <c r="L7" s="3084" t="s">
        <v>3037</v>
      </c>
      <c r="M7" s="3085"/>
      <c r="N7" s="3061"/>
      <c r="O7" s="3086"/>
      <c r="P7" s="3086"/>
      <c r="Q7" s="3087">
        <v>365</v>
      </c>
      <c r="R7" s="3088">
        <f>ROUND(M7*N7*O7*P7*Q7/10000,0)</f>
        <v>0</v>
      </c>
      <c r="S7" s="3042"/>
      <c r="T7" s="3042" t="s">
        <v>3038</v>
      </c>
      <c r="U7" s="3042"/>
      <c r="V7" s="3050"/>
    </row>
    <row r="8" spans="1:22" s="3054" customFormat="1" ht="13.15" customHeight="1">
      <c r="A8" s="3089" t="s">
        <v>3039</v>
      </c>
      <c r="B8" s="3471" t="s">
        <v>3040</v>
      </c>
      <c r="C8" s="3472"/>
      <c r="D8" s="3090" t="s">
        <v>3041</v>
      </c>
      <c r="E8" s="3091" t="s">
        <v>3042</v>
      </c>
      <c r="F8" s="3092" t="s">
        <v>3043</v>
      </c>
      <c r="G8" s="3093"/>
      <c r="H8" s="3049"/>
      <c r="I8" s="3050"/>
      <c r="J8" s="3467"/>
      <c r="K8" s="3469"/>
      <c r="L8" s="3084" t="s">
        <v>3044</v>
      </c>
      <c r="M8" s="3085"/>
      <c r="N8" s="3061"/>
      <c r="O8" s="3086"/>
      <c r="P8" s="3086"/>
      <c r="Q8" s="3087">
        <v>365</v>
      </c>
      <c r="R8" s="3088">
        <f t="shared" ref="R8:R13" si="0">ROUND(M8*N8*O8*P8*Q8/10000,0)</f>
        <v>0</v>
      </c>
      <c r="S8" s="3042"/>
      <c r="T8" s="3042" t="s">
        <v>3045</v>
      </c>
      <c r="U8" s="3042"/>
      <c r="V8" s="3050"/>
    </row>
    <row r="9" spans="1:22" s="3054" customFormat="1" ht="13.15" customHeight="1">
      <c r="A9" s="3089">
        <v>1</v>
      </c>
      <c r="B9" s="3471" t="s">
        <v>3046</v>
      </c>
      <c r="C9" s="3472"/>
      <c r="D9" s="3090">
        <f>ROUND(D6*E9,0)</f>
        <v>0</v>
      </c>
      <c r="E9" s="3094"/>
      <c r="F9" s="3095" t="s">
        <v>3047</v>
      </c>
      <c r="G9" s="3074"/>
      <c r="H9" s="3049"/>
      <c r="I9" s="3050"/>
      <c r="J9" s="3467"/>
      <c r="K9" s="3469"/>
      <c r="L9" s="3084" t="s">
        <v>3048</v>
      </c>
      <c r="M9" s="3085"/>
      <c r="N9" s="3061"/>
      <c r="O9" s="3086"/>
      <c r="P9" s="3086"/>
      <c r="Q9" s="3087">
        <v>365</v>
      </c>
      <c r="R9" s="3088">
        <f t="shared" si="0"/>
        <v>0</v>
      </c>
      <c r="S9" s="3042"/>
      <c r="T9" s="3042"/>
      <c r="U9" s="3042"/>
      <c r="V9" s="3050"/>
    </row>
    <row r="10" spans="1:22" s="3054" customFormat="1" ht="13.15" customHeight="1">
      <c r="A10" s="3089">
        <v>2</v>
      </c>
      <c r="B10" s="3471" t="s">
        <v>3049</v>
      </c>
      <c r="C10" s="3472"/>
      <c r="D10" s="3090">
        <f>ROUND(D6*E10,0)</f>
        <v>0</v>
      </c>
      <c r="E10" s="3094"/>
      <c r="F10" s="3095" t="s">
        <v>3050</v>
      </c>
      <c r="G10" s="3074"/>
      <c r="H10" s="3049"/>
      <c r="I10" s="3050"/>
      <c r="J10" s="3467"/>
      <c r="K10" s="3469"/>
      <c r="L10" s="3084" t="s">
        <v>3051</v>
      </c>
      <c r="M10" s="3085"/>
      <c r="N10" s="3061"/>
      <c r="O10" s="3086"/>
      <c r="P10" s="3086"/>
      <c r="Q10" s="3087">
        <v>365</v>
      </c>
      <c r="R10" s="3088">
        <f t="shared" si="0"/>
        <v>0</v>
      </c>
      <c r="S10" s="3042"/>
      <c r="T10" s="3042"/>
      <c r="U10" s="3042"/>
      <c r="V10" s="3050"/>
    </row>
    <row r="11" spans="1:22" s="3054" customFormat="1" ht="13.15" customHeight="1">
      <c r="A11" s="3089">
        <v>3</v>
      </c>
      <c r="B11" s="3471" t="s">
        <v>3052</v>
      </c>
      <c r="C11" s="3472"/>
      <c r="D11" s="3090">
        <f>D12+D14+D15+D16</f>
        <v>0</v>
      </c>
      <c r="E11" s="3096" t="e">
        <f>D11/D6</f>
        <v>#DIV/0!</v>
      </c>
      <c r="F11" s="3092"/>
      <c r="G11" s="3093"/>
      <c r="H11" s="3049"/>
      <c r="I11" s="3050"/>
      <c r="J11" s="3467"/>
      <c r="K11" s="3469"/>
      <c r="L11" s="3084" t="s">
        <v>3053</v>
      </c>
      <c r="M11" s="3085"/>
      <c r="N11" s="3061"/>
      <c r="O11" s="3086"/>
      <c r="P11" s="3086"/>
      <c r="Q11" s="3087">
        <v>365</v>
      </c>
      <c r="R11" s="3088">
        <f t="shared" si="0"/>
        <v>0</v>
      </c>
      <c r="S11" s="3042"/>
      <c r="T11" s="3042"/>
      <c r="U11" s="3042"/>
      <c r="V11" s="3050"/>
    </row>
    <row r="12" spans="1:22" s="3054" customFormat="1" ht="13.15" customHeight="1">
      <c r="A12" s="3097" t="s">
        <v>3054</v>
      </c>
      <c r="B12" s="3473" t="s">
        <v>3055</v>
      </c>
      <c r="C12" s="3474"/>
      <c r="D12" s="3098">
        <f>ROUND(D13*1.2%*(1-30%),0)</f>
        <v>0</v>
      </c>
      <c r="E12" s="3099">
        <v>1.2E-2</v>
      </c>
      <c r="F12" s="3092" t="s">
        <v>3056</v>
      </c>
      <c r="G12" s="3093"/>
      <c r="H12" s="3049"/>
      <c r="I12" s="3050"/>
      <c r="J12" s="3467"/>
      <c r="K12" s="3469"/>
      <c r="L12" s="3084" t="s">
        <v>3057</v>
      </c>
      <c r="M12" s="3085"/>
      <c r="N12" s="3061"/>
      <c r="O12" s="3086"/>
      <c r="P12" s="3086"/>
      <c r="Q12" s="3087">
        <v>365</v>
      </c>
      <c r="R12" s="3088">
        <f t="shared" si="0"/>
        <v>0</v>
      </c>
      <c r="S12" s="3042"/>
      <c r="T12" s="3042"/>
      <c r="U12" s="3042"/>
      <c r="V12" s="3050"/>
    </row>
    <row r="13" spans="1:22" s="3054" customFormat="1" ht="13.15" customHeight="1">
      <c r="A13" s="3097"/>
      <c r="B13" s="3100"/>
      <c r="C13" s="3101" t="s">
        <v>3058</v>
      </c>
      <c r="D13" s="3102"/>
      <c r="E13" s="3103"/>
      <c r="F13" s="3092"/>
      <c r="G13" s="3093"/>
      <c r="H13" s="3049"/>
      <c r="I13" s="3050"/>
      <c r="J13" s="3467"/>
      <c r="K13" s="3469"/>
      <c r="L13" s="3084" t="s">
        <v>3059</v>
      </c>
      <c r="M13" s="3085"/>
      <c r="N13" s="3061"/>
      <c r="O13" s="3086"/>
      <c r="P13" s="3086"/>
      <c r="Q13" s="3087">
        <v>365</v>
      </c>
      <c r="R13" s="3088">
        <f t="shared" si="0"/>
        <v>0</v>
      </c>
      <c r="S13" s="3042"/>
      <c r="T13" s="3042"/>
      <c r="U13" s="3042"/>
      <c r="V13" s="3050"/>
    </row>
    <row r="14" spans="1:22" s="3054" customFormat="1" ht="13.15" customHeight="1">
      <c r="A14" s="3097" t="s">
        <v>3060</v>
      </c>
      <c r="B14" s="3473" t="s">
        <v>3061</v>
      </c>
      <c r="C14" s="3474"/>
      <c r="D14" s="3098">
        <f>ROUND(E14*B5/10000,0)</f>
        <v>0</v>
      </c>
      <c r="E14" s="3087"/>
      <c r="F14" s="3092" t="s">
        <v>3062</v>
      </c>
      <c r="G14" s="3093"/>
      <c r="H14" s="3049"/>
      <c r="I14" s="3050"/>
      <c r="J14" s="3467"/>
      <c r="K14" s="3470"/>
      <c r="L14" s="3104" t="s">
        <v>3063</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3064</v>
      </c>
      <c r="B15" s="3473" t="s">
        <v>3065</v>
      </c>
      <c r="C15" s="3474"/>
      <c r="D15" s="3098">
        <f>ROUND(D6*E15,0)</f>
        <v>0</v>
      </c>
      <c r="E15" s="3099">
        <v>5.5E-2</v>
      </c>
      <c r="F15" s="3092" t="s">
        <v>3066</v>
      </c>
      <c r="G15" s="3074"/>
      <c r="H15" s="3049"/>
      <c r="I15" s="3050"/>
      <c r="J15" s="3467">
        <v>2</v>
      </c>
      <c r="K15" s="3468" t="s">
        <v>3067</v>
      </c>
      <c r="L15" s="3084" t="s">
        <v>3068</v>
      </c>
      <c r="M15" s="3085" t="s">
        <v>3069</v>
      </c>
      <c r="N15" s="3085" t="s">
        <v>3070</v>
      </c>
      <c r="O15" s="3086" t="s">
        <v>3071</v>
      </c>
      <c r="P15" s="3086" t="s">
        <v>3033</v>
      </c>
      <c r="Q15" s="3061" t="s">
        <v>3072</v>
      </c>
      <c r="R15" s="3108" t="s">
        <v>3034</v>
      </c>
      <c r="S15" s="3042"/>
      <c r="T15" s="3042"/>
      <c r="U15" s="3042"/>
      <c r="V15" s="3050"/>
    </row>
    <row r="16" spans="1:22" s="3054" customFormat="1" ht="13.15" customHeight="1">
      <c r="A16" s="3097" t="s">
        <v>3073</v>
      </c>
      <c r="B16" s="3473" t="s">
        <v>3074</v>
      </c>
      <c r="C16" s="3474"/>
      <c r="D16" s="3109">
        <f>D6*E16</f>
        <v>0</v>
      </c>
      <c r="E16" s="3110"/>
      <c r="F16" s="3095" t="s">
        <v>3075</v>
      </c>
      <c r="G16" s="3074"/>
      <c r="H16" s="3049"/>
      <c r="I16" s="3050"/>
      <c r="J16" s="3467"/>
      <c r="K16" s="3469"/>
      <c r="L16" s="3084" t="s">
        <v>3076</v>
      </c>
      <c r="M16" s="3085"/>
      <c r="N16" s="3085"/>
      <c r="O16" s="3086"/>
      <c r="P16" s="3087">
        <v>365</v>
      </c>
      <c r="Q16" s="3061"/>
      <c r="R16" s="3108">
        <f>ROUND(M16*N16*O16*P16/10000,0)</f>
        <v>0</v>
      </c>
      <c r="S16" s="3042"/>
      <c r="T16" s="3042"/>
      <c r="U16" s="3042"/>
      <c r="V16" s="3050"/>
    </row>
    <row r="17" spans="1:22" s="3054" customFormat="1" ht="13.15" customHeight="1" thickBot="1">
      <c r="A17" s="3111">
        <v>4</v>
      </c>
      <c r="B17" s="3475" t="s">
        <v>3077</v>
      </c>
      <c r="C17" s="3476"/>
      <c r="D17" s="3112">
        <f>ROUND(D6*E17,0)</f>
        <v>0</v>
      </c>
      <c r="E17" s="3113"/>
      <c r="F17" s="3114" t="s">
        <v>3078</v>
      </c>
      <c r="G17" s="3074"/>
      <c r="H17" s="3049"/>
      <c r="I17" s="3050"/>
      <c r="J17" s="3467"/>
      <c r="K17" s="3469"/>
      <c r="L17" s="3084" t="s">
        <v>3079</v>
      </c>
      <c r="M17" s="3085"/>
      <c r="N17" s="3085"/>
      <c r="O17" s="3086"/>
      <c r="P17" s="3087">
        <v>365</v>
      </c>
      <c r="Q17" s="3061"/>
      <c r="R17" s="3108">
        <f>ROUND(M17*N17*O17*P17/10000,0)</f>
        <v>0</v>
      </c>
      <c r="S17" s="3042"/>
      <c r="T17" s="3042"/>
      <c r="U17" s="3042"/>
      <c r="V17" s="3050"/>
    </row>
    <row r="18" spans="1:22" s="3054" customFormat="1" ht="13.15" customHeight="1" thickBot="1">
      <c r="A18" s="3077" t="s">
        <v>3080</v>
      </c>
      <c r="B18" s="3078"/>
      <c r="C18" s="3078"/>
      <c r="D18" s="3115">
        <f>ROUND(D6*E18,0)</f>
        <v>0</v>
      </c>
      <c r="E18" s="3116"/>
      <c r="F18" s="3117" t="s">
        <v>3081</v>
      </c>
      <c r="G18" s="3074"/>
      <c r="H18" s="3049"/>
      <c r="I18" s="3050"/>
      <c r="J18" s="3467"/>
      <c r="K18" s="3469"/>
      <c r="L18" s="3084" t="s">
        <v>3082</v>
      </c>
      <c r="M18" s="3085"/>
      <c r="N18" s="3085"/>
      <c r="O18" s="3086"/>
      <c r="P18" s="3087">
        <v>365</v>
      </c>
      <c r="Q18" s="3061"/>
      <c r="R18" s="3108">
        <f>ROUND(M18*N18*O18*P18/10000,0)</f>
        <v>0</v>
      </c>
      <c r="S18" s="3042"/>
      <c r="T18" s="3042"/>
      <c r="U18" s="3042"/>
      <c r="V18" s="3050"/>
    </row>
    <row r="19" spans="1:22" s="3054" customFormat="1" ht="13.15" customHeight="1" thickBot="1">
      <c r="A19" s="3118" t="s">
        <v>3083</v>
      </c>
      <c r="B19" s="3072"/>
      <c r="C19" s="3072"/>
      <c r="D19" s="3072"/>
      <c r="E19" s="3072"/>
      <c r="F19" s="3073"/>
      <c r="G19" s="3093"/>
      <c r="H19" s="3049"/>
      <c r="I19" s="3050"/>
      <c r="J19" s="3467"/>
      <c r="K19" s="3470"/>
      <c r="L19" s="3104" t="s">
        <v>3063</v>
      </c>
      <c r="M19" s="3105"/>
      <c r="N19" s="3105">
        <f>SUM(N16:N18)</f>
        <v>0</v>
      </c>
      <c r="O19" s="3106"/>
      <c r="P19" s="3119" t="s">
        <v>3127</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67">
        <v>3</v>
      </c>
      <c r="K20" s="3468" t="s">
        <v>3084</v>
      </c>
      <c r="L20" s="3084" t="s">
        <v>3085</v>
      </c>
      <c r="M20" s="3085" t="s">
        <v>3086</v>
      </c>
      <c r="N20" s="3122" t="s">
        <v>3087</v>
      </c>
      <c r="O20" s="3086" t="s">
        <v>3088</v>
      </c>
      <c r="P20" s="3087" t="s">
        <v>3089</v>
      </c>
      <c r="Q20" s="3061" t="s">
        <v>3090</v>
      </c>
      <c r="R20" s="3108" t="s">
        <v>3091</v>
      </c>
      <c r="S20" s="3123"/>
      <c r="T20" s="3123"/>
      <c r="U20" s="3123"/>
      <c r="V20" s="3050"/>
    </row>
    <row r="21" spans="1:22" s="3054" customFormat="1" ht="13.15" customHeight="1">
      <c r="A21" s="3077"/>
      <c r="B21" s="3078"/>
      <c r="C21" s="3124" t="s">
        <v>3092</v>
      </c>
      <c r="D21" s="3125" t="s">
        <v>3093</v>
      </c>
      <c r="E21" s="3126" t="s">
        <v>3094</v>
      </c>
      <c r="F21" s="3121"/>
      <c r="G21" s="3093"/>
      <c r="H21" s="3049"/>
      <c r="I21" s="3050"/>
      <c r="J21" s="3467"/>
      <c r="K21" s="3469"/>
      <c r="L21" s="3084" t="s">
        <v>3095</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3096</v>
      </c>
      <c r="D22" s="3129" t="s">
        <v>3097</v>
      </c>
      <c r="E22" s="3130" t="s">
        <v>3098</v>
      </c>
      <c r="F22" s="3121"/>
      <c r="G22" s="3131"/>
      <c r="H22" s="3049"/>
      <c r="I22" s="3050"/>
      <c r="J22" s="3467"/>
      <c r="K22" s="3469"/>
      <c r="L22" s="3084" t="s">
        <v>3099</v>
      </c>
      <c r="M22" s="3085"/>
      <c r="N22" s="3085"/>
      <c r="O22" s="3086"/>
      <c r="P22" s="3087">
        <v>365</v>
      </c>
      <c r="Q22" s="3061"/>
      <c r="R22" s="3127">
        <f>ROUND(M22*N22*O22*P22/10000,0)</f>
        <v>0</v>
      </c>
      <c r="S22" s="3123"/>
      <c r="T22" s="3123"/>
      <c r="U22" s="3123"/>
      <c r="V22" s="3050"/>
    </row>
    <row r="23" spans="1:22" s="3054" customFormat="1" ht="13.15" customHeight="1">
      <c r="A23" s="3132">
        <v>1</v>
      </c>
      <c r="B23" s="3133" t="s">
        <v>3100</v>
      </c>
      <c r="C23" s="3134">
        <f>D6</f>
        <v>0</v>
      </c>
      <c r="D23" s="3135">
        <f>C23*(1+D24)</f>
        <v>0</v>
      </c>
      <c r="E23" s="3136">
        <f>D23*(1+E24)</f>
        <v>0</v>
      </c>
      <c r="F23" s="3137"/>
      <c r="G23" s="3138"/>
      <c r="H23" s="3049"/>
      <c r="I23" s="3050"/>
      <c r="J23" s="3467"/>
      <c r="K23" s="3469"/>
      <c r="L23" s="3084" t="s">
        <v>3101</v>
      </c>
      <c r="M23" s="3085"/>
      <c r="N23" s="3085"/>
      <c r="O23" s="3086"/>
      <c r="P23" s="3087">
        <v>365</v>
      </c>
      <c r="Q23" s="3061"/>
      <c r="R23" s="3127">
        <f>ROUND(M23*N23*O23*P23/10000,0)</f>
        <v>0</v>
      </c>
      <c r="S23" s="3042"/>
      <c r="T23" s="3042"/>
      <c r="U23" s="3042"/>
      <c r="V23" s="3050"/>
    </row>
    <row r="24" spans="1:22" s="3054" customFormat="1" ht="13.15" customHeight="1">
      <c r="A24" s="3139"/>
      <c r="B24" s="3140" t="s">
        <v>3102</v>
      </c>
      <c r="C24" s="3141"/>
      <c r="D24" s="3142"/>
      <c r="E24" s="3143"/>
      <c r="F24" s="3144"/>
      <c r="G24" s="3138"/>
      <c r="H24" s="3049"/>
      <c r="I24" s="3050"/>
      <c r="J24" s="3467"/>
      <c r="K24" s="3470"/>
      <c r="L24" s="3104" t="s">
        <v>3063</v>
      </c>
      <c r="M24" s="3105">
        <f>SUM(M21:M23)</f>
        <v>0</v>
      </c>
      <c r="N24" s="3105"/>
      <c r="O24" s="3106"/>
      <c r="P24" s="3119" t="s">
        <v>3127</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3103</v>
      </c>
      <c r="L25" s="3147"/>
      <c r="M25" s="3147"/>
      <c r="N25" s="3147"/>
      <c r="O25" s="3147"/>
      <c r="P25" s="3148"/>
      <c r="Q25" s="3149">
        <v>0</v>
      </c>
      <c r="R25" s="3120">
        <f>ROUND(R14*Q25,0)</f>
        <v>0</v>
      </c>
      <c r="S25" s="3042"/>
      <c r="T25" s="3042"/>
      <c r="U25" s="3042"/>
      <c r="V25" s="3150"/>
    </row>
    <row r="26" spans="1:22" s="3151" customFormat="1" ht="13.15" customHeight="1">
      <c r="A26" s="3132">
        <v>2</v>
      </c>
      <c r="B26" s="3133" t="s">
        <v>3104</v>
      </c>
      <c r="C26" s="3134">
        <f>D7</f>
        <v>0</v>
      </c>
      <c r="D26" s="3135">
        <f>D23*D27</f>
        <v>0</v>
      </c>
      <c r="E26" s="3136">
        <f>E23*E27</f>
        <v>0</v>
      </c>
      <c r="F26" s="3137"/>
      <c r="G26" s="3138"/>
      <c r="H26" s="3049"/>
      <c r="I26" s="3050"/>
      <c r="J26" s="3477">
        <v>5</v>
      </c>
      <c r="K26" s="3152" t="s">
        <v>3105</v>
      </c>
      <c r="L26" s="3153"/>
      <c r="M26" s="3154"/>
      <c r="N26" s="3155" t="s">
        <v>3106</v>
      </c>
      <c r="O26" s="3155" t="s">
        <v>3107</v>
      </c>
      <c r="P26" s="3156" t="s">
        <v>3108</v>
      </c>
      <c r="Q26" s="3156" t="s">
        <v>3109</v>
      </c>
      <c r="R26" s="3059" t="s">
        <v>3034</v>
      </c>
      <c r="S26" s="3157"/>
      <c r="T26" s="3157"/>
      <c r="U26" s="3157"/>
      <c r="V26" s="3150"/>
    </row>
    <row r="27" spans="1:22" s="3054" customFormat="1" ht="13.15" customHeight="1">
      <c r="A27" s="3139"/>
      <c r="B27" s="3140" t="s">
        <v>3110</v>
      </c>
      <c r="C27" s="3158" t="e">
        <f>E7</f>
        <v>#DIV/0!</v>
      </c>
      <c r="D27" s="3142"/>
      <c r="E27" s="3143"/>
      <c r="F27" s="3144"/>
      <c r="G27" s="3138"/>
      <c r="H27" s="3159"/>
      <c r="I27" s="3150"/>
      <c r="J27" s="3478"/>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3111</v>
      </c>
      <c r="F28" s="3144"/>
      <c r="G28" s="3131"/>
      <c r="H28" s="3159"/>
      <c r="I28" s="3150"/>
      <c r="J28" s="3165">
        <v>6</v>
      </c>
      <c r="K28" s="3166" t="s">
        <v>3112</v>
      </c>
      <c r="L28" s="3167" t="s">
        <v>3113</v>
      </c>
      <c r="M28" s="3168"/>
      <c r="N28" s="3167" t="s">
        <v>3114</v>
      </c>
      <c r="O28" s="3169"/>
      <c r="P28" s="3167" t="s">
        <v>3115</v>
      </c>
      <c r="Q28" s="3170">
        <v>1.4999999999999999E-2</v>
      </c>
      <c r="R28" s="3171"/>
      <c r="S28" s="3123"/>
      <c r="T28" s="3123"/>
      <c r="U28" s="3123"/>
      <c r="V28" s="3150"/>
    </row>
    <row r="29" spans="1:22" s="3151" customFormat="1" ht="13.15" customHeight="1">
      <c r="A29" s="3132">
        <v>3</v>
      </c>
      <c r="B29" s="3133" t="s">
        <v>3116</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3110</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3117</v>
      </c>
      <c r="K31" s="3040"/>
      <c r="L31" s="3040"/>
      <c r="M31" s="3040"/>
      <c r="N31" s="3040"/>
      <c r="O31" s="3040"/>
      <c r="P31" s="3040"/>
      <c r="Q31" s="3040"/>
      <c r="R31" s="3041"/>
      <c r="S31" s="3123"/>
      <c r="T31" s="3042"/>
      <c r="U31" s="3042"/>
      <c r="V31" s="3150"/>
    </row>
    <row r="32" spans="1:22" s="3151" customFormat="1" ht="13.15" customHeight="1">
      <c r="A32" s="3132">
        <v>4</v>
      </c>
      <c r="B32" s="3133" t="s">
        <v>3118</v>
      </c>
      <c r="C32" s="3134">
        <f>C23-C26-C29</f>
        <v>0</v>
      </c>
      <c r="D32" s="3135">
        <f>D23-D26-D29</f>
        <v>0</v>
      </c>
      <c r="E32" s="3136">
        <f>E23-E26-E29</f>
        <v>0</v>
      </c>
      <c r="F32" s="3137"/>
      <c r="G32" s="3131"/>
      <c r="H32" s="3049"/>
      <c r="I32" s="3050"/>
      <c r="J32" s="3460" t="s">
        <v>3010</v>
      </c>
      <c r="K32" s="3461"/>
      <c r="L32" s="3051" t="s">
        <v>3011</v>
      </c>
      <c r="M32" s="3051" t="s">
        <v>3012</v>
      </c>
      <c r="N32" s="3051" t="s">
        <v>3013</v>
      </c>
      <c r="O32" s="3051" t="s">
        <v>3014</v>
      </c>
      <c r="P32" s="3051" t="s">
        <v>3015</v>
      </c>
      <c r="Q32" s="3052" t="s">
        <v>3016</v>
      </c>
      <c r="R32" s="3174" t="s">
        <v>3017</v>
      </c>
      <c r="S32" s="3123"/>
      <c r="T32" s="3042"/>
      <c r="U32" s="3042"/>
      <c r="V32" s="3150"/>
    </row>
    <row r="33" spans="1:23" s="3054" customFormat="1" ht="13.15" customHeight="1">
      <c r="A33" s="3132"/>
      <c r="B33" s="3133"/>
      <c r="C33" s="3134"/>
      <c r="D33" s="3175"/>
      <c r="E33" s="3176"/>
      <c r="F33" s="3137"/>
      <c r="G33" s="3131"/>
      <c r="H33" s="3159"/>
      <c r="I33" s="3150"/>
      <c r="J33" s="3462" t="s">
        <v>3020</v>
      </c>
      <c r="K33" s="3463"/>
      <c r="L33" s="3057"/>
      <c r="M33" s="3057"/>
      <c r="N33" s="3057"/>
      <c r="O33" s="3057"/>
      <c r="P33" s="3057"/>
      <c r="Q33" s="3058"/>
      <c r="R33" s="3177">
        <f>SUM(L33:Q33)</f>
        <v>0</v>
      </c>
      <c r="S33" s="3123"/>
      <c r="T33" s="3042"/>
      <c r="U33" s="3042"/>
      <c r="V33" s="3050"/>
    </row>
    <row r="34" spans="1:23" s="3054" customFormat="1" ht="13.15" customHeight="1">
      <c r="A34" s="3132">
        <v>5</v>
      </c>
      <c r="B34" s="3133" t="s">
        <v>3119</v>
      </c>
      <c r="C34" s="3178"/>
      <c r="D34" s="3179"/>
      <c r="E34" s="3180"/>
      <c r="F34" s="3137"/>
      <c r="G34" s="3131"/>
      <c r="H34" s="3159"/>
      <c r="I34" s="3150"/>
      <c r="J34" s="3462" t="s">
        <v>3022</v>
      </c>
      <c r="K34" s="3463"/>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3120</v>
      </c>
      <c r="C35" s="3182"/>
      <c r="D35" s="3183"/>
      <c r="E35" s="3184"/>
      <c r="F35" s="3137"/>
      <c r="G35" s="3185"/>
      <c r="H35" s="3049"/>
      <c r="I35" s="3150"/>
      <c r="J35" s="3068" t="s">
        <v>3024</v>
      </c>
      <c r="K35" s="3069"/>
      <c r="L35" s="3069"/>
      <c r="M35" s="3070"/>
      <c r="N35" s="3070"/>
      <c r="O35" s="3070"/>
      <c r="P35" s="3070"/>
      <c r="Q35" s="3070"/>
      <c r="R35" s="3186">
        <f>R40+R41+R43</f>
        <v>0</v>
      </c>
      <c r="S35" s="3123"/>
      <c r="T35" s="3042" t="s">
        <v>3025</v>
      </c>
      <c r="U35" s="3042"/>
      <c r="V35" s="3050"/>
    </row>
    <row r="36" spans="1:23" s="3054" customFormat="1" ht="13.15" customHeight="1" thickBot="1">
      <c r="A36" s="3132">
        <v>7</v>
      </c>
      <c r="B36" s="3187" t="s">
        <v>3121</v>
      </c>
      <c r="C36" s="3188"/>
      <c r="D36" s="3189"/>
      <c r="E36" s="3190"/>
      <c r="F36" s="3191">
        <f>C36+D36+E36</f>
        <v>0</v>
      </c>
      <c r="G36" s="3131"/>
      <c r="H36" s="3049"/>
      <c r="I36" s="3050"/>
      <c r="J36" s="3467">
        <v>1</v>
      </c>
      <c r="K36" s="3468" t="s">
        <v>3122</v>
      </c>
      <c r="L36" s="3075"/>
      <c r="M36" s="3076"/>
      <c r="N36" s="3076"/>
      <c r="O36" s="3076"/>
      <c r="P36" s="3076"/>
      <c r="Q36" s="3076"/>
      <c r="R36" s="3059" t="s">
        <v>3034</v>
      </c>
      <c r="S36" s="3123"/>
      <c r="T36" s="3042" t="s">
        <v>3035</v>
      </c>
      <c r="U36" s="3042"/>
      <c r="V36" s="3050"/>
    </row>
    <row r="37" spans="1:23" s="3054" customFormat="1" ht="13.15" customHeight="1">
      <c r="A37" s="3132"/>
      <c r="B37" s="3133"/>
      <c r="C37" s="3133"/>
      <c r="D37" s="3133"/>
      <c r="E37" s="3133"/>
      <c r="F37" s="3137"/>
      <c r="G37" s="3131"/>
      <c r="H37" s="3049"/>
      <c r="I37" s="3050"/>
      <c r="J37" s="3467"/>
      <c r="K37" s="3469"/>
      <c r="L37" s="3084"/>
      <c r="M37" s="3085"/>
      <c r="N37" s="3061"/>
      <c r="O37" s="3086"/>
      <c r="P37" s="3086"/>
      <c r="Q37" s="3087"/>
      <c r="R37" s="3088"/>
      <c r="S37" s="3123"/>
      <c r="T37" s="3042" t="s">
        <v>3038</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67"/>
      <c r="K38" s="3469"/>
      <c r="L38" s="3084"/>
      <c r="M38" s="3085"/>
      <c r="N38" s="3061"/>
      <c r="O38" s="3086"/>
      <c r="P38" s="3086"/>
      <c r="Q38" s="3087"/>
      <c r="R38" s="3088"/>
      <c r="S38" s="3123"/>
      <c r="T38" s="3042" t="s">
        <v>3045</v>
      </c>
      <c r="U38" s="3042"/>
      <c r="V38" s="3050"/>
    </row>
    <row r="39" spans="1:23" s="3054" customFormat="1" ht="13.15" customHeight="1">
      <c r="A39" s="3132">
        <v>9</v>
      </c>
      <c r="B39" s="3133" t="s">
        <v>3123</v>
      </c>
      <c r="C39" s="3098" t="e">
        <f>C38</f>
        <v>#DIV/0!</v>
      </c>
      <c r="D39" s="3133">
        <f>D38/(1+D34)^C36</f>
        <v>0</v>
      </c>
      <c r="E39" s="3133">
        <f>E38/(1+E34)^(C36+D36)</f>
        <v>0</v>
      </c>
      <c r="F39" s="3137"/>
      <c r="G39" s="3192"/>
      <c r="H39" s="3049"/>
      <c r="I39" s="3050"/>
      <c r="J39" s="3467"/>
      <c r="K39" s="3469"/>
      <c r="L39" s="3084"/>
      <c r="M39" s="3085"/>
      <c r="N39" s="3061"/>
      <c r="O39" s="3086"/>
      <c r="P39" s="3086"/>
      <c r="Q39" s="3087"/>
      <c r="R39" s="3088"/>
      <c r="S39" s="3123"/>
      <c r="T39" s="3042"/>
      <c r="U39" s="3042"/>
      <c r="V39" s="3050"/>
    </row>
    <row r="40" spans="1:23" s="3054" customFormat="1" ht="13.15" customHeight="1">
      <c r="A40" s="3193">
        <v>10</v>
      </c>
      <c r="B40" s="3133" t="s">
        <v>3124</v>
      </c>
      <c r="C40" s="3194" t="e">
        <f>C39+D39+E39</f>
        <v>#DIV/0!</v>
      </c>
      <c r="D40" s="3195"/>
      <c r="E40" s="3195"/>
      <c r="F40" s="3196"/>
      <c r="G40" s="3131"/>
      <c r="H40" s="3049"/>
      <c r="I40" s="3050"/>
      <c r="J40" s="3467"/>
      <c r="K40" s="3470"/>
      <c r="L40" s="3104" t="s">
        <v>3063</v>
      </c>
      <c r="M40" s="3105"/>
      <c r="N40" s="3105"/>
      <c r="O40" s="3106"/>
      <c r="P40" s="3106"/>
      <c r="Q40" s="3107"/>
      <c r="R40" s="3053">
        <f>SUM(R37:R39)</f>
        <v>0</v>
      </c>
      <c r="S40" s="3123"/>
      <c r="T40" s="3042"/>
      <c r="U40" s="3042"/>
      <c r="V40" s="3050"/>
    </row>
    <row r="41" spans="1:23" s="3054" customFormat="1" ht="13.15" customHeight="1" thickBot="1">
      <c r="A41" s="3197">
        <v>11</v>
      </c>
      <c r="B41" s="3198" t="s">
        <v>3125</v>
      </c>
      <c r="C41" s="3198" t="e">
        <f>ROUND(C40*10000/B4,0)</f>
        <v>#DIV/0!</v>
      </c>
      <c r="D41" s="3199"/>
      <c r="E41" s="3199"/>
      <c r="F41" s="3200"/>
      <c r="G41" s="3201"/>
      <c r="H41" s="3049"/>
      <c r="I41" s="3050"/>
      <c r="J41" s="3145">
        <v>2</v>
      </c>
      <c r="K41" s="3146" t="s">
        <v>3103</v>
      </c>
      <c r="L41" s="3147"/>
      <c r="M41" s="3147"/>
      <c r="N41" s="3147"/>
      <c r="O41" s="3147"/>
      <c r="P41" s="3148"/>
      <c r="Q41" s="3149"/>
      <c r="R41" s="3120">
        <f>ROUND(R40*Q41,0)</f>
        <v>0</v>
      </c>
      <c r="S41" s="3123"/>
      <c r="T41" s="3042"/>
      <c r="U41" s="3157"/>
      <c r="V41" s="3050"/>
    </row>
    <row r="42" spans="1:23" s="3054" customFormat="1" ht="13.15" customHeight="1">
      <c r="G42" s="3201"/>
      <c r="H42" s="3049"/>
      <c r="I42" s="3050"/>
      <c r="J42" s="3477">
        <v>3</v>
      </c>
      <c r="K42" s="3152" t="s">
        <v>3105</v>
      </c>
      <c r="L42" s="3153"/>
      <c r="M42" s="3154"/>
      <c r="N42" s="3155" t="s">
        <v>3106</v>
      </c>
      <c r="O42" s="3155" t="s">
        <v>3107</v>
      </c>
      <c r="P42" s="3156" t="s">
        <v>3108</v>
      </c>
      <c r="Q42" s="3156" t="s">
        <v>3109</v>
      </c>
      <c r="R42" s="3059" t="s">
        <v>3034</v>
      </c>
      <c r="S42" s="3157"/>
      <c r="T42" s="3157"/>
      <c r="U42" s="3042"/>
      <c r="V42" s="3050"/>
    </row>
    <row r="43" spans="1:23" ht="13.15" customHeight="1">
      <c r="A43" s="3054"/>
      <c r="B43" s="3054"/>
      <c r="C43" s="3054"/>
      <c r="D43" s="3054"/>
      <c r="E43" s="3054"/>
      <c r="F43" s="3054"/>
      <c r="I43" s="3037"/>
      <c r="J43" s="3478"/>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3112</v>
      </c>
      <c r="L44" s="3205" t="s">
        <v>3113</v>
      </c>
      <c r="M44" s="3168"/>
      <c r="N44" s="3205" t="s">
        <v>3114</v>
      </c>
      <c r="O44" s="3168"/>
      <c r="P44" s="3205" t="s">
        <v>3115</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2288</v>
      </c>
      <c r="B1" s="2024"/>
      <c r="C1" s="2024"/>
      <c r="D1" s="2024"/>
      <c r="E1" s="2025"/>
      <c r="F1" s="2906"/>
      <c r="G1" s="1644"/>
      <c r="H1" s="1644"/>
      <c r="I1" s="1644"/>
      <c r="J1" s="1644"/>
      <c r="K1" s="1644"/>
      <c r="L1" s="1644"/>
      <c r="M1" s="1644"/>
      <c r="N1" s="1644"/>
      <c r="O1" s="1644"/>
      <c r="P1" s="1644"/>
      <c r="Q1" s="1644"/>
      <c r="R1" s="1644"/>
      <c r="S1" s="1644"/>
    </row>
    <row r="2" spans="1:22" ht="15.75">
      <c r="A2" s="2026" t="s">
        <v>2089</v>
      </c>
      <c r="B2" s="2027">
        <f ca="1">SUMIF(B6:B13,"&lt;&gt;#ref!",B6:B13)</f>
        <v>0</v>
      </c>
      <c r="C2" s="2028" t="s">
        <v>2281</v>
      </c>
      <c r="D2" s="2029" t="s">
        <v>2282</v>
      </c>
      <c r="E2" s="2803">
        <f>SUM(E6:E13)</f>
        <v>0</v>
      </c>
      <c r="F2" s="2906"/>
      <c r="G2" s="1644"/>
      <c r="H2" s="1644"/>
      <c r="I2" s="1644"/>
      <c r="J2" s="1644"/>
      <c r="K2" s="1644"/>
      <c r="L2" s="1644"/>
      <c r="M2" s="1644"/>
      <c r="N2" s="1644"/>
      <c r="O2" s="1644"/>
      <c r="P2" s="1644"/>
      <c r="Q2" s="1644"/>
      <c r="R2" s="1644"/>
      <c r="S2" s="1644"/>
    </row>
    <row r="3" spans="1:22" ht="15.75">
      <c r="A3" s="2026" t="s">
        <v>1300</v>
      </c>
      <c r="B3" s="2797" t="e">
        <f ca="1">ROUND(B2*10000/E2,0)</f>
        <v>#DIV/0!</v>
      </c>
      <c r="C3" s="2028" t="s">
        <v>2289</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2283</v>
      </c>
      <c r="B5" s="3479" t="s">
        <v>2284</v>
      </c>
      <c r="C5" s="3480"/>
      <c r="D5" s="2907"/>
      <c r="E5" s="2030" t="s">
        <v>2285</v>
      </c>
      <c r="F5" s="2031" t="s">
        <v>2286</v>
      </c>
      <c r="G5" s="1644"/>
      <c r="H5" s="1644"/>
      <c r="I5" s="1644"/>
      <c r="J5" s="1644"/>
      <c r="K5" s="1644"/>
      <c r="L5" s="1644"/>
      <c r="M5" s="1644"/>
      <c r="N5" s="1644"/>
      <c r="O5" s="1644"/>
      <c r="P5" s="1644"/>
      <c r="Q5" s="1644"/>
      <c r="R5" s="1644"/>
      <c r="S5" s="1644"/>
    </row>
    <row r="6" spans="1:22">
      <c r="A6" s="2800">
        <f>'数据-取费表'!AN6</f>
        <v>0</v>
      </c>
      <c r="B6" s="2798" t="e">
        <f ca="1">IF(F6="是",'数据-取费表'!AO6,0)</f>
        <v>#REF!</v>
      </c>
      <c r="C6" s="2028" t="s">
        <v>2281</v>
      </c>
      <c r="D6" s="2908"/>
      <c r="E6" s="2802">
        <f>IF(OR(A6=0,F6="否"),0,'数据-取费表'!K6+'数据-取费表'!S6)</f>
        <v>0</v>
      </c>
      <c r="F6" s="2032" t="s">
        <v>2287</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2281</v>
      </c>
      <c r="D7" s="2908"/>
      <c r="E7" s="2802">
        <f>IF(OR(A7=0,F7="否"),0,'数据-取费表'!K7+'数据-取费表'!S7)</f>
        <v>0</v>
      </c>
      <c r="F7" s="2032" t="s">
        <v>2287</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2281</v>
      </c>
      <c r="D8" s="2908"/>
      <c r="E8" s="2802">
        <f>IF(OR(A8=0,F8="否"),0,'数据-取费表'!K8+'数据-取费表'!S8)</f>
        <v>0</v>
      </c>
      <c r="F8" s="2032" t="s">
        <v>2287</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2281</v>
      </c>
      <c r="D9" s="2908"/>
      <c r="E9" s="2802">
        <f>IF(OR(A9=0,F9="否"),0,'数据-取费表'!K9+'数据-取费表'!S9)</f>
        <v>0</v>
      </c>
      <c r="F9" s="2032" t="s">
        <v>2287</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2281</v>
      </c>
      <c r="D10" s="2908"/>
      <c r="E10" s="2802">
        <f>IF(OR(A10=0,F10="否"),0,'数据-取费表'!K10+'数据-取费表'!S10)</f>
        <v>0</v>
      </c>
      <c r="F10" s="2032" t="s">
        <v>2287</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2281</v>
      </c>
      <c r="D11" s="2908"/>
      <c r="E11" s="2802">
        <f>IF(OR(A11=0,F11="否"),0,'数据-取费表'!K11+'数据-取费表'!S11)</f>
        <v>0</v>
      </c>
      <c r="F11" s="2032" t="s">
        <v>2287</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2281</v>
      </c>
      <c r="D12" s="2908"/>
      <c r="E12" s="2802">
        <f>IF(OR(A12=0,F12="否"),0,'数据-取费表'!K12+'数据-取费表'!S12)</f>
        <v>0</v>
      </c>
      <c r="F12" s="2032" t="s">
        <v>2287</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2281</v>
      </c>
      <c r="D13" s="2909"/>
      <c r="E13" s="2802">
        <f>IF(OR(A13=0,F13="否"),0,'数据-取费表'!K13+'数据-取费表'!S13)</f>
        <v>0</v>
      </c>
      <c r="F13" s="2032" t="s">
        <v>2287</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2290</v>
      </c>
      <c r="B1" s="2034" t="s">
        <v>2291</v>
      </c>
      <c r="C1" s="1378" t="s">
        <v>2292</v>
      </c>
      <c r="D1" s="1365"/>
      <c r="E1" s="2514"/>
      <c r="F1" s="2035" t="s">
        <v>2293</v>
      </c>
      <c r="G1" s="1375" t="s">
        <v>2294</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2295</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2296</v>
      </c>
      <c r="D3" s="359">
        <f>IF(D1="",'数据-汇总表'!E3,SUMIF('数据-汇总表'!$C19:$C33,D1,'数据-汇总表'!$E19:$E33))</f>
        <v>0</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2297</v>
      </c>
      <c r="B4" s="362"/>
      <c r="C4" s="3499" t="s">
        <v>2298</v>
      </c>
      <c r="D4" s="3500"/>
      <c r="E4" s="3501" t="s">
        <v>2299</v>
      </c>
      <c r="F4" s="3502"/>
      <c r="G4" s="3499" t="s">
        <v>2300</v>
      </c>
      <c r="H4" s="3500"/>
      <c r="I4" s="3499" t="s">
        <v>2301</v>
      </c>
      <c r="J4" s="3500"/>
      <c r="K4" s="2045" t="s">
        <v>2302</v>
      </c>
      <c r="L4" s="2914"/>
      <c r="M4" s="2915"/>
      <c r="N4" s="2915"/>
      <c r="O4" s="2915"/>
      <c r="P4" s="3503" t="s">
        <v>2303</v>
      </c>
      <c r="Q4" s="3504"/>
      <c r="R4" s="3486" t="s">
        <v>2299</v>
      </c>
      <c r="S4" s="3487"/>
      <c r="T4" s="3486" t="s">
        <v>2300</v>
      </c>
      <c r="U4" s="3487"/>
      <c r="V4" s="3511" t="s">
        <v>2301</v>
      </c>
      <c r="W4" s="3511"/>
      <c r="X4" s="1509"/>
      <c r="Y4" s="3486" t="s">
        <v>2303</v>
      </c>
      <c r="Z4" s="3487"/>
      <c r="AA4" s="3481" t="s">
        <v>2299</v>
      </c>
      <c r="AB4" s="3481" t="s">
        <v>2300</v>
      </c>
      <c r="AC4" s="3481" t="s">
        <v>2301</v>
      </c>
    </row>
    <row r="5" spans="1:29" ht="15">
      <c r="A5" s="364"/>
      <c r="B5" s="365"/>
      <c r="C5" s="3492" t="s">
        <v>2304</v>
      </c>
      <c r="D5" s="3493"/>
      <c r="E5" s="3490" t="s">
        <v>2305</v>
      </c>
      <c r="F5" s="3491"/>
      <c r="G5" s="3492" t="s">
        <v>2306</v>
      </c>
      <c r="H5" s="3493"/>
      <c r="I5" s="3492" t="s">
        <v>2307</v>
      </c>
      <c r="J5" s="3493"/>
      <c r="K5" s="2046"/>
      <c r="L5" s="2914"/>
      <c r="M5" s="2915"/>
      <c r="N5" s="2915"/>
      <c r="O5" s="2915"/>
      <c r="P5" s="3505"/>
      <c r="Q5" s="3506"/>
      <c r="R5" s="3488"/>
      <c r="S5" s="3489"/>
      <c r="T5" s="3488"/>
      <c r="U5" s="3489"/>
      <c r="V5" s="3511"/>
      <c r="W5" s="3511"/>
      <c r="X5" s="1509"/>
      <c r="Y5" s="3488"/>
      <c r="Z5" s="3489"/>
      <c r="AA5" s="3482"/>
      <c r="AB5" s="3482"/>
      <c r="AC5" s="3482"/>
    </row>
    <row r="6" spans="1:29" ht="15.75" thickBot="1">
      <c r="A6" s="366"/>
      <c r="B6" s="367"/>
      <c r="C6" s="3494" t="s">
        <v>2308</v>
      </c>
      <c r="D6" s="3495"/>
      <c r="E6" s="3496" t="s">
        <v>2308</v>
      </c>
      <c r="F6" s="3497"/>
      <c r="G6" s="3494" t="s">
        <v>2308</v>
      </c>
      <c r="H6" s="3495"/>
      <c r="I6" s="3494" t="s">
        <v>2308</v>
      </c>
      <c r="J6" s="3495"/>
      <c r="K6" s="2046" t="s">
        <v>2309</v>
      </c>
      <c r="L6" s="2914"/>
      <c r="M6" s="2915"/>
      <c r="N6" s="2915"/>
      <c r="O6" s="2915"/>
      <c r="P6" s="3507"/>
      <c r="Q6" s="3508"/>
      <c r="R6" s="3488"/>
      <c r="S6" s="3489"/>
      <c r="T6" s="3509"/>
      <c r="U6" s="3510"/>
      <c r="V6" s="3511"/>
      <c r="W6" s="3511"/>
      <c r="X6" s="1509"/>
      <c r="Y6" s="3509"/>
      <c r="Z6" s="3510"/>
      <c r="AA6" s="3483"/>
      <c r="AB6" s="3483"/>
      <c r="AC6" s="3483"/>
    </row>
    <row r="7" spans="1:29" s="113" customFormat="1" ht="15.75" thickBot="1">
      <c r="A7" s="368" t="s">
        <v>2310</v>
      </c>
      <c r="B7" s="369"/>
      <c r="C7" s="370">
        <f>'数据-取费表'!B2</f>
        <v>0</v>
      </c>
      <c r="D7" s="371">
        <v>100</v>
      </c>
      <c r="E7" s="372"/>
      <c r="F7" s="373">
        <f>SUMIF(58:58,YEAR(E7)&amp;"-"&amp;MONTH(E7),59:59)</f>
        <v>100</v>
      </c>
      <c r="G7" s="372"/>
      <c r="H7" s="371">
        <f>SUMIF(58:58,YEAR(G7)&amp;"-"&amp;MONTH(G7),59:59)</f>
        <v>100</v>
      </c>
      <c r="I7" s="372"/>
      <c r="J7" s="371">
        <f>SUMIF(58:58,YEAR(I7)&amp;"-"&amp;MONTH(I7),59:59)</f>
        <v>100</v>
      </c>
      <c r="K7" s="2047"/>
      <c r="L7" s="2916"/>
      <c r="M7" s="2917"/>
      <c r="N7" s="2917"/>
      <c r="O7" s="2917"/>
      <c r="P7" s="3484" t="s">
        <v>2311</v>
      </c>
      <c r="Q7" s="3512"/>
      <c r="R7" s="710" t="s">
        <v>23</v>
      </c>
      <c r="S7" s="711">
        <f t="shared" ref="S7:S15" si="0">F7</f>
        <v>100</v>
      </c>
      <c r="T7" s="710" t="s">
        <v>23</v>
      </c>
      <c r="U7" s="711">
        <f t="shared" ref="U7:U15" si="1">H7</f>
        <v>100</v>
      </c>
      <c r="V7" s="710" t="s">
        <v>23</v>
      </c>
      <c r="W7" s="711">
        <f t="shared" ref="W7:W15" si="2">J7</f>
        <v>100</v>
      </c>
      <c r="X7" s="712"/>
      <c r="Y7" s="3484" t="s">
        <v>2311</v>
      </c>
      <c r="Z7" s="3485"/>
      <c r="AA7" s="713">
        <f>D7/F7</f>
        <v>1</v>
      </c>
      <c r="AB7" s="713">
        <f>D7/H7</f>
        <v>1</v>
      </c>
      <c r="AC7" s="713">
        <f>D7/J7</f>
        <v>1</v>
      </c>
    </row>
    <row r="8" spans="1:29" s="113" customFormat="1" ht="15.75" thickBot="1">
      <c r="A8" s="368" t="s">
        <v>2312</v>
      </c>
      <c r="B8" s="369"/>
      <c r="C8" s="374" t="s">
        <v>2313</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84" t="s">
        <v>2314</v>
      </c>
      <c r="Q8" s="3485"/>
      <c r="R8" s="710" t="s">
        <v>23</v>
      </c>
      <c r="S8" s="711">
        <f t="shared" si="0"/>
        <v>0</v>
      </c>
      <c r="T8" s="710" t="s">
        <v>23</v>
      </c>
      <c r="U8" s="711">
        <f t="shared" si="1"/>
        <v>0</v>
      </c>
      <c r="V8" s="710" t="s">
        <v>23</v>
      </c>
      <c r="W8" s="711">
        <f t="shared" si="2"/>
        <v>0</v>
      </c>
      <c r="X8" s="712"/>
      <c r="Y8" s="3484" t="s">
        <v>2314</v>
      </c>
      <c r="Z8" s="3485"/>
      <c r="AA8" s="713" t="e">
        <f t="shared" ref="AA8:AA19" si="3">D8/F8</f>
        <v>#DIV/0!</v>
      </c>
      <c r="AB8" s="713" t="e">
        <f t="shared" ref="AB8:AB19" si="4">D8/H8</f>
        <v>#DIV/0!</v>
      </c>
      <c r="AC8" s="713" t="e">
        <f t="shared" ref="AC8:AC19" si="5">D8/J8</f>
        <v>#DIV/0!</v>
      </c>
    </row>
    <row r="9" spans="1:29" s="113" customFormat="1">
      <c r="A9" s="375" t="s">
        <v>2315</v>
      </c>
      <c r="B9" s="67" t="s">
        <v>2316</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98" t="s">
        <v>2317</v>
      </c>
      <c r="Q9" s="1497" t="str">
        <f t="shared" ref="Q9:Q15" si="6">B9</f>
        <v>用途</v>
      </c>
      <c r="R9" s="710" t="s">
        <v>17</v>
      </c>
      <c r="S9" s="711">
        <f t="shared" si="0"/>
        <v>100</v>
      </c>
      <c r="T9" s="710" t="s">
        <v>17</v>
      </c>
      <c r="U9" s="711">
        <f t="shared" si="1"/>
        <v>100</v>
      </c>
      <c r="V9" s="710" t="s">
        <v>17</v>
      </c>
      <c r="W9" s="711">
        <f t="shared" si="2"/>
        <v>100</v>
      </c>
      <c r="X9" s="712"/>
      <c r="Y9" s="3428" t="s">
        <v>2318</v>
      </c>
      <c r="Z9" s="55" t="str">
        <f t="shared" ref="Z9:Z15" si="7">Q9</f>
        <v>用途</v>
      </c>
      <c r="AA9" s="713">
        <f t="shared" si="3"/>
        <v>1</v>
      </c>
      <c r="AB9" s="713">
        <f t="shared" si="4"/>
        <v>1</v>
      </c>
      <c r="AC9" s="713">
        <f t="shared" si="5"/>
        <v>1</v>
      </c>
    </row>
    <row r="10" spans="1:29" s="386" customFormat="1" ht="27">
      <c r="A10" s="380"/>
      <c r="B10" s="381" t="s">
        <v>2319</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98"/>
      <c r="Q10" s="149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381" t="s">
        <v>2320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98"/>
      <c r="Q11" s="1497" t="str">
        <f t="shared" si="6"/>
        <v>容积率</v>
      </c>
      <c r="R11" s="710" t="s">
        <v>21</v>
      </c>
      <c r="S11" s="711" t="e">
        <f t="shared" si="0"/>
        <v>#N/A</v>
      </c>
      <c r="T11" s="710" t="s">
        <v>21</v>
      </c>
      <c r="U11" s="711" t="e">
        <f t="shared" si="1"/>
        <v>#N/A</v>
      </c>
      <c r="V11" s="710" t="s">
        <v>21</v>
      </c>
      <c r="W11" s="711" t="e">
        <f t="shared" si="2"/>
        <v>#N/A</v>
      </c>
      <c r="X11" s="712"/>
      <c r="Y11" s="3428"/>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98"/>
      <c r="Q12" s="1497">
        <f t="shared" si="6"/>
        <v>111</v>
      </c>
      <c r="R12" s="710" t="s">
        <v>21</v>
      </c>
      <c r="S12" s="711">
        <f t="shared" si="0"/>
        <v>100</v>
      </c>
      <c r="T12" s="710" t="s">
        <v>21</v>
      </c>
      <c r="U12" s="711">
        <f t="shared" si="1"/>
        <v>100</v>
      </c>
      <c r="V12" s="710" t="s">
        <v>21</v>
      </c>
      <c r="W12" s="711">
        <f t="shared" si="2"/>
        <v>100</v>
      </c>
      <c r="X12" s="712"/>
      <c r="Y12" s="342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98"/>
      <c r="Q13" s="1497">
        <f t="shared" si="6"/>
        <v>111</v>
      </c>
      <c r="R13" s="710" t="s">
        <v>21</v>
      </c>
      <c r="S13" s="711">
        <f t="shared" si="0"/>
        <v>100</v>
      </c>
      <c r="T13" s="710" t="s">
        <v>21</v>
      </c>
      <c r="U13" s="711">
        <f t="shared" si="1"/>
        <v>100</v>
      </c>
      <c r="V13" s="710" t="s">
        <v>21</v>
      </c>
      <c r="W13" s="711">
        <f t="shared" si="2"/>
        <v>100</v>
      </c>
      <c r="X13" s="712"/>
      <c r="Y13" s="3428"/>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98"/>
      <c r="Q14" s="1497">
        <f t="shared" si="6"/>
        <v>111</v>
      </c>
      <c r="R14" s="710" t="s">
        <v>21</v>
      </c>
      <c r="S14" s="711">
        <f t="shared" si="0"/>
        <v>100</v>
      </c>
      <c r="T14" s="710" t="s">
        <v>21</v>
      </c>
      <c r="U14" s="711">
        <f t="shared" si="1"/>
        <v>100</v>
      </c>
      <c r="V14" s="710" t="s">
        <v>21</v>
      </c>
      <c r="W14" s="711">
        <f t="shared" si="2"/>
        <v>100</v>
      </c>
      <c r="X14" s="712"/>
      <c r="Y14" s="3428"/>
      <c r="Z14" s="55">
        <f t="shared" si="7"/>
        <v>111</v>
      </c>
      <c r="AA14" s="713">
        <f t="shared" si="3"/>
        <v>1</v>
      </c>
      <c r="AB14" s="713">
        <f t="shared" si="4"/>
        <v>1</v>
      </c>
      <c r="AC14" s="713">
        <f t="shared" si="5"/>
        <v>1</v>
      </c>
    </row>
    <row r="15" spans="1:29" ht="99.75">
      <c r="A15" s="399" t="s">
        <v>2321</v>
      </c>
      <c r="B15" s="65" t="s">
        <v>1884</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525" t="s">
        <v>2322</v>
      </c>
      <c r="Q15" s="1506" t="str">
        <f t="shared" si="6"/>
        <v>居住社区成熟度</v>
      </c>
      <c r="R15" s="714" t="s">
        <v>21</v>
      </c>
      <c r="S15" s="715">
        <f t="shared" si="0"/>
        <v>100</v>
      </c>
      <c r="T15" s="714" t="s">
        <v>21</v>
      </c>
      <c r="U15" s="715">
        <f t="shared" si="1"/>
        <v>100</v>
      </c>
      <c r="V15" s="714" t="s">
        <v>21</v>
      </c>
      <c r="W15" s="715">
        <f t="shared" si="2"/>
        <v>100</v>
      </c>
      <c r="X15" s="1509"/>
      <c r="Y15" s="3518" t="s">
        <v>2322</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526"/>
      <c r="Q16" s="1506"/>
      <c r="R16" s="714"/>
      <c r="S16" s="715"/>
      <c r="T16" s="714"/>
      <c r="U16" s="715"/>
      <c r="V16" s="714"/>
      <c r="W16" s="715"/>
      <c r="X16" s="1509"/>
      <c r="Y16" s="3519"/>
      <c r="Z16" s="1510"/>
      <c r="AA16" s="1507">
        <v>1</v>
      </c>
      <c r="AB16" s="1507">
        <v>1</v>
      </c>
      <c r="AC16" s="1507">
        <v>1</v>
      </c>
    </row>
    <row r="17" spans="1:29" ht="85.5">
      <c r="A17" s="387"/>
      <c r="B17" s="410" t="s">
        <v>1886</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526"/>
      <c r="Q17" s="1506" t="str">
        <f>B17</f>
        <v>交通便捷度</v>
      </c>
      <c r="R17" s="714" t="s">
        <v>21</v>
      </c>
      <c r="S17" s="715">
        <f>F17</f>
        <v>100</v>
      </c>
      <c r="T17" s="714" t="s">
        <v>21</v>
      </c>
      <c r="U17" s="715">
        <f>H17</f>
        <v>100</v>
      </c>
      <c r="V17" s="714" t="s">
        <v>21</v>
      </c>
      <c r="W17" s="715">
        <f>J17</f>
        <v>100</v>
      </c>
      <c r="X17" s="1509"/>
      <c r="Y17" s="3519"/>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526"/>
      <c r="Q18" s="1506"/>
      <c r="R18" s="714"/>
      <c r="S18" s="715"/>
      <c r="T18" s="714"/>
      <c r="U18" s="715"/>
      <c r="V18" s="714"/>
      <c r="W18" s="715"/>
      <c r="X18" s="1509"/>
      <c r="Y18" s="3519"/>
      <c r="Z18" s="1510"/>
      <c r="AA18" s="1507">
        <v>1</v>
      </c>
      <c r="AB18" s="1507">
        <v>1</v>
      </c>
      <c r="AC18" s="1507">
        <v>1</v>
      </c>
    </row>
    <row r="19" spans="1:29" ht="42.75">
      <c r="A19" s="387"/>
      <c r="B19" s="410" t="s">
        <v>1885</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526"/>
      <c r="Q19" s="1506" t="str">
        <f>B19</f>
        <v>公共配套设施</v>
      </c>
      <c r="R19" s="714" t="s">
        <v>21</v>
      </c>
      <c r="S19" s="715">
        <f>F19</f>
        <v>100</v>
      </c>
      <c r="T19" s="714" t="s">
        <v>21</v>
      </c>
      <c r="U19" s="715">
        <f>H19</f>
        <v>100</v>
      </c>
      <c r="V19" s="714" t="s">
        <v>21</v>
      </c>
      <c r="W19" s="715">
        <f>J19</f>
        <v>100</v>
      </c>
      <c r="X19" s="1509"/>
      <c r="Y19" s="3519"/>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526"/>
      <c r="Q20" s="1506"/>
      <c r="R20" s="714"/>
      <c r="S20" s="715"/>
      <c r="T20" s="714"/>
      <c r="U20" s="715"/>
      <c r="V20" s="714"/>
      <c r="W20" s="715"/>
      <c r="X20" s="1509"/>
      <c r="Y20" s="3519"/>
      <c r="Z20" s="1510"/>
      <c r="AA20" s="1507">
        <v>1</v>
      </c>
      <c r="AB20" s="1507">
        <v>1</v>
      </c>
      <c r="AC20" s="1507">
        <v>1</v>
      </c>
    </row>
    <row r="21" spans="1:29" ht="28.5">
      <c r="A21" s="387"/>
      <c r="B21" s="1265" t="s">
        <v>1887</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526"/>
      <c r="Q21" s="1506" t="str">
        <f>B21</f>
        <v>基础设施水平</v>
      </c>
      <c r="R21" s="714" t="s">
        <v>17</v>
      </c>
      <c r="S21" s="715">
        <f>F21</f>
        <v>100</v>
      </c>
      <c r="T21" s="714" t="s">
        <v>17</v>
      </c>
      <c r="U21" s="715">
        <f>H21</f>
        <v>100</v>
      </c>
      <c r="V21" s="714" t="s">
        <v>17</v>
      </c>
      <c r="W21" s="715">
        <f>J21</f>
        <v>100</v>
      </c>
      <c r="X21" s="1509"/>
      <c r="Y21" s="351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526"/>
      <c r="Q22" s="1506"/>
      <c r="R22" s="714"/>
      <c r="S22" s="715"/>
      <c r="T22" s="714"/>
      <c r="U22" s="715"/>
      <c r="V22" s="714"/>
      <c r="W22" s="715"/>
      <c r="X22" s="1509"/>
      <c r="Y22" s="3519"/>
      <c r="Z22" s="1510"/>
      <c r="AA22" s="1507">
        <v>1</v>
      </c>
      <c r="AB22" s="1507">
        <v>1</v>
      </c>
      <c r="AC22" s="1507">
        <v>1</v>
      </c>
    </row>
    <row r="23" spans="1:29" ht="57">
      <c r="A23" s="387"/>
      <c r="B23" s="410" t="s">
        <v>1888</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526"/>
      <c r="Q23" s="1506" t="str">
        <f>B23</f>
        <v>自然及人文环境</v>
      </c>
      <c r="R23" s="714" t="s">
        <v>21</v>
      </c>
      <c r="S23" s="715">
        <f>F23</f>
        <v>100</v>
      </c>
      <c r="T23" s="714" t="s">
        <v>21</v>
      </c>
      <c r="U23" s="715">
        <f>H23</f>
        <v>100</v>
      </c>
      <c r="V23" s="714" t="s">
        <v>21</v>
      </c>
      <c r="W23" s="715">
        <f>J23</f>
        <v>100</v>
      </c>
      <c r="X23" s="1509"/>
      <c r="Y23" s="3519"/>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526"/>
      <c r="Q24" s="1506"/>
      <c r="R24" s="714"/>
      <c r="S24" s="715"/>
      <c r="T24" s="714"/>
      <c r="U24" s="715"/>
      <c r="V24" s="714"/>
      <c r="W24" s="715"/>
      <c r="X24" s="1509"/>
      <c r="Y24" s="3519"/>
      <c r="Z24" s="1510"/>
      <c r="AA24" s="1507">
        <v>1</v>
      </c>
      <c r="AB24" s="1507">
        <v>1</v>
      </c>
      <c r="AC24" s="1507">
        <v>1</v>
      </c>
    </row>
    <row r="25" spans="1:29" ht="15">
      <c r="A25" s="387"/>
      <c r="B25" s="381" t="s">
        <v>2323</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526"/>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519"/>
      <c r="Z25" s="1510" t="str">
        <f>Q25</f>
        <v>楼层-1</v>
      </c>
      <c r="AA25" s="1507">
        <f t="shared" ref="AA25:AA46" si="15">D25/F25</f>
        <v>1</v>
      </c>
      <c r="AB25" s="1507">
        <f t="shared" ref="AB25:AB46" si="16">D25/H25</f>
        <v>1</v>
      </c>
      <c r="AC25" s="1507">
        <f t="shared" ref="AC25:AC46" si="17">D25/J25</f>
        <v>1</v>
      </c>
    </row>
    <row r="26" spans="1:29" ht="15">
      <c r="A26" s="387"/>
      <c r="B26" s="381" t="s">
        <v>2324</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526"/>
      <c r="Q26" s="1506" t="str">
        <f t="shared" si="11"/>
        <v>朝向</v>
      </c>
      <c r="R26" s="714" t="s">
        <v>21</v>
      </c>
      <c r="S26" s="715">
        <f t="shared" si="12"/>
        <v>100</v>
      </c>
      <c r="T26" s="714" t="s">
        <v>21</v>
      </c>
      <c r="U26" s="715">
        <f t="shared" si="13"/>
        <v>100</v>
      </c>
      <c r="V26" s="714" t="s">
        <v>21</v>
      </c>
      <c r="W26" s="715">
        <f t="shared" si="14"/>
        <v>100</v>
      </c>
      <c r="X26" s="1509"/>
      <c r="Y26" s="3519"/>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526"/>
      <c r="Q27" s="1497">
        <f t="shared" si="11"/>
        <v>111</v>
      </c>
      <c r="R27" s="710" t="s">
        <v>21</v>
      </c>
      <c r="S27" s="711">
        <f t="shared" si="12"/>
        <v>100</v>
      </c>
      <c r="T27" s="710" t="s">
        <v>21</v>
      </c>
      <c r="U27" s="711">
        <f t="shared" si="13"/>
        <v>100</v>
      </c>
      <c r="V27" s="710" t="s">
        <v>21</v>
      </c>
      <c r="W27" s="711">
        <f t="shared" si="14"/>
        <v>100</v>
      </c>
      <c r="X27" s="712"/>
      <c r="Y27" s="3519"/>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526"/>
      <c r="Q28" s="1506">
        <f t="shared" si="11"/>
        <v>111</v>
      </c>
      <c r="R28" s="714" t="s">
        <v>21</v>
      </c>
      <c r="S28" s="715">
        <f t="shared" si="12"/>
        <v>100</v>
      </c>
      <c r="T28" s="714" t="s">
        <v>21</v>
      </c>
      <c r="U28" s="715">
        <f t="shared" si="13"/>
        <v>100</v>
      </c>
      <c r="V28" s="714" t="s">
        <v>21</v>
      </c>
      <c r="W28" s="715">
        <f t="shared" si="14"/>
        <v>100</v>
      </c>
      <c r="X28" s="1509"/>
      <c r="Y28" s="3519"/>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526"/>
      <c r="Q29" s="1506">
        <f t="shared" si="11"/>
        <v>111</v>
      </c>
      <c r="R29" s="714" t="s">
        <v>21</v>
      </c>
      <c r="S29" s="715">
        <f t="shared" si="12"/>
        <v>100</v>
      </c>
      <c r="T29" s="714" t="s">
        <v>21</v>
      </c>
      <c r="U29" s="715">
        <f t="shared" si="13"/>
        <v>100</v>
      </c>
      <c r="V29" s="714" t="s">
        <v>21</v>
      </c>
      <c r="W29" s="715">
        <f t="shared" si="14"/>
        <v>100</v>
      </c>
      <c r="X29" s="1509"/>
      <c r="Y29" s="3519"/>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526"/>
      <c r="Q30" s="1506">
        <f t="shared" si="11"/>
        <v>111</v>
      </c>
      <c r="R30" s="714" t="s">
        <v>21</v>
      </c>
      <c r="S30" s="715">
        <f t="shared" si="12"/>
        <v>100</v>
      </c>
      <c r="T30" s="714" t="s">
        <v>21</v>
      </c>
      <c r="U30" s="715">
        <f t="shared" si="13"/>
        <v>100</v>
      </c>
      <c r="V30" s="714" t="s">
        <v>21</v>
      </c>
      <c r="W30" s="715">
        <f t="shared" si="14"/>
        <v>100</v>
      </c>
      <c r="X30" s="1509"/>
      <c r="Y30" s="3519"/>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526"/>
      <c r="Q31" s="1506">
        <f t="shared" si="11"/>
        <v>111</v>
      </c>
      <c r="R31" s="714" t="s">
        <v>21</v>
      </c>
      <c r="S31" s="715">
        <f t="shared" si="12"/>
        <v>100</v>
      </c>
      <c r="T31" s="714" t="s">
        <v>21</v>
      </c>
      <c r="U31" s="715">
        <f t="shared" si="13"/>
        <v>100</v>
      </c>
      <c r="V31" s="714" t="s">
        <v>21</v>
      </c>
      <c r="W31" s="715">
        <f t="shared" si="14"/>
        <v>100</v>
      </c>
      <c r="X31" s="1509"/>
      <c r="Y31" s="3519"/>
      <c r="Z31" s="1510">
        <f t="shared" si="18"/>
        <v>111</v>
      </c>
      <c r="AA31" s="1507">
        <f t="shared" si="15"/>
        <v>1</v>
      </c>
      <c r="AB31" s="1507">
        <f t="shared" si="16"/>
        <v>1</v>
      </c>
      <c r="AC31" s="1507">
        <f t="shared" si="17"/>
        <v>1</v>
      </c>
    </row>
    <row r="32" spans="1:29" ht="15">
      <c r="A32" s="399" t="s">
        <v>2325</v>
      </c>
      <c r="B32" s="67" t="s">
        <v>2326</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520" t="s">
        <v>2327</v>
      </c>
      <c r="Q32" s="1506" t="str">
        <f t="shared" si="11"/>
        <v>建筑类型</v>
      </c>
      <c r="R32" s="714" t="s">
        <v>21</v>
      </c>
      <c r="S32" s="715">
        <f t="shared" si="12"/>
        <v>100</v>
      </c>
      <c r="T32" s="714" t="s">
        <v>21</v>
      </c>
      <c r="U32" s="715">
        <f t="shared" si="13"/>
        <v>100</v>
      </c>
      <c r="V32" s="714" t="s">
        <v>21</v>
      </c>
      <c r="W32" s="715">
        <f t="shared" si="14"/>
        <v>100</v>
      </c>
      <c r="X32" s="1509"/>
      <c r="Y32" s="3523" t="s">
        <v>2327</v>
      </c>
      <c r="Z32" s="1510" t="str">
        <f t="shared" si="18"/>
        <v>建筑类型</v>
      </c>
      <c r="AA32" s="1507">
        <f t="shared" si="15"/>
        <v>1</v>
      </c>
      <c r="AB32" s="1507">
        <f t="shared" si="16"/>
        <v>1</v>
      </c>
      <c r="AC32" s="1507">
        <f t="shared" si="17"/>
        <v>1</v>
      </c>
    </row>
    <row r="33" spans="1:29" s="430" customFormat="1" ht="15">
      <c r="A33" s="427"/>
      <c r="B33" s="381" t="s">
        <v>2328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521"/>
      <c r="Q33" s="716" t="str">
        <f t="shared" si="11"/>
        <v>项目建筑规模</v>
      </c>
      <c r="R33" s="717" t="s">
        <v>21</v>
      </c>
      <c r="S33" s="718" t="e">
        <f t="shared" si="12"/>
        <v>#N/A</v>
      </c>
      <c r="T33" s="717" t="s">
        <v>21</v>
      </c>
      <c r="U33" s="718" t="e">
        <f t="shared" si="13"/>
        <v>#N/A</v>
      </c>
      <c r="V33" s="717" t="s">
        <v>21</v>
      </c>
      <c r="W33" s="718" t="e">
        <f t="shared" si="14"/>
        <v>#N/A</v>
      </c>
      <c r="X33" s="719"/>
      <c r="Y33" s="3523"/>
      <c r="Z33" s="720" t="str">
        <f t="shared" si="18"/>
        <v>项目建筑规模</v>
      </c>
      <c r="AA33" s="1507" t="e">
        <f t="shared" si="15"/>
        <v>#N/A</v>
      </c>
      <c r="AB33" s="1507" t="e">
        <f t="shared" si="16"/>
        <v>#N/A</v>
      </c>
      <c r="AC33" s="1507" t="e">
        <f t="shared" si="17"/>
        <v>#N/A</v>
      </c>
    </row>
    <row r="34" spans="1:29" ht="15">
      <c r="A34" s="431"/>
      <c r="B34" s="381" t="s">
        <v>2329</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521"/>
      <c r="Q34" s="1506" t="str">
        <f t="shared" si="11"/>
        <v>建筑结构</v>
      </c>
      <c r="R34" s="714" t="s">
        <v>21</v>
      </c>
      <c r="S34" s="715">
        <f t="shared" si="12"/>
        <v>100</v>
      </c>
      <c r="T34" s="714" t="s">
        <v>21</v>
      </c>
      <c r="U34" s="715">
        <f t="shared" si="13"/>
        <v>100</v>
      </c>
      <c r="V34" s="714" t="s">
        <v>21</v>
      </c>
      <c r="W34" s="715">
        <f t="shared" si="14"/>
        <v>100</v>
      </c>
      <c r="X34" s="1509"/>
      <c r="Y34" s="3523"/>
      <c r="Z34" s="1510" t="str">
        <f t="shared" si="18"/>
        <v>建筑结构</v>
      </c>
      <c r="AA34" s="1507">
        <f t="shared" si="15"/>
        <v>1</v>
      </c>
      <c r="AB34" s="1507">
        <f t="shared" si="16"/>
        <v>1</v>
      </c>
      <c r="AC34" s="1507">
        <f t="shared" si="17"/>
        <v>1</v>
      </c>
    </row>
    <row r="35" spans="1:29" ht="15">
      <c r="A35" s="431"/>
      <c r="B35" s="381" t="s">
        <v>2330</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521"/>
      <c r="Q35" s="1506" t="str">
        <f t="shared" si="11"/>
        <v>建筑品质</v>
      </c>
      <c r="R35" s="714" t="s">
        <v>21</v>
      </c>
      <c r="S35" s="715">
        <f t="shared" si="12"/>
        <v>100</v>
      </c>
      <c r="T35" s="714" t="s">
        <v>21</v>
      </c>
      <c r="U35" s="715">
        <f t="shared" si="13"/>
        <v>100</v>
      </c>
      <c r="V35" s="714" t="s">
        <v>21</v>
      </c>
      <c r="W35" s="715">
        <f t="shared" si="14"/>
        <v>100</v>
      </c>
      <c r="X35" s="1509"/>
      <c r="Y35" s="3523"/>
      <c r="Z35" s="1510" t="str">
        <f t="shared" si="18"/>
        <v>建筑品质</v>
      </c>
      <c r="AA35" s="1507">
        <f t="shared" si="15"/>
        <v>1</v>
      </c>
      <c r="AB35" s="1507">
        <f t="shared" si="16"/>
        <v>1</v>
      </c>
      <c r="AC35" s="1507">
        <f t="shared" si="17"/>
        <v>1</v>
      </c>
    </row>
    <row r="36" spans="1:29" ht="15">
      <c r="A36" s="431"/>
      <c r="B36" s="381" t="s">
        <v>2331</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521"/>
      <c r="Q36" s="1506" t="str">
        <f t="shared" si="11"/>
        <v>公共部分装修</v>
      </c>
      <c r="R36" s="714" t="s">
        <v>21</v>
      </c>
      <c r="S36" s="715">
        <f t="shared" si="12"/>
        <v>100</v>
      </c>
      <c r="T36" s="714" t="s">
        <v>21</v>
      </c>
      <c r="U36" s="715">
        <f t="shared" si="13"/>
        <v>100</v>
      </c>
      <c r="V36" s="714" t="s">
        <v>21</v>
      </c>
      <c r="W36" s="715">
        <f t="shared" si="14"/>
        <v>100</v>
      </c>
      <c r="X36" s="1509"/>
      <c r="Y36" s="3523"/>
      <c r="Z36" s="1510" t="str">
        <f t="shared" si="18"/>
        <v>公共部分装修</v>
      </c>
      <c r="AA36" s="1507">
        <f t="shared" si="15"/>
        <v>1</v>
      </c>
      <c r="AB36" s="1507">
        <f t="shared" si="16"/>
        <v>1</v>
      </c>
      <c r="AC36" s="1507">
        <f t="shared" si="17"/>
        <v>1</v>
      </c>
    </row>
    <row r="37" spans="1:29" s="113" customFormat="1" ht="15">
      <c r="A37" s="432"/>
      <c r="B37" s="381" t="s">
        <v>2332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521"/>
      <c r="Q37" s="1497" t="str">
        <f t="shared" si="11"/>
        <v>成新度</v>
      </c>
      <c r="R37" s="710" t="s">
        <v>21</v>
      </c>
      <c r="S37" s="711" t="e">
        <f t="shared" si="12"/>
        <v>#N/A</v>
      </c>
      <c r="T37" s="710" t="s">
        <v>21</v>
      </c>
      <c r="U37" s="711" t="e">
        <f t="shared" si="13"/>
        <v>#N/A</v>
      </c>
      <c r="V37" s="710" t="s">
        <v>21</v>
      </c>
      <c r="W37" s="711" t="e">
        <f t="shared" si="14"/>
        <v>#N/A</v>
      </c>
      <c r="X37" s="712"/>
      <c r="Y37" s="3523"/>
      <c r="Z37" s="55" t="str">
        <f t="shared" si="18"/>
        <v>成新度</v>
      </c>
      <c r="AA37" s="713" t="e">
        <f t="shared" si="15"/>
        <v>#N/A</v>
      </c>
      <c r="AB37" s="713" t="e">
        <f t="shared" si="16"/>
        <v>#N/A</v>
      </c>
      <c r="AC37" s="713" t="e">
        <f t="shared" si="17"/>
        <v>#N/A</v>
      </c>
    </row>
    <row r="38" spans="1:29" ht="15">
      <c r="A38" s="431"/>
      <c r="B38" s="381" t="s">
        <v>2333</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521" t="s">
        <v>2327</v>
      </c>
      <c r="Q38" s="1506" t="str">
        <f t="shared" si="11"/>
        <v>物业管理</v>
      </c>
      <c r="R38" s="714" t="s">
        <v>21</v>
      </c>
      <c r="S38" s="715">
        <f t="shared" si="12"/>
        <v>100</v>
      </c>
      <c r="T38" s="714" t="s">
        <v>21</v>
      </c>
      <c r="U38" s="715">
        <f t="shared" si="13"/>
        <v>100</v>
      </c>
      <c r="V38" s="714" t="s">
        <v>21</v>
      </c>
      <c r="W38" s="715">
        <f t="shared" si="14"/>
        <v>100</v>
      </c>
      <c r="X38" s="1509"/>
      <c r="Y38" s="3523" t="s">
        <v>2327</v>
      </c>
      <c r="Z38" s="1510" t="str">
        <f t="shared" si="18"/>
        <v>物业管理</v>
      </c>
      <c r="AA38" s="1507">
        <f t="shared" si="15"/>
        <v>1</v>
      </c>
      <c r="AB38" s="1507">
        <f t="shared" si="16"/>
        <v>1</v>
      </c>
      <c r="AC38" s="1507">
        <f t="shared" si="17"/>
        <v>1</v>
      </c>
    </row>
    <row r="39" spans="1:29" ht="15">
      <c r="A39" s="431"/>
      <c r="B39" s="381" t="s">
        <v>2334</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521"/>
      <c r="Q39" s="1506" t="str">
        <f t="shared" si="11"/>
        <v>市政基础设施</v>
      </c>
      <c r="R39" s="714" t="s">
        <v>21</v>
      </c>
      <c r="S39" s="715">
        <f t="shared" si="12"/>
        <v>100</v>
      </c>
      <c r="T39" s="714" t="s">
        <v>21</v>
      </c>
      <c r="U39" s="715">
        <f t="shared" si="13"/>
        <v>100</v>
      </c>
      <c r="V39" s="714" t="s">
        <v>21</v>
      </c>
      <c r="W39" s="715">
        <f t="shared" si="14"/>
        <v>100</v>
      </c>
      <c r="X39" s="1509"/>
      <c r="Y39" s="3523"/>
      <c r="Z39" s="1510" t="str">
        <f t="shared" si="18"/>
        <v>市政基础设施</v>
      </c>
      <c r="AA39" s="1507">
        <f t="shared" si="15"/>
        <v>1</v>
      </c>
      <c r="AB39" s="1507">
        <f t="shared" si="16"/>
        <v>1</v>
      </c>
      <c r="AC39" s="1507">
        <f t="shared" si="17"/>
        <v>1</v>
      </c>
    </row>
    <row r="40" spans="1:29" ht="15">
      <c r="A40" s="431"/>
      <c r="B40" s="381" t="s">
        <v>2335</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521"/>
      <c r="Q40" s="1506" t="str">
        <f t="shared" si="11"/>
        <v>房型</v>
      </c>
      <c r="R40" s="714" t="s">
        <v>21</v>
      </c>
      <c r="S40" s="715">
        <f t="shared" si="12"/>
        <v>100</v>
      </c>
      <c r="T40" s="714" t="s">
        <v>21</v>
      </c>
      <c r="U40" s="715">
        <f t="shared" si="13"/>
        <v>100</v>
      </c>
      <c r="V40" s="714" t="s">
        <v>21</v>
      </c>
      <c r="W40" s="715">
        <f t="shared" si="14"/>
        <v>100</v>
      </c>
      <c r="X40" s="1509"/>
      <c r="Y40" s="3523"/>
      <c r="Z40" s="1510" t="str">
        <f t="shared" si="18"/>
        <v>房型</v>
      </c>
      <c r="AA40" s="1507">
        <f t="shared" si="15"/>
        <v>1</v>
      </c>
      <c r="AB40" s="1507">
        <f t="shared" si="16"/>
        <v>1</v>
      </c>
      <c r="AC40" s="1507">
        <f t="shared" si="17"/>
        <v>1</v>
      </c>
    </row>
    <row r="41" spans="1:29" s="430" customFormat="1" ht="28.5">
      <c r="A41" s="427"/>
      <c r="B41" s="381" t="s">
        <v>2336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521"/>
      <c r="Q41" s="716" t="str">
        <f t="shared" si="11"/>
        <v>单套/主力户型建筑面积</v>
      </c>
      <c r="R41" s="717" t="s">
        <v>21</v>
      </c>
      <c r="S41" s="718">
        <f t="shared" si="12"/>
        <v>100</v>
      </c>
      <c r="T41" s="717" t="s">
        <v>21</v>
      </c>
      <c r="U41" s="718">
        <f t="shared" si="13"/>
        <v>100</v>
      </c>
      <c r="V41" s="717" t="s">
        <v>21</v>
      </c>
      <c r="W41" s="718">
        <f t="shared" si="14"/>
        <v>100</v>
      </c>
      <c r="X41" s="719"/>
      <c r="Y41" s="3523"/>
      <c r="Z41" s="720" t="str">
        <f t="shared" si="18"/>
        <v>单套/主力户型建筑面积</v>
      </c>
      <c r="AA41" s="1507">
        <f t="shared" si="15"/>
        <v>1</v>
      </c>
      <c r="AB41" s="1507">
        <f t="shared" si="16"/>
        <v>1</v>
      </c>
      <c r="AC41" s="1507">
        <f t="shared" si="17"/>
        <v>1</v>
      </c>
    </row>
    <row r="42" spans="1:29" ht="15">
      <c r="A42" s="431"/>
      <c r="B42" s="381" t="s">
        <v>2337</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521"/>
      <c r="Q42" s="1506" t="str">
        <f t="shared" si="11"/>
        <v>内部装修</v>
      </c>
      <c r="R42" s="714" t="s">
        <v>21</v>
      </c>
      <c r="S42" s="715">
        <f t="shared" si="12"/>
        <v>100</v>
      </c>
      <c r="T42" s="714" t="s">
        <v>21</v>
      </c>
      <c r="U42" s="715">
        <f t="shared" si="13"/>
        <v>100</v>
      </c>
      <c r="V42" s="714" t="s">
        <v>21</v>
      </c>
      <c r="W42" s="715">
        <f t="shared" si="14"/>
        <v>100</v>
      </c>
      <c r="X42" s="1509"/>
      <c r="Y42" s="3523"/>
      <c r="Z42" s="1510" t="str">
        <f t="shared" si="18"/>
        <v>内部装修</v>
      </c>
      <c r="AA42" s="1507">
        <f t="shared" si="15"/>
        <v>1</v>
      </c>
      <c r="AB42" s="1507">
        <f t="shared" si="16"/>
        <v>1</v>
      </c>
      <c r="AC42" s="1507">
        <f t="shared" si="17"/>
        <v>1</v>
      </c>
    </row>
    <row r="43" spans="1:29" ht="15">
      <c r="A43" s="431"/>
      <c r="B43" s="381" t="s">
        <v>2338</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521"/>
      <c r="Q43" s="1506" t="str">
        <f t="shared" si="11"/>
        <v>内部装修维护情况</v>
      </c>
      <c r="R43" s="714" t="s">
        <v>21</v>
      </c>
      <c r="S43" s="715">
        <f t="shared" si="12"/>
        <v>100</v>
      </c>
      <c r="T43" s="714" t="s">
        <v>21</v>
      </c>
      <c r="U43" s="715">
        <f t="shared" si="13"/>
        <v>100</v>
      </c>
      <c r="V43" s="714" t="s">
        <v>21</v>
      </c>
      <c r="W43" s="715">
        <f t="shared" si="14"/>
        <v>100</v>
      </c>
      <c r="X43" s="1509"/>
      <c r="Y43" s="3523"/>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521"/>
      <c r="Q44" s="1497">
        <f t="shared" si="11"/>
        <v>111</v>
      </c>
      <c r="R44" s="710" t="s">
        <v>21</v>
      </c>
      <c r="S44" s="711">
        <f t="shared" si="12"/>
        <v>100</v>
      </c>
      <c r="T44" s="710" t="s">
        <v>21</v>
      </c>
      <c r="U44" s="711">
        <f t="shared" si="13"/>
        <v>100</v>
      </c>
      <c r="V44" s="710" t="s">
        <v>21</v>
      </c>
      <c r="W44" s="711">
        <f t="shared" si="14"/>
        <v>100</v>
      </c>
      <c r="X44" s="712"/>
      <c r="Y44" s="3523"/>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521"/>
      <c r="Q45" s="1506">
        <f t="shared" si="11"/>
        <v>111</v>
      </c>
      <c r="R45" s="714" t="s">
        <v>21</v>
      </c>
      <c r="S45" s="715">
        <f t="shared" si="12"/>
        <v>100</v>
      </c>
      <c r="T45" s="714" t="s">
        <v>21</v>
      </c>
      <c r="U45" s="715">
        <f t="shared" si="13"/>
        <v>100</v>
      </c>
      <c r="V45" s="714" t="s">
        <v>21</v>
      </c>
      <c r="W45" s="715">
        <f t="shared" si="14"/>
        <v>100</v>
      </c>
      <c r="X45" s="1509"/>
      <c r="Y45" s="3523"/>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522"/>
      <c r="Q46" s="1506">
        <f t="shared" si="11"/>
        <v>111</v>
      </c>
      <c r="R46" s="714" t="s">
        <v>20</v>
      </c>
      <c r="S46" s="715">
        <f t="shared" si="12"/>
        <v>100</v>
      </c>
      <c r="T46" s="714" t="s">
        <v>20</v>
      </c>
      <c r="U46" s="715">
        <f t="shared" si="13"/>
        <v>100</v>
      </c>
      <c r="V46" s="714" t="s">
        <v>20</v>
      </c>
      <c r="W46" s="715">
        <f t="shared" si="14"/>
        <v>100</v>
      </c>
      <c r="X46" s="1509"/>
      <c r="Y46" s="3524"/>
      <c r="Z46" s="1510">
        <f t="shared" si="18"/>
        <v>111</v>
      </c>
      <c r="AA46" s="1507">
        <f t="shared" si="15"/>
        <v>1</v>
      </c>
      <c r="AB46" s="1507">
        <f t="shared" si="16"/>
        <v>1</v>
      </c>
      <c r="AC46" s="1507">
        <f t="shared" si="17"/>
        <v>1</v>
      </c>
    </row>
    <row r="47" spans="1:29" ht="15">
      <c r="A47" s="438" t="s">
        <v>2339</v>
      </c>
      <c r="B47" s="439"/>
      <c r="C47" s="1288" t="s">
        <v>19</v>
      </c>
      <c r="D47" s="1289"/>
      <c r="E47" s="1290"/>
      <c r="F47" s="1291"/>
      <c r="G47" s="1292"/>
      <c r="H47" s="1293"/>
      <c r="I47" s="1290"/>
      <c r="J47" s="1293"/>
      <c r="K47" s="2070"/>
      <c r="L47" s="2923"/>
      <c r="M47" s="2924"/>
      <c r="N47" s="2915"/>
      <c r="O47" s="2924"/>
      <c r="P47" s="3516" t="str">
        <f>A47</f>
        <v>成交单价（元/平方米）</v>
      </c>
      <c r="Q47" s="3516"/>
      <c r="R47" s="3517">
        <f>E47</f>
        <v>0</v>
      </c>
      <c r="S47" s="3517"/>
      <c r="T47" s="3517">
        <f>G47</f>
        <v>0</v>
      </c>
      <c r="U47" s="3517"/>
      <c r="V47" s="3517">
        <f>I47</f>
        <v>0</v>
      </c>
      <c r="W47" s="3517"/>
      <c r="X47" s="699"/>
      <c r="Y47" s="721"/>
      <c r="Z47" s="699"/>
      <c r="AA47" s="699"/>
      <c r="AB47" s="699"/>
      <c r="AC47" s="699"/>
    </row>
    <row r="48" spans="1:29" ht="15.75" thickBot="1">
      <c r="A48" s="445" t="s">
        <v>2340</v>
      </c>
      <c r="B48" s="446"/>
      <c r="C48" s="1294" t="e">
        <f>R49</f>
        <v>#DIV/0!</v>
      </c>
      <c r="D48" s="2508" t="s">
        <v>2822</v>
      </c>
      <c r="E48" s="1295" t="e">
        <f>R48</f>
        <v>#DIV/0!</v>
      </c>
      <c r="F48" s="2509"/>
      <c r="G48" s="1294" t="e">
        <f>T48</f>
        <v>#DIV/0!</v>
      </c>
      <c r="H48" s="2509"/>
      <c r="I48" s="1295" t="e">
        <f>V48</f>
        <v>#DIV/0!</v>
      </c>
      <c r="J48" s="2509"/>
      <c r="K48" s="2510">
        <f>F48+H48+J48</f>
        <v>0</v>
      </c>
      <c r="L48" s="2923"/>
      <c r="M48" s="2924"/>
      <c r="N48" s="2924"/>
      <c r="O48" s="2924"/>
      <c r="P48" s="3516" t="str">
        <f>A48</f>
        <v>比较价值（元/平方米）</v>
      </c>
      <c r="Q48" s="3516"/>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699"/>
      <c r="Y48" s="699"/>
      <c r="Z48" s="699"/>
      <c r="AA48" s="699"/>
      <c r="AB48" s="699"/>
      <c r="AC48" s="699"/>
    </row>
    <row r="49" spans="1:29" ht="15.75" thickBot="1">
      <c r="A49" s="449" t="s">
        <v>2341</v>
      </c>
      <c r="B49" s="450"/>
      <c r="C49" s="1296" t="e">
        <f>R49</f>
        <v>#DIV/0!</v>
      </c>
      <c r="D49" s="1297"/>
      <c r="E49" s="1297"/>
      <c r="F49" s="1297"/>
      <c r="G49" s="1297"/>
      <c r="H49" s="1297"/>
      <c r="I49" s="1297"/>
      <c r="J49" s="1297"/>
      <c r="K49" s="2071"/>
      <c r="L49" s="2923"/>
      <c r="M49" s="2924"/>
      <c r="N49" s="2924"/>
      <c r="O49" s="2924"/>
      <c r="P49" s="3513" t="str">
        <f>A49</f>
        <v>估价对象XX用房的比较价值（楼面单价，元/平方米）</v>
      </c>
      <c r="Q49" s="3514"/>
      <c r="R49" s="3515" t="e">
        <f>IF(F1="售价",ROUND(IF(D48="简单平均",AVERAGE(R48:V48),R48*F48+T48*H48+V48*J48),0),ROUND(IF(D48="简单平均",AVERAGE(R48:V48),R48*F48+T48*H48+V48*J48),1))</f>
        <v>#DIV/0!</v>
      </c>
      <c r="S49" s="3515"/>
      <c r="T49" s="3515"/>
      <c r="U49" s="3515"/>
      <c r="V49" s="3515"/>
      <c r="W49" s="3515"/>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2345</v>
      </c>
      <c r="B57" s="699"/>
      <c r="C57" s="704"/>
      <c r="D57" s="704"/>
      <c r="E57" s="704"/>
      <c r="F57" s="705"/>
      <c r="G57" s="705"/>
      <c r="H57" s="704"/>
      <c r="I57" s="704"/>
      <c r="J57" s="704"/>
      <c r="K57" s="1072"/>
      <c r="L57" s="1073"/>
      <c r="M57" s="1071"/>
      <c r="N57" s="1071"/>
      <c r="O57" s="1071"/>
      <c r="P57" s="2074"/>
      <c r="Q57" s="461"/>
    </row>
    <row r="58" spans="1:29" s="465" customFormat="1" ht="15">
      <c r="A58" s="462" t="s">
        <v>2346</v>
      </c>
      <c r="B58" s="463"/>
      <c r="C58" s="1320" t="str">
        <f>YEAR(C7)&amp;"-"&amp;MONTH(C7)</f>
        <v>1900-1</v>
      </c>
      <c r="D58" s="1319" t="e">
        <f>EDATE(C58,-1)</f>
        <v>#NUM!</v>
      </c>
      <c r="E58" s="1319" t="e">
        <f>EDATE(D58,-1)</f>
        <v>#NUM!</v>
      </c>
      <c r="F58" s="1319" t="e">
        <f t="shared" ref="F58:O58" si="19">EDATE(E58,-1)</f>
        <v>#NUM!</v>
      </c>
      <c r="G58" s="1319" t="e">
        <f t="shared" si="19"/>
        <v>#NUM!</v>
      </c>
      <c r="H58" s="1319" t="e">
        <f t="shared" si="19"/>
        <v>#NUM!</v>
      </c>
      <c r="I58" s="1319" t="e">
        <f t="shared" si="19"/>
        <v>#NUM!</v>
      </c>
      <c r="J58" s="1319" t="e">
        <f t="shared" si="19"/>
        <v>#NUM!</v>
      </c>
      <c r="K58" s="1319" t="e">
        <f t="shared" si="19"/>
        <v>#NUM!</v>
      </c>
      <c r="L58" s="1319" t="e">
        <f t="shared" si="19"/>
        <v>#NUM!</v>
      </c>
      <c r="M58" s="1319" t="e">
        <f t="shared" si="19"/>
        <v>#NUM!</v>
      </c>
      <c r="N58" s="1319" t="e">
        <f t="shared" si="19"/>
        <v>#NUM!</v>
      </c>
      <c r="O58" s="1319" t="e">
        <f t="shared" si="19"/>
        <v>#NUM!</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2347</v>
      </c>
      <c r="B60" s="473"/>
      <c r="C60" s="474"/>
      <c r="D60" s="475"/>
      <c r="E60" s="475"/>
      <c r="F60" s="475"/>
      <c r="G60" s="475"/>
      <c r="H60" s="475"/>
      <c r="I60" s="475"/>
      <c r="J60" s="475"/>
      <c r="K60" s="475"/>
      <c r="L60" s="475"/>
      <c r="M60" s="476"/>
      <c r="N60" s="475"/>
      <c r="O60" s="476"/>
      <c r="P60" s="2076"/>
      <c r="Q60" s="461"/>
    </row>
    <row r="61" spans="1:29" s="113" customFormat="1" ht="15">
      <c r="A61" s="478" t="s">
        <v>2348</v>
      </c>
      <c r="B61" s="467"/>
      <c r="C61" s="479" t="s">
        <v>2349</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2350</v>
      </c>
      <c r="B63" s="485" t="s">
        <v>2316</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2319</v>
      </c>
      <c r="C65" s="496" t="s">
        <v>2351</v>
      </c>
      <c r="D65" s="496" t="s">
        <v>2352</v>
      </c>
      <c r="E65" s="496" t="s">
        <v>2353</v>
      </c>
      <c r="F65" s="496" t="s">
        <v>2354</v>
      </c>
      <c r="G65" s="496" t="s">
        <v>2355</v>
      </c>
      <c r="H65" s="496" t="s">
        <v>2356</v>
      </c>
      <c r="I65" s="496" t="s">
        <v>2357</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2320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2321</v>
      </c>
      <c r="B76" s="485" t="s">
        <v>2358</v>
      </c>
      <c r="C76" s="530" t="s">
        <v>2359</v>
      </c>
      <c r="D76" s="530" t="s">
        <v>2360</v>
      </c>
      <c r="E76" s="530" t="s">
        <v>2361</v>
      </c>
      <c r="F76" s="530" t="s">
        <v>2362</v>
      </c>
      <c r="G76" s="530" t="s">
        <v>2363</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2364</v>
      </c>
      <c r="C78" s="535" t="s">
        <v>2359</v>
      </c>
      <c r="D78" s="535" t="s">
        <v>2360</v>
      </c>
      <c r="E78" s="535" t="s">
        <v>2361</v>
      </c>
      <c r="F78" s="535" t="s">
        <v>2362</v>
      </c>
      <c r="G78" s="535" t="s">
        <v>2363</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2365</v>
      </c>
      <c r="C80" s="535" t="s">
        <v>2359</v>
      </c>
      <c r="D80" s="535" t="s">
        <v>2360</v>
      </c>
      <c r="E80" s="535" t="s">
        <v>2361</v>
      </c>
      <c r="F80" s="535" t="s">
        <v>2362</v>
      </c>
      <c r="G80" s="535" t="s">
        <v>2363</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1887</v>
      </c>
      <c r="C82" s="496" t="s">
        <v>2366</v>
      </c>
      <c r="D82" s="496" t="s">
        <v>2367</v>
      </c>
      <c r="E82" s="496" t="s">
        <v>2368</v>
      </c>
      <c r="F82" s="496" t="s">
        <v>2369</v>
      </c>
      <c r="G82" s="496" t="s">
        <v>2370</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2371</v>
      </c>
      <c r="C84" s="535" t="s">
        <v>2359</v>
      </c>
      <c r="D84" s="535" t="s">
        <v>2360</v>
      </c>
      <c r="E84" s="535" t="s">
        <v>2361</v>
      </c>
      <c r="F84" s="535" t="s">
        <v>2362</v>
      </c>
      <c r="G84" s="535" t="s">
        <v>2363</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2372</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2373</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2325</v>
      </c>
      <c r="B100" s="485" t="s">
        <v>2374</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2376</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2377</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2378</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2379</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2380</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2381</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2336</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2382</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2383</v>
      </c>
      <c r="C124" s="535" t="s">
        <v>2359</v>
      </c>
      <c r="D124" s="535" t="s">
        <v>2360</v>
      </c>
      <c r="E124" s="535" t="s">
        <v>2361</v>
      </c>
      <c r="F124" s="535" t="s">
        <v>2362</v>
      </c>
      <c r="G124" s="535" t="s">
        <v>2363</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2384</v>
      </c>
    </row>
    <row r="137" spans="1:17" ht="15">
      <c r="B137" s="2086" t="s">
        <v>2385</v>
      </c>
      <c r="C137" s="2087"/>
      <c r="D137" s="2087"/>
      <c r="E137" s="2087"/>
      <c r="F137" s="2087"/>
      <c r="G137" s="2088"/>
      <c r="H137" s="2089"/>
      <c r="I137" s="2090" t="s">
        <v>2386</v>
      </c>
      <c r="J137" s="2087"/>
      <c r="K137" s="2091"/>
    </row>
    <row r="138" spans="1:17" ht="15">
      <c r="B138" s="2092"/>
      <c r="C138" s="142" t="s">
        <v>2387</v>
      </c>
      <c r="D138" s="142" t="s">
        <v>2388</v>
      </c>
      <c r="E138" s="2093" t="s">
        <v>2389</v>
      </c>
      <c r="F138" s="2094" t="s">
        <v>2390</v>
      </c>
      <c r="G138" s="142" t="s">
        <v>2388</v>
      </c>
      <c r="H138" s="143" t="s">
        <v>2389</v>
      </c>
      <c r="I138" s="2095"/>
      <c r="J138" s="142" t="s">
        <v>2391</v>
      </c>
      <c r="K138" s="143" t="s">
        <v>2392</v>
      </c>
    </row>
    <row r="139" spans="1:17" ht="15">
      <c r="B139" s="998">
        <v>6</v>
      </c>
      <c r="C139" s="999">
        <v>96</v>
      </c>
      <c r="D139" s="2096" t="s">
        <v>2393</v>
      </c>
      <c r="E139" s="1000">
        <v>100</v>
      </c>
      <c r="F139" s="1001">
        <v>102.5</v>
      </c>
      <c r="G139" s="2096" t="s">
        <v>2393</v>
      </c>
      <c r="H139" s="1002">
        <v>105</v>
      </c>
      <c r="I139" s="2097" t="s">
        <v>2394</v>
      </c>
      <c r="J139" s="999">
        <v>20</v>
      </c>
      <c r="K139" s="1003">
        <f>C145/(J139-2)</f>
        <v>4.0555555555555553E-3</v>
      </c>
    </row>
    <row r="140" spans="1:17" ht="15">
      <c r="B140" s="1004">
        <v>5</v>
      </c>
      <c r="C140" s="1005">
        <v>100</v>
      </c>
      <c r="D140" s="1005"/>
      <c r="E140" s="1006"/>
      <c r="F140" s="1007">
        <v>102</v>
      </c>
      <c r="G140" s="1005"/>
      <c r="H140" s="1008"/>
      <c r="I140" s="2098" t="s">
        <v>2395</v>
      </c>
      <c r="J140" s="277">
        <f>ROUNDUP((J139-1)/2,0)</f>
        <v>10</v>
      </c>
      <c r="K140" s="1009">
        <v>100</v>
      </c>
    </row>
    <row r="141" spans="1:17" ht="15">
      <c r="B141" s="1004">
        <v>4</v>
      </c>
      <c r="C141" s="1005">
        <v>102</v>
      </c>
      <c r="D141" s="1005"/>
      <c r="E141" s="1006"/>
      <c r="F141" s="1007">
        <v>101.5</v>
      </c>
      <c r="G141" s="1005"/>
      <c r="H141" s="1008"/>
      <c r="I141" s="2098" t="s">
        <v>2396</v>
      </c>
      <c r="J141" s="277">
        <v>1</v>
      </c>
      <c r="K141" s="1010">
        <f>ROUND(100+(J141-J140)*K139*100,1)</f>
        <v>96.4</v>
      </c>
    </row>
    <row r="142" spans="1:17" ht="15">
      <c r="B142" s="1004">
        <v>3</v>
      </c>
      <c r="C142" s="1005">
        <v>103</v>
      </c>
      <c r="D142" s="1005"/>
      <c r="E142" s="1006"/>
      <c r="F142" s="1007">
        <v>101</v>
      </c>
      <c r="G142" s="1005"/>
      <c r="H142" s="1008"/>
      <c r="I142" s="2098" t="s">
        <v>2397</v>
      </c>
      <c r="J142" s="277">
        <f>J139</f>
        <v>20</v>
      </c>
      <c r="K142" s="1011">
        <v>95</v>
      </c>
    </row>
    <row r="143" spans="1:17" ht="15">
      <c r="B143" s="1004">
        <v>2</v>
      </c>
      <c r="C143" s="1005">
        <v>100</v>
      </c>
      <c r="D143" s="1005"/>
      <c r="E143" s="1006"/>
      <c r="F143" s="1007">
        <v>100.5</v>
      </c>
      <c r="G143" s="1005"/>
      <c r="H143" s="1008"/>
      <c r="I143" s="2098" t="s">
        <v>2398</v>
      </c>
      <c r="J143" s="1005">
        <v>15</v>
      </c>
      <c r="K143" s="1010">
        <f>ROUND(100+(J143-J140)*K139*100,1)</f>
        <v>102</v>
      </c>
    </row>
    <row r="144" spans="1:17" ht="15">
      <c r="B144" s="1004">
        <v>1</v>
      </c>
      <c r="C144" s="1005">
        <v>98</v>
      </c>
      <c r="D144" s="2099" t="s">
        <v>2399</v>
      </c>
      <c r="E144" s="1006">
        <v>102</v>
      </c>
      <c r="F144" s="1012">
        <v>100</v>
      </c>
      <c r="G144" s="2099" t="s">
        <v>2399</v>
      </c>
      <c r="H144" s="1008">
        <v>105</v>
      </c>
      <c r="I144" s="2098" t="s">
        <v>2398</v>
      </c>
      <c r="J144" s="1005">
        <v>18</v>
      </c>
      <c r="K144" s="1010">
        <f>ROUND(100+(J144-J140)*K139*100,1)</f>
        <v>103.2</v>
      </c>
    </row>
    <row r="145" spans="2:11" ht="15.75" thickBot="1">
      <c r="B145" s="2100" t="s">
        <v>2400</v>
      </c>
      <c r="C145" s="1013">
        <f>ROUND(MAX(C139:C144)/MIN(C139:C144)-1,3)</f>
        <v>7.2999999999999995E-2</v>
      </c>
      <c r="D145" s="1014"/>
      <c r="E145" s="1014"/>
      <c r="F145" s="2101" t="s">
        <v>2401</v>
      </c>
      <c r="G145" s="2102"/>
      <c r="H145" s="2103"/>
      <c r="I145" s="2104" t="s">
        <v>2398</v>
      </c>
      <c r="J145" s="1015">
        <v>8</v>
      </c>
      <c r="K145" s="1016">
        <f>ROUND(100+(J145-J140)*K139*100,1)</f>
        <v>99.2</v>
      </c>
    </row>
    <row r="147" spans="2:11">
      <c r="B147" s="2085" t="s">
        <v>2402</v>
      </c>
    </row>
    <row r="148" spans="2:11">
      <c r="B148" s="2085" t="s">
        <v>2403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2290</v>
      </c>
      <c r="B1" s="2034" t="s">
        <v>2404</v>
      </c>
      <c r="C1" s="1378" t="s">
        <v>2292</v>
      </c>
      <c r="D1" s="1365"/>
      <c r="E1" s="2513"/>
      <c r="F1" s="2035"/>
      <c r="G1" s="1375" t="s">
        <v>2405</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2089</v>
      </c>
      <c r="B2" s="1298" t="e">
        <f ca="1">IF(C2="——",ROUND(C49*D3/10000,0),ROUND(C49*D3/10000,0)-D2)</f>
        <v>#DIV/0!</v>
      </c>
      <c r="C2" s="2037"/>
      <c r="D2" s="1247" t="e">
        <f ca="1">SUMIF(INDIRECT("'"&amp;F2&amp;"'"&amp;"!A:A"),"承租人权益价值",INDIRECT("'"&amp;F2&amp;"'"&amp;"!c:c"))</f>
        <v>#REF!</v>
      </c>
      <c r="E2" s="2038" t="s">
        <v>2090</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2091</v>
      </c>
      <c r="B3" s="566" t="e">
        <f ca="1">IF(C2="——",C49,ROUND(B2*10000/D3,0))</f>
        <v>#DIV/0!</v>
      </c>
      <c r="C3" s="360" t="s">
        <v>2406</v>
      </c>
      <c r="D3" s="359">
        <f>IF(D1="",'数据-汇总表'!E3,SUMIF('数据-汇总表'!$C19:$C33,D1,'数据-汇总表'!$E19:$E33))</f>
        <v>0</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2407</v>
      </c>
      <c r="B4" s="362"/>
      <c r="C4" s="3499" t="s">
        <v>2408</v>
      </c>
      <c r="D4" s="3500"/>
      <c r="E4" s="3501" t="s">
        <v>2409</v>
      </c>
      <c r="F4" s="3502"/>
      <c r="G4" s="3499" t="s">
        <v>2410</v>
      </c>
      <c r="H4" s="3500"/>
      <c r="I4" s="3499" t="s">
        <v>2411</v>
      </c>
      <c r="J4" s="3500"/>
      <c r="K4" s="567" t="s">
        <v>2412</v>
      </c>
      <c r="L4" s="2914"/>
      <c r="M4" s="2915"/>
      <c r="N4" s="2915"/>
      <c r="O4" s="2915"/>
      <c r="P4" s="3503" t="s">
        <v>2413</v>
      </c>
      <c r="Q4" s="3504"/>
      <c r="R4" s="3486" t="s">
        <v>2409</v>
      </c>
      <c r="S4" s="3487"/>
      <c r="T4" s="3486" t="s">
        <v>2410</v>
      </c>
      <c r="U4" s="3487"/>
      <c r="V4" s="3511" t="s">
        <v>2411</v>
      </c>
      <c r="W4" s="3511"/>
      <c r="X4" s="1509"/>
      <c r="Y4" s="3486" t="s">
        <v>2413</v>
      </c>
      <c r="Z4" s="3487"/>
      <c r="AA4" s="3481" t="s">
        <v>2409</v>
      </c>
      <c r="AB4" s="3511" t="s">
        <v>2410</v>
      </c>
      <c r="AC4" s="3481" t="s">
        <v>2411</v>
      </c>
    </row>
    <row r="5" spans="1:29" ht="15">
      <c r="A5" s="364"/>
      <c r="B5" s="365"/>
      <c r="C5" s="3492" t="s">
        <v>2304</v>
      </c>
      <c r="D5" s="3493"/>
      <c r="E5" s="3490" t="s">
        <v>2305</v>
      </c>
      <c r="F5" s="3491"/>
      <c r="G5" s="3492" t="s">
        <v>2306</v>
      </c>
      <c r="H5" s="3493"/>
      <c r="I5" s="3492" t="s">
        <v>2307</v>
      </c>
      <c r="J5" s="3493"/>
      <c r="K5" s="567"/>
      <c r="L5" s="2914"/>
      <c r="M5" s="2915"/>
      <c r="N5" s="2915"/>
      <c r="O5" s="2915"/>
      <c r="P5" s="3505"/>
      <c r="Q5" s="3506"/>
      <c r="R5" s="3488"/>
      <c r="S5" s="3489"/>
      <c r="T5" s="3488"/>
      <c r="U5" s="3489"/>
      <c r="V5" s="3511"/>
      <c r="W5" s="3511"/>
      <c r="X5" s="1509"/>
      <c r="Y5" s="3488"/>
      <c r="Z5" s="3489"/>
      <c r="AA5" s="3482"/>
      <c r="AB5" s="3511"/>
      <c r="AC5" s="3482"/>
    </row>
    <row r="6" spans="1:29" ht="15.75" thickBot="1">
      <c r="A6" s="366"/>
      <c r="B6" s="367"/>
      <c r="C6" s="3494" t="s">
        <v>2308</v>
      </c>
      <c r="D6" s="3495"/>
      <c r="E6" s="3496" t="s">
        <v>2308</v>
      </c>
      <c r="F6" s="3497"/>
      <c r="G6" s="3494" t="s">
        <v>2308</v>
      </c>
      <c r="H6" s="3495"/>
      <c r="I6" s="3494" t="s">
        <v>2308</v>
      </c>
      <c r="J6" s="3495"/>
      <c r="K6" s="567" t="s">
        <v>2309</v>
      </c>
      <c r="L6" s="2914"/>
      <c r="M6" s="2915"/>
      <c r="N6" s="2915"/>
      <c r="O6" s="2915"/>
      <c r="P6" s="3507"/>
      <c r="Q6" s="3508"/>
      <c r="R6" s="3488"/>
      <c r="S6" s="3489"/>
      <c r="T6" s="3509"/>
      <c r="U6" s="3510"/>
      <c r="V6" s="3511"/>
      <c r="W6" s="3511"/>
      <c r="X6" s="1509"/>
      <c r="Y6" s="3509"/>
      <c r="Z6" s="3510"/>
      <c r="AA6" s="3483"/>
      <c r="AB6" s="3511"/>
      <c r="AC6" s="3483"/>
    </row>
    <row r="7" spans="1:29" s="113" customFormat="1" ht="15.75" thickBot="1">
      <c r="A7" s="368" t="s">
        <v>2310</v>
      </c>
      <c r="B7" s="369"/>
      <c r="C7" s="370">
        <f>'数据-取费表'!B2</f>
        <v>0</v>
      </c>
      <c r="D7" s="371">
        <v>100</v>
      </c>
      <c r="E7" s="372"/>
      <c r="F7" s="373">
        <f>SUMIF(58:58,YEAR(E7)&amp;"-"&amp;MONTH(E7),59:59)</f>
        <v>100</v>
      </c>
      <c r="G7" s="372"/>
      <c r="H7" s="371">
        <f>SUMIF(58:58,YEAR(G7)&amp;"-"&amp;MONTH(G7),59:59)</f>
        <v>100</v>
      </c>
      <c r="I7" s="372"/>
      <c r="J7" s="371">
        <f>SUMIF(58:58,YEAR(I7)&amp;"-"&amp;MONTH(I7),59:59)</f>
        <v>100</v>
      </c>
      <c r="K7" s="568"/>
      <c r="L7" s="2916"/>
      <c r="M7" s="2917"/>
      <c r="N7" s="2917"/>
      <c r="O7" s="2917"/>
      <c r="P7" s="3484" t="s">
        <v>2311</v>
      </c>
      <c r="Q7" s="3512"/>
      <c r="R7" s="710" t="s">
        <v>17</v>
      </c>
      <c r="S7" s="711">
        <f t="shared" ref="S7:S15" si="0">F7</f>
        <v>100</v>
      </c>
      <c r="T7" s="710" t="s">
        <v>17</v>
      </c>
      <c r="U7" s="711">
        <f t="shared" ref="U7:U15" si="1">H7</f>
        <v>100</v>
      </c>
      <c r="V7" s="710" t="s">
        <v>17</v>
      </c>
      <c r="W7" s="711">
        <f t="shared" ref="W7:W15" si="2">J7</f>
        <v>100</v>
      </c>
      <c r="X7" s="712"/>
      <c r="Y7" s="3484" t="s">
        <v>2311</v>
      </c>
      <c r="Z7" s="3485"/>
      <c r="AA7" s="713">
        <f>D7/F7</f>
        <v>1</v>
      </c>
      <c r="AB7" s="713">
        <f>D7/H7</f>
        <v>1</v>
      </c>
      <c r="AC7" s="713">
        <f>D7/J7</f>
        <v>1</v>
      </c>
    </row>
    <row r="8" spans="1:29" s="113" customFormat="1" ht="15.75" thickBot="1">
      <c r="A8" s="368" t="s">
        <v>2312</v>
      </c>
      <c r="B8" s="369"/>
      <c r="C8" s="374" t="s">
        <v>2414</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84" t="s">
        <v>2314</v>
      </c>
      <c r="Q8" s="3485"/>
      <c r="R8" s="710" t="s">
        <v>17</v>
      </c>
      <c r="S8" s="711">
        <f t="shared" si="0"/>
        <v>0</v>
      </c>
      <c r="T8" s="710" t="s">
        <v>17</v>
      </c>
      <c r="U8" s="711">
        <f t="shared" si="1"/>
        <v>0</v>
      </c>
      <c r="V8" s="710" t="s">
        <v>17</v>
      </c>
      <c r="W8" s="711">
        <f t="shared" si="2"/>
        <v>0</v>
      </c>
      <c r="X8" s="712"/>
      <c r="Y8" s="3484" t="s">
        <v>2314</v>
      </c>
      <c r="Z8" s="3485"/>
      <c r="AA8" s="713" t="e">
        <f t="shared" ref="AA8:AA46" si="3">D8/F8</f>
        <v>#DIV/0!</v>
      </c>
      <c r="AB8" s="713" t="e">
        <f t="shared" ref="AB8:AB46" si="4">D8/H8</f>
        <v>#DIV/0!</v>
      </c>
      <c r="AC8" s="713" t="e">
        <f t="shared" ref="AC8:AC46" si="5">D8/J8</f>
        <v>#DIV/0!</v>
      </c>
    </row>
    <row r="9" spans="1:29" s="113" customFormat="1">
      <c r="A9" s="375" t="s">
        <v>2315</v>
      </c>
      <c r="B9" s="67" t="s">
        <v>2316</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98" t="s">
        <v>2317</v>
      </c>
      <c r="Q9" s="1497" t="str">
        <f t="shared" ref="Q9:Q15" si="6">B9</f>
        <v>用途</v>
      </c>
      <c r="R9" s="710" t="s">
        <v>17</v>
      </c>
      <c r="S9" s="711">
        <f t="shared" si="0"/>
        <v>100</v>
      </c>
      <c r="T9" s="710" t="s">
        <v>17</v>
      </c>
      <c r="U9" s="711">
        <f t="shared" si="1"/>
        <v>100</v>
      </c>
      <c r="V9" s="710" t="s">
        <v>17</v>
      </c>
      <c r="W9" s="711">
        <f t="shared" si="2"/>
        <v>100</v>
      </c>
      <c r="X9" s="712"/>
      <c r="Y9" s="3428" t="s">
        <v>2318</v>
      </c>
      <c r="Z9" s="55" t="str">
        <f t="shared" ref="Z9:Z15" si="7">Q9</f>
        <v>用途</v>
      </c>
      <c r="AA9" s="713">
        <f t="shared" si="3"/>
        <v>1</v>
      </c>
      <c r="AB9" s="713">
        <f t="shared" si="4"/>
        <v>1</v>
      </c>
      <c r="AC9" s="713">
        <f t="shared" si="5"/>
        <v>1</v>
      </c>
    </row>
    <row r="10" spans="1:29" s="386" customFormat="1" ht="27">
      <c r="A10" s="380"/>
      <c r="B10" s="381" t="s">
        <v>2319</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98"/>
      <c r="Q10" s="149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381" t="s">
        <v>2320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98"/>
      <c r="Q11" s="1497"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98"/>
      <c r="Q12" s="149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98"/>
      <c r="Q13" s="149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98"/>
      <c r="Q14" s="1497">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713">
        <f t="shared" si="5"/>
        <v>1</v>
      </c>
    </row>
    <row r="15" spans="1:29" ht="71.25">
      <c r="A15" s="399" t="s">
        <v>2321</v>
      </c>
      <c r="B15" s="65" t="s">
        <v>2415</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525" t="s">
        <v>2322</v>
      </c>
      <c r="Q15" s="1506" t="str">
        <f t="shared" si="6"/>
        <v>商业繁华度</v>
      </c>
      <c r="R15" s="714" t="s">
        <v>17</v>
      </c>
      <c r="S15" s="715">
        <f t="shared" si="0"/>
        <v>100</v>
      </c>
      <c r="T15" s="714" t="s">
        <v>17</v>
      </c>
      <c r="U15" s="715">
        <f t="shared" si="1"/>
        <v>100</v>
      </c>
      <c r="V15" s="714" t="s">
        <v>17</v>
      </c>
      <c r="W15" s="715">
        <f t="shared" si="2"/>
        <v>100</v>
      </c>
      <c r="X15" s="1509"/>
      <c r="Y15" s="3518" t="s">
        <v>2322</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526"/>
      <c r="Q16" s="1506"/>
      <c r="R16" s="714"/>
      <c r="S16" s="715"/>
      <c r="T16" s="714"/>
      <c r="U16" s="715"/>
      <c r="V16" s="714"/>
      <c r="W16" s="715"/>
      <c r="X16" s="1509"/>
      <c r="Y16" s="3519"/>
      <c r="Z16" s="1510"/>
      <c r="AA16" s="1507">
        <v>1</v>
      </c>
      <c r="AB16" s="1507">
        <v>1</v>
      </c>
      <c r="AC16" s="1507">
        <v>1</v>
      </c>
    </row>
    <row r="17" spans="1:29" ht="85.5">
      <c r="A17" s="387"/>
      <c r="B17" s="410" t="s">
        <v>1886</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526"/>
      <c r="Q17" s="1506" t="str">
        <f>B17</f>
        <v>交通便捷度</v>
      </c>
      <c r="R17" s="714" t="s">
        <v>17</v>
      </c>
      <c r="S17" s="715">
        <f>F17</f>
        <v>100</v>
      </c>
      <c r="T17" s="714" t="s">
        <v>17</v>
      </c>
      <c r="U17" s="715">
        <f>H17</f>
        <v>100</v>
      </c>
      <c r="V17" s="714" t="s">
        <v>17</v>
      </c>
      <c r="W17" s="715">
        <f>J17</f>
        <v>100</v>
      </c>
      <c r="X17" s="1509"/>
      <c r="Y17" s="3519"/>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526"/>
      <c r="Q18" s="1506"/>
      <c r="R18" s="714"/>
      <c r="S18" s="715"/>
      <c r="T18" s="714"/>
      <c r="U18" s="715"/>
      <c r="V18" s="714"/>
      <c r="W18" s="715"/>
      <c r="X18" s="1509"/>
      <c r="Y18" s="3519"/>
      <c r="Z18" s="1510"/>
      <c r="AA18" s="1507">
        <v>1</v>
      </c>
      <c r="AB18" s="1507">
        <v>1</v>
      </c>
      <c r="AC18" s="1507">
        <v>1</v>
      </c>
    </row>
    <row r="19" spans="1:29" ht="42.75">
      <c r="A19" s="387"/>
      <c r="B19" s="410" t="s">
        <v>2416</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526"/>
      <c r="Q19" s="1506" t="str">
        <f>B19</f>
        <v>公共配套设施</v>
      </c>
      <c r="R19" s="714" t="s">
        <v>17</v>
      </c>
      <c r="S19" s="715">
        <f>F19</f>
        <v>100</v>
      </c>
      <c r="T19" s="714" t="s">
        <v>17</v>
      </c>
      <c r="U19" s="715">
        <f>H19</f>
        <v>100</v>
      </c>
      <c r="V19" s="714" t="s">
        <v>17</v>
      </c>
      <c r="W19" s="715">
        <f>J19</f>
        <v>100</v>
      </c>
      <c r="X19" s="1509"/>
      <c r="Y19" s="3519"/>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526"/>
      <c r="Q20" s="1506"/>
      <c r="R20" s="714"/>
      <c r="S20" s="715"/>
      <c r="T20" s="714"/>
      <c r="U20" s="715"/>
      <c r="V20" s="714"/>
      <c r="W20" s="715"/>
      <c r="X20" s="1509"/>
      <c r="Y20" s="3519"/>
      <c r="Z20" s="1510"/>
      <c r="AA20" s="1507">
        <v>1</v>
      </c>
      <c r="AB20" s="1507">
        <v>1</v>
      </c>
      <c r="AC20" s="1507">
        <v>1</v>
      </c>
    </row>
    <row r="21" spans="1:29" ht="28.5">
      <c r="A21" s="387"/>
      <c r="B21" s="1265" t="s">
        <v>2417</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526"/>
      <c r="Q21" s="1506" t="str">
        <f>B21</f>
        <v>基础设施水平</v>
      </c>
      <c r="R21" s="714" t="s">
        <v>17</v>
      </c>
      <c r="S21" s="715">
        <f>F21</f>
        <v>100</v>
      </c>
      <c r="T21" s="714" t="s">
        <v>17</v>
      </c>
      <c r="U21" s="715">
        <f>H21</f>
        <v>100</v>
      </c>
      <c r="V21" s="714" t="s">
        <v>17</v>
      </c>
      <c r="W21" s="715">
        <f>J21</f>
        <v>100</v>
      </c>
      <c r="X21" s="1509"/>
      <c r="Y21" s="351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526"/>
      <c r="Q22" s="1506"/>
      <c r="R22" s="714"/>
      <c r="S22" s="715"/>
      <c r="T22" s="714"/>
      <c r="U22" s="715"/>
      <c r="V22" s="714"/>
      <c r="W22" s="715"/>
      <c r="X22" s="1509"/>
      <c r="Y22" s="3519"/>
      <c r="Z22" s="1510"/>
      <c r="AA22" s="1507">
        <v>1</v>
      </c>
      <c r="AB22" s="1507">
        <v>1</v>
      </c>
      <c r="AC22" s="1507">
        <v>1</v>
      </c>
    </row>
    <row r="23" spans="1:29" ht="57">
      <c r="A23" s="387"/>
      <c r="B23" s="410" t="s">
        <v>1888</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526"/>
      <c r="Q23" s="1506" t="str">
        <f>B23</f>
        <v>自然及人文环境</v>
      </c>
      <c r="R23" s="714" t="s">
        <v>17</v>
      </c>
      <c r="S23" s="715">
        <f>F23</f>
        <v>100</v>
      </c>
      <c r="T23" s="714" t="s">
        <v>17</v>
      </c>
      <c r="U23" s="715">
        <f>H23</f>
        <v>100</v>
      </c>
      <c r="V23" s="714" t="s">
        <v>17</v>
      </c>
      <c r="W23" s="715">
        <f>J23</f>
        <v>100</v>
      </c>
      <c r="X23" s="1509"/>
      <c r="Y23" s="3519"/>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526"/>
      <c r="Q24" s="1506"/>
      <c r="R24" s="714"/>
      <c r="S24" s="715"/>
      <c r="T24" s="714"/>
      <c r="U24" s="715"/>
      <c r="V24" s="714"/>
      <c r="W24" s="715"/>
      <c r="X24" s="1509"/>
      <c r="Y24" s="3519"/>
      <c r="Z24" s="1510"/>
      <c r="AA24" s="1507">
        <v>1</v>
      </c>
      <c r="AB24" s="1507">
        <v>1</v>
      </c>
      <c r="AC24" s="1507">
        <v>1</v>
      </c>
    </row>
    <row r="25" spans="1:29" ht="15">
      <c r="A25" s="387"/>
      <c r="B25" s="381" t="s">
        <v>2418</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526"/>
      <c r="Q25" s="1506" t="str">
        <f t="shared" ref="Q25:Q46" si="11">B25</f>
        <v>临街状况</v>
      </c>
      <c r="R25" s="714" t="s">
        <v>17</v>
      </c>
      <c r="S25" s="715">
        <f>F25</f>
        <v>100</v>
      </c>
      <c r="T25" s="714" t="s">
        <v>17</v>
      </c>
      <c r="U25" s="715">
        <f>H25</f>
        <v>100</v>
      </c>
      <c r="V25" s="714" t="s">
        <v>17</v>
      </c>
      <c r="W25" s="715">
        <f>J25</f>
        <v>100</v>
      </c>
      <c r="X25" s="1509"/>
      <c r="Y25" s="3519"/>
      <c r="Z25" s="1510" t="str">
        <f>Q25</f>
        <v>临街状况</v>
      </c>
      <c r="AA25" s="1507">
        <f t="shared" si="3"/>
        <v>1</v>
      </c>
      <c r="AB25" s="1507">
        <f t="shared" si="4"/>
        <v>1</v>
      </c>
      <c r="AC25" s="1507">
        <f t="shared" si="5"/>
        <v>1</v>
      </c>
    </row>
    <row r="26" spans="1:29" ht="15">
      <c r="A26" s="387"/>
      <c r="B26" s="1267" t="s">
        <v>2419</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526"/>
      <c r="Q26" s="1506" t="str">
        <f t="shared" si="11"/>
        <v>平面位置/可视性</v>
      </c>
      <c r="R26" s="714" t="s">
        <v>17</v>
      </c>
      <c r="S26" s="715">
        <f>F26</f>
        <v>100</v>
      </c>
      <c r="T26" s="714" t="s">
        <v>17</v>
      </c>
      <c r="U26" s="715">
        <f>H26</f>
        <v>100</v>
      </c>
      <c r="V26" s="714" t="s">
        <v>17</v>
      </c>
      <c r="W26" s="715">
        <f>J26</f>
        <v>100</v>
      </c>
      <c r="X26" s="1509"/>
      <c r="Y26" s="3519"/>
      <c r="Z26" s="1510" t="str">
        <f>Q26</f>
        <v>平面位置/可视性</v>
      </c>
      <c r="AA26" s="1507">
        <f t="shared" si="3"/>
        <v>1</v>
      </c>
      <c r="AB26" s="1507">
        <f t="shared" si="4"/>
        <v>1</v>
      </c>
      <c r="AC26" s="1507">
        <f t="shared" si="5"/>
        <v>1</v>
      </c>
    </row>
    <row r="27" spans="1:29" s="113" customFormat="1" ht="15">
      <c r="A27" s="390"/>
      <c r="B27" s="410" t="s">
        <v>2420</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526"/>
      <c r="Q27" s="1497" t="str">
        <f t="shared" si="11"/>
        <v>人流量</v>
      </c>
      <c r="R27" s="710" t="s">
        <v>17</v>
      </c>
      <c r="S27" s="711">
        <f>F27</f>
        <v>100</v>
      </c>
      <c r="T27" s="710" t="s">
        <v>17</v>
      </c>
      <c r="U27" s="711">
        <f>H27</f>
        <v>100</v>
      </c>
      <c r="V27" s="710" t="s">
        <v>17</v>
      </c>
      <c r="W27" s="711">
        <f>J27</f>
        <v>100</v>
      </c>
      <c r="X27" s="712"/>
      <c r="Y27" s="3519"/>
      <c r="Z27" s="55" t="str">
        <f>Q27</f>
        <v>人流量</v>
      </c>
      <c r="AA27" s="1507">
        <f>D27/F27</f>
        <v>1</v>
      </c>
      <c r="AB27" s="1507">
        <f>D27/H27</f>
        <v>1</v>
      </c>
      <c r="AC27" s="1507">
        <f>D27/J27</f>
        <v>1</v>
      </c>
    </row>
    <row r="28" spans="1:29" ht="15">
      <c r="A28" s="387"/>
      <c r="B28" s="381" t="s">
        <v>2421</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526"/>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519"/>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526"/>
      <c r="Q29" s="1506">
        <f t="shared" si="11"/>
        <v>111</v>
      </c>
      <c r="R29" s="714" t="s">
        <v>17</v>
      </c>
      <c r="S29" s="715">
        <f t="shared" si="12"/>
        <v>100</v>
      </c>
      <c r="T29" s="714" t="s">
        <v>17</v>
      </c>
      <c r="U29" s="715">
        <f t="shared" si="13"/>
        <v>100</v>
      </c>
      <c r="V29" s="714" t="s">
        <v>17</v>
      </c>
      <c r="W29" s="715">
        <f t="shared" si="14"/>
        <v>100</v>
      </c>
      <c r="X29" s="1509"/>
      <c r="Y29" s="3519"/>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526"/>
      <c r="Q30" s="1506">
        <f t="shared" si="11"/>
        <v>111</v>
      </c>
      <c r="R30" s="714" t="s">
        <v>17</v>
      </c>
      <c r="S30" s="715">
        <f t="shared" si="12"/>
        <v>100</v>
      </c>
      <c r="T30" s="714" t="s">
        <v>17</v>
      </c>
      <c r="U30" s="715">
        <f t="shared" si="13"/>
        <v>100</v>
      </c>
      <c r="V30" s="714" t="s">
        <v>17</v>
      </c>
      <c r="W30" s="715">
        <f t="shared" si="14"/>
        <v>100</v>
      </c>
      <c r="X30" s="1509"/>
      <c r="Y30" s="3519"/>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526"/>
      <c r="Q31" s="1506">
        <f t="shared" si="11"/>
        <v>111</v>
      </c>
      <c r="R31" s="714" t="s">
        <v>17</v>
      </c>
      <c r="S31" s="715">
        <f t="shared" si="12"/>
        <v>100</v>
      </c>
      <c r="T31" s="714" t="s">
        <v>17</v>
      </c>
      <c r="U31" s="715">
        <f t="shared" si="13"/>
        <v>100</v>
      </c>
      <c r="V31" s="714" t="s">
        <v>17</v>
      </c>
      <c r="W31" s="715">
        <f t="shared" si="14"/>
        <v>100</v>
      </c>
      <c r="X31" s="1509"/>
      <c r="Y31" s="3519"/>
      <c r="Z31" s="1510">
        <f t="shared" si="15"/>
        <v>111</v>
      </c>
      <c r="AA31" s="1507">
        <f t="shared" si="3"/>
        <v>1</v>
      </c>
      <c r="AB31" s="1507">
        <f t="shared" si="4"/>
        <v>1</v>
      </c>
      <c r="AC31" s="1507">
        <f t="shared" si="5"/>
        <v>1</v>
      </c>
    </row>
    <row r="32" spans="1:29" ht="15">
      <c r="A32" s="399" t="s">
        <v>2325</v>
      </c>
      <c r="B32" s="67" t="s">
        <v>2422</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520" t="s">
        <v>2327</v>
      </c>
      <c r="Q32" s="1506" t="str">
        <f t="shared" si="11"/>
        <v>商业类型</v>
      </c>
      <c r="R32" s="714" t="s">
        <v>17</v>
      </c>
      <c r="S32" s="715">
        <f t="shared" si="12"/>
        <v>100</v>
      </c>
      <c r="T32" s="714" t="s">
        <v>17</v>
      </c>
      <c r="U32" s="715">
        <f t="shared" si="13"/>
        <v>100</v>
      </c>
      <c r="V32" s="714" t="s">
        <v>17</v>
      </c>
      <c r="W32" s="715">
        <f t="shared" si="14"/>
        <v>100</v>
      </c>
      <c r="X32" s="1509"/>
      <c r="Y32" s="3523" t="s">
        <v>2327</v>
      </c>
      <c r="Z32" s="1510" t="str">
        <f t="shared" si="15"/>
        <v>商业类型</v>
      </c>
      <c r="AA32" s="1507">
        <f t="shared" si="3"/>
        <v>1</v>
      </c>
      <c r="AB32" s="1507">
        <f t="shared" si="4"/>
        <v>1</v>
      </c>
      <c r="AC32" s="1507">
        <f t="shared" si="5"/>
        <v>1</v>
      </c>
    </row>
    <row r="33" spans="1:29" s="430" customFormat="1" ht="15">
      <c r="A33" s="427"/>
      <c r="B33" s="381" t="s">
        <v>2328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521"/>
      <c r="Q33" s="716" t="str">
        <f t="shared" si="11"/>
        <v>项目建筑规模</v>
      </c>
      <c r="R33" s="717" t="s">
        <v>17</v>
      </c>
      <c r="S33" s="718" t="e">
        <f t="shared" si="12"/>
        <v>#N/A</v>
      </c>
      <c r="T33" s="717" t="s">
        <v>17</v>
      </c>
      <c r="U33" s="718" t="e">
        <f t="shared" si="13"/>
        <v>#N/A</v>
      </c>
      <c r="V33" s="717" t="s">
        <v>17</v>
      </c>
      <c r="W33" s="718" t="e">
        <f t="shared" si="14"/>
        <v>#N/A</v>
      </c>
      <c r="X33" s="719"/>
      <c r="Y33" s="3523"/>
      <c r="Z33" s="720" t="str">
        <f t="shared" si="15"/>
        <v>项目建筑规模</v>
      </c>
      <c r="AA33" s="1507" t="e">
        <f t="shared" si="3"/>
        <v>#N/A</v>
      </c>
      <c r="AB33" s="1507" t="e">
        <f t="shared" si="4"/>
        <v>#N/A</v>
      </c>
      <c r="AC33" s="1507" t="e">
        <f t="shared" si="5"/>
        <v>#N/A</v>
      </c>
    </row>
    <row r="34" spans="1:29" ht="15">
      <c r="A34" s="431"/>
      <c r="B34" s="381" t="s">
        <v>2329</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521"/>
      <c r="Q34" s="1506" t="str">
        <f t="shared" si="11"/>
        <v>建筑结构</v>
      </c>
      <c r="R34" s="714" t="s">
        <v>17</v>
      </c>
      <c r="S34" s="715">
        <f t="shared" si="12"/>
        <v>100</v>
      </c>
      <c r="T34" s="714" t="s">
        <v>17</v>
      </c>
      <c r="U34" s="715">
        <f t="shared" si="13"/>
        <v>100</v>
      </c>
      <c r="V34" s="714" t="s">
        <v>17</v>
      </c>
      <c r="W34" s="715">
        <f t="shared" si="14"/>
        <v>100</v>
      </c>
      <c r="X34" s="1509"/>
      <c r="Y34" s="3523"/>
      <c r="Z34" s="1510" t="str">
        <f t="shared" si="15"/>
        <v>建筑结构</v>
      </c>
      <c r="AA34" s="1507">
        <f t="shared" si="3"/>
        <v>1</v>
      </c>
      <c r="AB34" s="1507">
        <f t="shared" si="4"/>
        <v>1</v>
      </c>
      <c r="AC34" s="1507">
        <f t="shared" si="5"/>
        <v>1</v>
      </c>
    </row>
    <row r="35" spans="1:29" ht="15">
      <c r="A35" s="431"/>
      <c r="B35" s="381" t="s">
        <v>2423</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521"/>
      <c r="Q35" s="1506" t="str">
        <f t="shared" si="11"/>
        <v>公共部分装修</v>
      </c>
      <c r="R35" s="714" t="s">
        <v>17</v>
      </c>
      <c r="S35" s="715">
        <f t="shared" si="12"/>
        <v>100</v>
      </c>
      <c r="T35" s="714" t="s">
        <v>17</v>
      </c>
      <c r="U35" s="715">
        <f t="shared" si="13"/>
        <v>100</v>
      </c>
      <c r="V35" s="714" t="s">
        <v>17</v>
      </c>
      <c r="W35" s="715">
        <f t="shared" si="14"/>
        <v>100</v>
      </c>
      <c r="X35" s="1509"/>
      <c r="Y35" s="3523"/>
      <c r="Z35" s="1510" t="str">
        <f t="shared" si="15"/>
        <v>公共部分装修</v>
      </c>
      <c r="AA35" s="1507">
        <f t="shared" si="3"/>
        <v>1</v>
      </c>
      <c r="AB35" s="1507">
        <f t="shared" si="4"/>
        <v>1</v>
      </c>
      <c r="AC35" s="1507">
        <f t="shared" si="5"/>
        <v>1</v>
      </c>
    </row>
    <row r="36" spans="1:29" ht="15">
      <c r="A36" s="431"/>
      <c r="B36" s="381" t="s">
        <v>2424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521"/>
      <c r="Q36" s="1506" t="str">
        <f t="shared" si="11"/>
        <v>成新度</v>
      </c>
      <c r="R36" s="714" t="s">
        <v>17</v>
      </c>
      <c r="S36" s="715" t="e">
        <f t="shared" si="12"/>
        <v>#N/A</v>
      </c>
      <c r="T36" s="714" t="s">
        <v>17</v>
      </c>
      <c r="U36" s="715" t="e">
        <f t="shared" si="13"/>
        <v>#N/A</v>
      </c>
      <c r="V36" s="714" t="s">
        <v>17</v>
      </c>
      <c r="W36" s="715" t="e">
        <f t="shared" si="14"/>
        <v>#N/A</v>
      </c>
      <c r="X36" s="1509"/>
      <c r="Y36" s="3523"/>
      <c r="Z36" s="1510" t="str">
        <f t="shared" si="15"/>
        <v>成新度</v>
      </c>
      <c r="AA36" s="1507" t="e">
        <f t="shared" si="3"/>
        <v>#N/A</v>
      </c>
      <c r="AB36" s="1507" t="e">
        <f t="shared" si="4"/>
        <v>#N/A</v>
      </c>
      <c r="AC36" s="1507" t="e">
        <f t="shared" si="5"/>
        <v>#N/A</v>
      </c>
    </row>
    <row r="37" spans="1:29" s="113" customFormat="1" ht="15">
      <c r="A37" s="432"/>
      <c r="B37" s="381" t="s">
        <v>2425</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521"/>
      <c r="Q37" s="1497" t="str">
        <f t="shared" si="11"/>
        <v>市政基础设施</v>
      </c>
      <c r="R37" s="710" t="s">
        <v>17</v>
      </c>
      <c r="S37" s="711">
        <f t="shared" si="12"/>
        <v>100</v>
      </c>
      <c r="T37" s="710" t="s">
        <v>17</v>
      </c>
      <c r="U37" s="711">
        <f t="shared" si="13"/>
        <v>100</v>
      </c>
      <c r="V37" s="710" t="s">
        <v>17</v>
      </c>
      <c r="W37" s="711">
        <f t="shared" si="14"/>
        <v>100</v>
      </c>
      <c r="X37" s="712"/>
      <c r="Y37" s="3523"/>
      <c r="Z37" s="55" t="str">
        <f t="shared" si="15"/>
        <v>市政基础设施</v>
      </c>
      <c r="AA37" s="713">
        <f t="shared" si="3"/>
        <v>1</v>
      </c>
      <c r="AB37" s="713">
        <f t="shared" si="4"/>
        <v>1</v>
      </c>
      <c r="AC37" s="713">
        <f t="shared" si="5"/>
        <v>1</v>
      </c>
    </row>
    <row r="38" spans="1:29" ht="15">
      <c r="A38" s="431"/>
      <c r="B38" s="381" t="s">
        <v>2426</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521" t="s">
        <v>2327</v>
      </c>
      <c r="Q38" s="1506" t="str">
        <f t="shared" si="11"/>
        <v>业态</v>
      </c>
      <c r="R38" s="714" t="s">
        <v>17</v>
      </c>
      <c r="S38" s="715">
        <f t="shared" si="12"/>
        <v>100</v>
      </c>
      <c r="T38" s="714" t="s">
        <v>17</v>
      </c>
      <c r="U38" s="715">
        <f t="shared" si="13"/>
        <v>100</v>
      </c>
      <c r="V38" s="714" t="s">
        <v>17</v>
      </c>
      <c r="W38" s="715">
        <f t="shared" si="14"/>
        <v>100</v>
      </c>
      <c r="X38" s="1509"/>
      <c r="Y38" s="3523" t="s">
        <v>2327</v>
      </c>
      <c r="Z38" s="1510" t="str">
        <f t="shared" si="15"/>
        <v>业态</v>
      </c>
      <c r="AA38" s="1507">
        <f t="shared" si="3"/>
        <v>1</v>
      </c>
      <c r="AB38" s="1507">
        <f t="shared" si="4"/>
        <v>1</v>
      </c>
      <c r="AC38" s="1507">
        <f t="shared" si="5"/>
        <v>1</v>
      </c>
    </row>
    <row r="39" spans="1:29" ht="15">
      <c r="A39" s="431"/>
      <c r="B39" s="381" t="s">
        <v>2427</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521"/>
      <c r="Q39" s="1506" t="str">
        <f t="shared" si="11"/>
        <v>层高</v>
      </c>
      <c r="R39" s="714" t="s">
        <v>17</v>
      </c>
      <c r="S39" s="715">
        <f t="shared" si="12"/>
        <v>100</v>
      </c>
      <c r="T39" s="714" t="s">
        <v>17</v>
      </c>
      <c r="U39" s="715">
        <f t="shared" si="13"/>
        <v>100</v>
      </c>
      <c r="V39" s="714" t="s">
        <v>17</v>
      </c>
      <c r="W39" s="715">
        <f t="shared" si="14"/>
        <v>100</v>
      </c>
      <c r="X39" s="1509"/>
      <c r="Y39" s="3523"/>
      <c r="Z39" s="1510" t="str">
        <f t="shared" si="15"/>
        <v>层高</v>
      </c>
      <c r="AA39" s="1507">
        <f t="shared" si="3"/>
        <v>1</v>
      </c>
      <c r="AB39" s="1507">
        <f t="shared" si="4"/>
        <v>1</v>
      </c>
      <c r="AC39" s="1507">
        <f t="shared" si="5"/>
        <v>1</v>
      </c>
    </row>
    <row r="40" spans="1:29" ht="15">
      <c r="A40" s="431"/>
      <c r="B40" s="381" t="s">
        <v>2428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521"/>
      <c r="Q40" s="1506" t="str">
        <f t="shared" si="11"/>
        <v>单套建筑面积</v>
      </c>
      <c r="R40" s="714" t="s">
        <v>17</v>
      </c>
      <c r="S40" s="715">
        <f t="shared" si="12"/>
        <v>100</v>
      </c>
      <c r="T40" s="714" t="s">
        <v>17</v>
      </c>
      <c r="U40" s="715">
        <f t="shared" si="13"/>
        <v>100</v>
      </c>
      <c r="V40" s="714" t="s">
        <v>17</v>
      </c>
      <c r="W40" s="715">
        <f t="shared" si="14"/>
        <v>100</v>
      </c>
      <c r="X40" s="1509"/>
      <c r="Y40" s="3523"/>
      <c r="Z40" s="1510" t="str">
        <f t="shared" si="15"/>
        <v>单套建筑面积</v>
      </c>
      <c r="AA40" s="1507">
        <f t="shared" si="3"/>
        <v>1</v>
      </c>
      <c r="AB40" s="1507">
        <f t="shared" si="4"/>
        <v>1</v>
      </c>
      <c r="AC40" s="1507">
        <f t="shared" si="5"/>
        <v>1</v>
      </c>
    </row>
    <row r="41" spans="1:29" s="430" customFormat="1" ht="15">
      <c r="A41" s="427"/>
      <c r="B41" s="1508" t="s">
        <v>2429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521"/>
      <c r="Q41" s="716" t="str">
        <f t="shared" si="11"/>
        <v>进深比</v>
      </c>
      <c r="R41" s="717" t="s">
        <v>17</v>
      </c>
      <c r="S41" s="718">
        <f t="shared" si="12"/>
        <v>100</v>
      </c>
      <c r="T41" s="717" t="s">
        <v>17</v>
      </c>
      <c r="U41" s="718">
        <f t="shared" si="13"/>
        <v>100</v>
      </c>
      <c r="V41" s="717" t="s">
        <v>17</v>
      </c>
      <c r="W41" s="718">
        <f t="shared" si="14"/>
        <v>100</v>
      </c>
      <c r="X41" s="719"/>
      <c r="Y41" s="3523"/>
      <c r="Z41" s="720" t="str">
        <f t="shared" si="15"/>
        <v>进深比</v>
      </c>
      <c r="AA41" s="1507">
        <f t="shared" si="3"/>
        <v>1</v>
      </c>
      <c r="AB41" s="1507">
        <f t="shared" si="4"/>
        <v>1</v>
      </c>
      <c r="AC41" s="1507">
        <f t="shared" si="5"/>
        <v>1</v>
      </c>
    </row>
    <row r="42" spans="1:29" ht="15">
      <c r="A42" s="431"/>
      <c r="B42" s="381" t="s">
        <v>2430</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521"/>
      <c r="Q42" s="1506" t="str">
        <f t="shared" si="11"/>
        <v>内部装修</v>
      </c>
      <c r="R42" s="714" t="s">
        <v>17</v>
      </c>
      <c r="S42" s="715">
        <f t="shared" si="12"/>
        <v>100</v>
      </c>
      <c r="T42" s="714" t="s">
        <v>17</v>
      </c>
      <c r="U42" s="715">
        <f t="shared" si="13"/>
        <v>100</v>
      </c>
      <c r="V42" s="714" t="s">
        <v>17</v>
      </c>
      <c r="W42" s="715">
        <f t="shared" si="14"/>
        <v>100</v>
      </c>
      <c r="X42" s="1509"/>
      <c r="Y42" s="3523"/>
      <c r="Z42" s="1510" t="str">
        <f t="shared" si="15"/>
        <v>内部装修</v>
      </c>
      <c r="AA42" s="1507">
        <f t="shared" si="3"/>
        <v>1</v>
      </c>
      <c r="AB42" s="1507">
        <f t="shared" si="4"/>
        <v>1</v>
      </c>
      <c r="AC42" s="1507">
        <f t="shared" si="5"/>
        <v>1</v>
      </c>
    </row>
    <row r="43" spans="1:29" ht="15">
      <c r="A43" s="431"/>
      <c r="B43" s="381" t="s">
        <v>2338</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521"/>
      <c r="Q43" s="1506" t="str">
        <f t="shared" si="11"/>
        <v>内部装修维护情况</v>
      </c>
      <c r="R43" s="714" t="s">
        <v>17</v>
      </c>
      <c r="S43" s="715">
        <f t="shared" si="12"/>
        <v>100</v>
      </c>
      <c r="T43" s="714" t="s">
        <v>17</v>
      </c>
      <c r="U43" s="715">
        <f t="shared" si="13"/>
        <v>100</v>
      </c>
      <c r="V43" s="714" t="s">
        <v>17</v>
      </c>
      <c r="W43" s="715">
        <f t="shared" si="14"/>
        <v>100</v>
      </c>
      <c r="X43" s="1509"/>
      <c r="Y43" s="3523"/>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521"/>
      <c r="Q44" s="1497">
        <f t="shared" si="11"/>
        <v>111</v>
      </c>
      <c r="R44" s="710" t="s">
        <v>17</v>
      </c>
      <c r="S44" s="711">
        <f t="shared" si="12"/>
        <v>100</v>
      </c>
      <c r="T44" s="710" t="s">
        <v>17</v>
      </c>
      <c r="U44" s="711">
        <f t="shared" si="13"/>
        <v>100</v>
      </c>
      <c r="V44" s="710" t="s">
        <v>17</v>
      </c>
      <c r="W44" s="711">
        <f t="shared" si="14"/>
        <v>100</v>
      </c>
      <c r="X44" s="712"/>
      <c r="Y44" s="3523"/>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521"/>
      <c r="Q45" s="1506">
        <f t="shared" si="11"/>
        <v>111</v>
      </c>
      <c r="R45" s="714" t="s">
        <v>17</v>
      </c>
      <c r="S45" s="715">
        <f t="shared" si="12"/>
        <v>100</v>
      </c>
      <c r="T45" s="714" t="s">
        <v>17</v>
      </c>
      <c r="U45" s="715">
        <f t="shared" si="13"/>
        <v>100</v>
      </c>
      <c r="V45" s="714" t="s">
        <v>17</v>
      </c>
      <c r="W45" s="715">
        <f t="shared" si="14"/>
        <v>100</v>
      </c>
      <c r="X45" s="1509"/>
      <c r="Y45" s="3523"/>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522"/>
      <c r="Q46" s="1506">
        <f t="shared" si="11"/>
        <v>111</v>
      </c>
      <c r="R46" s="714" t="s">
        <v>17</v>
      </c>
      <c r="S46" s="715">
        <f t="shared" si="12"/>
        <v>100</v>
      </c>
      <c r="T46" s="714" t="s">
        <v>17</v>
      </c>
      <c r="U46" s="715">
        <f t="shared" si="13"/>
        <v>100</v>
      </c>
      <c r="V46" s="714" t="s">
        <v>17</v>
      </c>
      <c r="W46" s="715">
        <f t="shared" si="14"/>
        <v>100</v>
      </c>
      <c r="X46" s="1509"/>
      <c r="Y46" s="3524"/>
      <c r="Z46" s="1510">
        <f t="shared" si="15"/>
        <v>111</v>
      </c>
      <c r="AA46" s="1507">
        <f t="shared" si="3"/>
        <v>1</v>
      </c>
      <c r="AB46" s="1507">
        <f t="shared" si="4"/>
        <v>1</v>
      </c>
      <c r="AC46" s="1507">
        <f t="shared" si="5"/>
        <v>1</v>
      </c>
    </row>
    <row r="47" spans="1:29" ht="15">
      <c r="A47" s="438" t="s">
        <v>2339</v>
      </c>
      <c r="B47" s="439"/>
      <c r="C47" s="1288" t="s">
        <v>1</v>
      </c>
      <c r="D47" s="1289"/>
      <c r="E47" s="1290"/>
      <c r="F47" s="1291"/>
      <c r="G47" s="1292"/>
      <c r="H47" s="1293"/>
      <c r="I47" s="1290"/>
      <c r="J47" s="1293"/>
      <c r="K47" s="723"/>
      <c r="L47" s="2923"/>
      <c r="M47" s="2924"/>
      <c r="N47" s="2915"/>
      <c r="O47" s="2924"/>
      <c r="P47" s="3516" t="str">
        <f>A47</f>
        <v>成交单价（元/平方米）</v>
      </c>
      <c r="Q47" s="3516"/>
      <c r="R47" s="3511">
        <f>E47</f>
        <v>0</v>
      </c>
      <c r="S47" s="3511"/>
      <c r="T47" s="3511">
        <f>G47</f>
        <v>0</v>
      </c>
      <c r="U47" s="3511"/>
      <c r="V47" s="3511">
        <f>I47</f>
        <v>0</v>
      </c>
      <c r="W47" s="3511"/>
      <c r="X47" s="699"/>
      <c r="Y47" s="721"/>
      <c r="Z47" s="699"/>
      <c r="AA47" s="699"/>
      <c r="AB47" s="699"/>
      <c r="AC47" s="699"/>
    </row>
    <row r="48" spans="1:29" ht="15.75" thickBot="1">
      <c r="A48" s="445" t="s">
        <v>2431</v>
      </c>
      <c r="B48" s="446"/>
      <c r="C48" s="1294" t="e">
        <f>R49</f>
        <v>#DIV/0!</v>
      </c>
      <c r="D48" s="2508" t="s">
        <v>2822</v>
      </c>
      <c r="E48" s="1295" t="e">
        <f>R48</f>
        <v>#DIV/0!</v>
      </c>
      <c r="F48" s="2509"/>
      <c r="G48" s="1294" t="e">
        <f>T48</f>
        <v>#DIV/0!</v>
      </c>
      <c r="H48" s="2509"/>
      <c r="I48" s="1295" t="e">
        <f>V48</f>
        <v>#DIV/0!</v>
      </c>
      <c r="J48" s="2509"/>
      <c r="K48" s="2511">
        <f>F48+H48+J48</f>
        <v>0</v>
      </c>
      <c r="L48" s="2923"/>
      <c r="M48" s="2924"/>
      <c r="N48" s="2915"/>
      <c r="O48" s="2924"/>
      <c r="P48" s="3516" t="str">
        <f>A48</f>
        <v>比较价值（元/平方米）</v>
      </c>
      <c r="Q48" s="3516"/>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699"/>
      <c r="Y48" s="699"/>
      <c r="Z48" s="699"/>
      <c r="AA48" s="699"/>
      <c r="AB48" s="699"/>
      <c r="AC48" s="699"/>
    </row>
    <row r="49" spans="1:29" ht="15.75" thickBot="1">
      <c r="A49" s="449" t="s">
        <v>2432</v>
      </c>
      <c r="B49" s="450"/>
      <c r="C49" s="1297" t="e">
        <f>R49</f>
        <v>#DIV/0!</v>
      </c>
      <c r="D49" s="1297"/>
      <c r="E49" s="1297"/>
      <c r="F49" s="1297"/>
      <c r="G49" s="1297"/>
      <c r="H49" s="1297"/>
      <c r="I49" s="1297"/>
      <c r="J49" s="1297"/>
      <c r="K49" s="724"/>
      <c r="L49" s="2923"/>
      <c r="M49" s="2924"/>
      <c r="N49" s="2915"/>
      <c r="O49" s="2924"/>
      <c r="P49" s="3513" t="str">
        <f>A49</f>
        <v>估价对象XX用房的比较价值（楼面单价，元/平方米）</v>
      </c>
      <c r="Q49" s="3514"/>
      <c r="R49" s="3515" t="e">
        <f>IF(F1="售价",ROUND(IF(D48="简单平均",AVERAGE(R48:V48),R48*F48+T48*H48+V48*J48),0),ROUND(IF(D48="简单平均",AVERAGE(R48:V48),R48*F48+T48*H48+V48*J48),1))</f>
        <v>#DIV/0!</v>
      </c>
      <c r="S49" s="3515"/>
      <c r="T49" s="3515"/>
      <c r="U49" s="3515"/>
      <c r="V49" s="3515"/>
      <c r="W49" s="3515"/>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2436</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2310</v>
      </c>
      <c r="B58" s="463"/>
      <c r="C58" s="1318" t="str">
        <f>YEAR(C7)&amp;"-"&amp;MONTH(C7)</f>
        <v>1900-1</v>
      </c>
      <c r="D58" s="1319" t="e">
        <f>EDATE(C58,-1)</f>
        <v>#NUM!</v>
      </c>
      <c r="E58" s="1319" t="e">
        <f t="shared" ref="E58:N58" si="16">EDATE(D58,-1)</f>
        <v>#NUM!</v>
      </c>
      <c r="F58" s="1319" t="e">
        <f t="shared" si="16"/>
        <v>#NUM!</v>
      </c>
      <c r="G58" s="1319" t="e">
        <f t="shared" si="16"/>
        <v>#NUM!</v>
      </c>
      <c r="H58" s="1319" t="e">
        <f t="shared" si="16"/>
        <v>#NUM!</v>
      </c>
      <c r="I58" s="1319" t="e">
        <f t="shared" si="16"/>
        <v>#NUM!</v>
      </c>
      <c r="J58" s="1319" t="e">
        <f t="shared" si="16"/>
        <v>#NUM!</v>
      </c>
      <c r="K58" s="1319" t="e">
        <f t="shared" si="16"/>
        <v>#NUM!</v>
      </c>
      <c r="L58" s="1319" t="e">
        <f t="shared" si="16"/>
        <v>#NUM!</v>
      </c>
      <c r="M58" s="1319" t="e">
        <f t="shared" si="16"/>
        <v>#NUM!</v>
      </c>
      <c r="N58" s="1319" t="e">
        <f t="shared" si="16"/>
        <v>#NUM!</v>
      </c>
      <c r="O58" s="1319" t="e">
        <f>EDATE(N58,-1)</f>
        <v>#NUM!</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2347</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2312</v>
      </c>
      <c r="B61" s="467"/>
      <c r="C61" s="479" t="s">
        <v>2414</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2350</v>
      </c>
      <c r="B63" s="485" t="s">
        <v>2316</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2319</v>
      </c>
      <c r="C65" s="496" t="s">
        <v>2351</v>
      </c>
      <c r="D65" s="496" t="s">
        <v>2352</v>
      </c>
      <c r="E65" s="496" t="s">
        <v>2353</v>
      </c>
      <c r="F65" s="496" t="s">
        <v>2354</v>
      </c>
      <c r="G65" s="496" t="s">
        <v>2355</v>
      </c>
      <c r="H65" s="496" t="s">
        <v>2356</v>
      </c>
      <c r="I65" s="496" t="s">
        <v>2357</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2320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2321</v>
      </c>
      <c r="B76" s="485" t="s">
        <v>2358</v>
      </c>
      <c r="C76" s="530" t="s">
        <v>2359</v>
      </c>
      <c r="D76" s="530" t="s">
        <v>2360</v>
      </c>
      <c r="E76" s="530" t="s">
        <v>2361</v>
      </c>
      <c r="F76" s="530" t="s">
        <v>2362</v>
      </c>
      <c r="G76" s="530" t="s">
        <v>2363</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2364</v>
      </c>
      <c r="C78" s="535" t="s">
        <v>2359</v>
      </c>
      <c r="D78" s="535" t="s">
        <v>2360</v>
      </c>
      <c r="E78" s="535" t="s">
        <v>2361</v>
      </c>
      <c r="F78" s="535" t="s">
        <v>2362</v>
      </c>
      <c r="G78" s="535" t="s">
        <v>2363</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2365</v>
      </c>
      <c r="C80" s="535" t="s">
        <v>2359</v>
      </c>
      <c r="D80" s="535" t="s">
        <v>2360</v>
      </c>
      <c r="E80" s="535" t="s">
        <v>2361</v>
      </c>
      <c r="F80" s="535" t="s">
        <v>2362</v>
      </c>
      <c r="G80" s="535" t="s">
        <v>2363</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2417</v>
      </c>
      <c r="C82" s="616" t="s">
        <v>2437</v>
      </c>
      <c r="D82" s="616" t="s">
        <v>2438</v>
      </c>
      <c r="E82" s="616" t="s">
        <v>2439</v>
      </c>
      <c r="F82" s="616" t="s">
        <v>2440</v>
      </c>
      <c r="G82" s="616" t="s">
        <v>2441</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2371</v>
      </c>
      <c r="C84" s="535" t="s">
        <v>2359</v>
      </c>
      <c r="D84" s="535" t="s">
        <v>2360</v>
      </c>
      <c r="E84" s="535" t="s">
        <v>2361</v>
      </c>
      <c r="F84" s="535" t="s">
        <v>2362</v>
      </c>
      <c r="G84" s="535" t="s">
        <v>2363</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2442</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2325</v>
      </c>
      <c r="B100" s="485" t="s">
        <v>2443</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2376</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2378</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2380</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2444</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2445</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2446</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2447</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2382</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2383</v>
      </c>
      <c r="C124" s="535" t="s">
        <v>2359</v>
      </c>
      <c r="D124" s="535" t="s">
        <v>2360</v>
      </c>
      <c r="E124" s="535" t="s">
        <v>2361</v>
      </c>
      <c r="F124" s="535" t="s">
        <v>2362</v>
      </c>
      <c r="G124" s="535" t="s">
        <v>2363</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受贵公司委托，我公司对进行了预评估。</v>
      </c>
    </row>
    <row r="5" spans="1:1" ht="18.75">
      <c r="A5" s="1636" t="s">
        <v>1517</v>
      </c>
    </row>
    <row r="6" spans="1:1" ht="18.75">
      <c r="A6" s="1637" t="s">
        <v>1518</v>
      </c>
    </row>
    <row r="7" spans="1:1" ht="18">
      <c r="A7" s="1635"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638" t="s">
        <v>1519</v>
      </c>
    </row>
    <row r="9" spans="1:1" ht="18.75">
      <c r="A9" s="1637" t="s">
        <v>1520</v>
      </c>
    </row>
    <row r="10" spans="1:1" ht="18">
      <c r="A10" s="1635"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为估价委托人了解估价对象房地产市场价值提供参考依据。</v>
      </c>
    </row>
    <row r="14" spans="1:1" ht="18.75">
      <c r="A14" s="1640" t="s">
        <v>1523</v>
      </c>
    </row>
    <row r="15" spans="1:1" ht="18">
      <c r="A15" s="1641" t="str">
        <f>TEXT(项目基本情况!D3,"yyyy年m月d日;;")&amp;IF(项目基本情况!D3=项目基本情况!B3,"（评估专业人员实地查勘之日）","")</f>
        <v>（评估专业人员实地查勘之日）</v>
      </c>
    </row>
    <row r="16" spans="1:1" ht="18.75">
      <c r="A16" s="1640" t="s">
        <v>1524</v>
      </c>
    </row>
    <row r="17" spans="1:1" ht="75">
      <c r="A17" s="1635" t="s">
        <v>1525</v>
      </c>
    </row>
    <row r="18" spans="1:1" ht="36">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本次估价的“房地产价值”是指在正常市场情况下，在价值时点，估价对象规划用途为，土地取得方式为，假定未设立法定优先受偿款下的房地产市场价值。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本次评估采用的主估价方法为基准地价系数修正法和基准地价系数修正法。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2290</v>
      </c>
      <c r="B1" s="2113" t="s">
        <v>2448</v>
      </c>
      <c r="C1" s="1364" t="s">
        <v>2292</v>
      </c>
      <c r="D1" s="1365"/>
      <c r="E1" s="1374"/>
      <c r="F1" s="2035"/>
      <c r="G1" s="1375" t="s">
        <v>2405</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2089</v>
      </c>
      <c r="B2" s="1298" t="e">
        <f ca="1">IF(C2="——",ROUND(C50*D3/10000,0),ROUND(C50*D3/10000,0)-D2)</f>
        <v>#DIV/0!</v>
      </c>
      <c r="C2" s="2037"/>
      <c r="D2" s="1247" t="e">
        <f ca="1">SUMIF(INDIRECT("'"&amp;F2&amp;"'"&amp;"!A:A"),"承租人权益价值",INDIRECT("'"&amp;F2&amp;"'"&amp;"!c:c"))</f>
        <v>#REF!</v>
      </c>
      <c r="E2" s="2038" t="s">
        <v>2090</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2091</v>
      </c>
      <c r="B3" s="566" t="e">
        <f ca="1">IF(C2="——",C50,ROUND(B2*10000/D3,0))</f>
        <v>#DIV/0!</v>
      </c>
      <c r="C3" s="360" t="s">
        <v>2406</v>
      </c>
      <c r="D3" s="359">
        <f>IF(D1="",'数据-汇总表'!E3,SUMIF('数据-汇总表'!$C19:$C33,D1,'数据-汇总表'!$E19:$E33))</f>
        <v>0</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2407</v>
      </c>
      <c r="B4" s="362"/>
      <c r="C4" s="3499" t="s">
        <v>2408</v>
      </c>
      <c r="D4" s="3500"/>
      <c r="E4" s="3501" t="s">
        <v>2409</v>
      </c>
      <c r="F4" s="3502"/>
      <c r="G4" s="3499" t="s">
        <v>2410</v>
      </c>
      <c r="H4" s="3500"/>
      <c r="I4" s="3499" t="s">
        <v>2411</v>
      </c>
      <c r="J4" s="3500"/>
      <c r="K4" s="567" t="s">
        <v>2412</v>
      </c>
      <c r="L4" s="2914"/>
      <c r="M4" s="2915"/>
      <c r="N4" s="2915"/>
      <c r="O4" s="2915"/>
      <c r="P4" s="3533" t="s">
        <v>2413</v>
      </c>
      <c r="Q4" s="3534"/>
      <c r="R4" s="3528" t="s">
        <v>2409</v>
      </c>
      <c r="S4" s="3529"/>
      <c r="T4" s="3528" t="s">
        <v>2410</v>
      </c>
      <c r="U4" s="3529"/>
      <c r="V4" s="3537" t="s">
        <v>2411</v>
      </c>
      <c r="W4" s="3537"/>
      <c r="X4" s="2114"/>
      <c r="Y4" s="3528" t="s">
        <v>2413</v>
      </c>
      <c r="Z4" s="3529"/>
      <c r="AA4" s="3527" t="s">
        <v>2409</v>
      </c>
      <c r="AB4" s="3527" t="s">
        <v>2410</v>
      </c>
      <c r="AC4" s="3530" t="s">
        <v>2411</v>
      </c>
    </row>
    <row r="5" spans="1:29" ht="15">
      <c r="A5" s="364"/>
      <c r="B5" s="365"/>
      <c r="C5" s="3492" t="s">
        <v>2304</v>
      </c>
      <c r="D5" s="3493"/>
      <c r="E5" s="3490" t="s">
        <v>2305</v>
      </c>
      <c r="F5" s="3491"/>
      <c r="G5" s="3492" t="s">
        <v>2306</v>
      </c>
      <c r="H5" s="3493"/>
      <c r="I5" s="3492" t="s">
        <v>2307</v>
      </c>
      <c r="J5" s="3493"/>
      <c r="K5" s="567"/>
      <c r="L5" s="2914"/>
      <c r="M5" s="2915"/>
      <c r="N5" s="2915"/>
      <c r="O5" s="2915"/>
      <c r="P5" s="3535"/>
      <c r="Q5" s="3506"/>
      <c r="R5" s="3488"/>
      <c r="S5" s="3489"/>
      <c r="T5" s="3488"/>
      <c r="U5" s="3489"/>
      <c r="V5" s="3511"/>
      <c r="W5" s="3511"/>
      <c r="X5" s="1509"/>
      <c r="Y5" s="3488"/>
      <c r="Z5" s="3489"/>
      <c r="AA5" s="3482"/>
      <c r="AB5" s="3482"/>
      <c r="AC5" s="3531"/>
    </row>
    <row r="6" spans="1:29" ht="15.75" thickBot="1">
      <c r="A6" s="366"/>
      <c r="B6" s="367"/>
      <c r="C6" s="3494" t="s">
        <v>2308</v>
      </c>
      <c r="D6" s="3495"/>
      <c r="E6" s="3496" t="s">
        <v>2308</v>
      </c>
      <c r="F6" s="3497"/>
      <c r="G6" s="3494" t="s">
        <v>2308</v>
      </c>
      <c r="H6" s="3495"/>
      <c r="I6" s="3494" t="s">
        <v>2308</v>
      </c>
      <c r="J6" s="3495"/>
      <c r="K6" s="567" t="s">
        <v>2309</v>
      </c>
      <c r="L6" s="2914"/>
      <c r="M6" s="2915"/>
      <c r="N6" s="2915"/>
      <c r="O6" s="2915"/>
      <c r="P6" s="3536"/>
      <c r="Q6" s="3508"/>
      <c r="R6" s="3488"/>
      <c r="S6" s="3489"/>
      <c r="T6" s="3509"/>
      <c r="U6" s="3510"/>
      <c r="V6" s="3511"/>
      <c r="W6" s="3511"/>
      <c r="X6" s="1509"/>
      <c r="Y6" s="3509"/>
      <c r="Z6" s="3510"/>
      <c r="AA6" s="3483"/>
      <c r="AB6" s="3483"/>
      <c r="AC6" s="3532"/>
    </row>
    <row r="7" spans="1:29" s="113" customFormat="1" ht="15.75" thickBot="1">
      <c r="A7" s="368" t="s">
        <v>2310</v>
      </c>
      <c r="B7" s="369"/>
      <c r="C7" s="370">
        <f>'数据-取费表'!B2</f>
        <v>0</v>
      </c>
      <c r="D7" s="371">
        <v>100</v>
      </c>
      <c r="E7" s="372"/>
      <c r="F7" s="373">
        <f>SUMIF(59:59,YEAR(E7)&amp;"-"&amp;MONTH(E7),60:60)</f>
        <v>100</v>
      </c>
      <c r="G7" s="372"/>
      <c r="H7" s="371">
        <f>SUMIF(59:59,YEAR(G7)&amp;"-"&amp;MONTH(G7),60:60)</f>
        <v>100</v>
      </c>
      <c r="I7" s="372"/>
      <c r="J7" s="371">
        <f>SUMIF(59:59,YEAR(I7)&amp;"-"&amp;MONTH(I7),60:60)</f>
        <v>100</v>
      </c>
      <c r="K7" s="568"/>
      <c r="L7" s="2916"/>
      <c r="M7" s="2917"/>
      <c r="N7" s="2917"/>
      <c r="O7" s="2917"/>
      <c r="P7" s="3538" t="s">
        <v>2311</v>
      </c>
      <c r="Q7" s="3512"/>
      <c r="R7" s="710" t="s">
        <v>17</v>
      </c>
      <c r="S7" s="711">
        <f t="shared" ref="S7:S15" si="0">F7</f>
        <v>100</v>
      </c>
      <c r="T7" s="710" t="s">
        <v>17</v>
      </c>
      <c r="U7" s="711">
        <f t="shared" ref="U7:U15" si="1">H7</f>
        <v>100</v>
      </c>
      <c r="V7" s="710" t="s">
        <v>17</v>
      </c>
      <c r="W7" s="711">
        <f t="shared" ref="W7:W15" si="2">J7</f>
        <v>100</v>
      </c>
      <c r="X7" s="712"/>
      <c r="Y7" s="3484" t="s">
        <v>2311</v>
      </c>
      <c r="Z7" s="3485"/>
      <c r="AA7" s="713">
        <f>D7/F7</f>
        <v>1</v>
      </c>
      <c r="AB7" s="713">
        <f>D7/H7</f>
        <v>1</v>
      </c>
      <c r="AC7" s="2115">
        <f>D7/J7</f>
        <v>1</v>
      </c>
    </row>
    <row r="8" spans="1:29" s="113" customFormat="1" ht="15.75" thickBot="1">
      <c r="A8" s="368" t="s">
        <v>2312</v>
      </c>
      <c r="B8" s="369"/>
      <c r="C8" s="374" t="s">
        <v>2414</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38" t="s">
        <v>2314</v>
      </c>
      <c r="Q8" s="3485"/>
      <c r="R8" s="710" t="s">
        <v>17</v>
      </c>
      <c r="S8" s="711">
        <f t="shared" si="0"/>
        <v>0</v>
      </c>
      <c r="T8" s="710" t="s">
        <v>17</v>
      </c>
      <c r="U8" s="711">
        <f t="shared" si="1"/>
        <v>0</v>
      </c>
      <c r="V8" s="710" t="s">
        <v>17</v>
      </c>
      <c r="W8" s="711">
        <f t="shared" si="2"/>
        <v>0</v>
      </c>
      <c r="X8" s="712"/>
      <c r="Y8" s="3484" t="s">
        <v>2314</v>
      </c>
      <c r="Z8" s="3485"/>
      <c r="AA8" s="713" t="e">
        <f t="shared" ref="AA8:AA47" si="3">D8/F8</f>
        <v>#DIV/0!</v>
      </c>
      <c r="AB8" s="713" t="e">
        <f t="shared" ref="AB8:AB47" si="4">D8/H8</f>
        <v>#DIV/0!</v>
      </c>
      <c r="AC8" s="2115" t="e">
        <f t="shared" ref="AC8:AC47" si="5">D8/J8</f>
        <v>#DIV/0!</v>
      </c>
    </row>
    <row r="9" spans="1:29" s="113" customFormat="1">
      <c r="A9" s="375" t="s">
        <v>2315</v>
      </c>
      <c r="B9" s="67" t="s">
        <v>2316</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98" t="s">
        <v>2317</v>
      </c>
      <c r="Q9" s="1497" t="str">
        <f t="shared" ref="Q9:Q15" si="6">B9</f>
        <v>用途</v>
      </c>
      <c r="R9" s="710" t="s">
        <v>17</v>
      </c>
      <c r="S9" s="711">
        <f t="shared" si="0"/>
        <v>100</v>
      </c>
      <c r="T9" s="710" t="s">
        <v>17</v>
      </c>
      <c r="U9" s="711">
        <f t="shared" si="1"/>
        <v>100</v>
      </c>
      <c r="V9" s="710" t="s">
        <v>17</v>
      </c>
      <c r="W9" s="711">
        <f t="shared" si="2"/>
        <v>100</v>
      </c>
      <c r="X9" s="712"/>
      <c r="Y9" s="3428" t="s">
        <v>2318</v>
      </c>
      <c r="Z9" s="55" t="str">
        <f t="shared" ref="Z9:Z15" si="7">Q9</f>
        <v>用途</v>
      </c>
      <c r="AA9" s="713">
        <f t="shared" si="3"/>
        <v>1</v>
      </c>
      <c r="AB9" s="713">
        <f t="shared" si="4"/>
        <v>1</v>
      </c>
      <c r="AC9" s="2115">
        <f t="shared" si="5"/>
        <v>1</v>
      </c>
    </row>
    <row r="10" spans="1:29" s="386" customFormat="1" ht="27">
      <c r="A10" s="380"/>
      <c r="B10" s="381" t="s">
        <v>2319</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98"/>
      <c r="Q10" s="149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2115">
        <f t="shared" si="5"/>
        <v>1</v>
      </c>
    </row>
    <row r="11" spans="1:29" ht="15">
      <c r="A11" s="387"/>
      <c r="B11" s="381" t="s">
        <v>2320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98"/>
      <c r="Q11" s="1497"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98"/>
      <c r="Q12" s="149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98"/>
      <c r="Q13" s="149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98"/>
      <c r="Q14" s="1497">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2115">
        <f t="shared" si="5"/>
        <v>1</v>
      </c>
    </row>
    <row r="15" spans="1:29" ht="71.25">
      <c r="A15" s="399" t="s">
        <v>2321</v>
      </c>
      <c r="B15" s="585" t="s">
        <v>2449</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525" t="s">
        <v>2322</v>
      </c>
      <c r="Q15" s="1506" t="str">
        <f t="shared" si="6"/>
        <v>办公集聚程度</v>
      </c>
      <c r="R15" s="714" t="s">
        <v>17</v>
      </c>
      <c r="S15" s="715">
        <f t="shared" si="0"/>
        <v>100</v>
      </c>
      <c r="T15" s="714" t="s">
        <v>17</v>
      </c>
      <c r="U15" s="715">
        <f t="shared" si="1"/>
        <v>100</v>
      </c>
      <c r="V15" s="714" t="s">
        <v>17</v>
      </c>
      <c r="W15" s="715">
        <f t="shared" si="2"/>
        <v>100</v>
      </c>
      <c r="X15" s="1509"/>
      <c r="Y15" s="3518" t="s">
        <v>2322</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526"/>
      <c r="Q16" s="1506"/>
      <c r="R16" s="714"/>
      <c r="S16" s="715"/>
      <c r="T16" s="714"/>
      <c r="U16" s="715"/>
      <c r="V16" s="714"/>
      <c r="W16" s="715"/>
      <c r="X16" s="1509"/>
      <c r="Y16" s="3519"/>
      <c r="Z16" s="1510"/>
      <c r="AA16" s="1507">
        <v>1</v>
      </c>
      <c r="AB16" s="1507">
        <v>1</v>
      </c>
      <c r="AC16" s="2118">
        <v>1</v>
      </c>
    </row>
    <row r="17" spans="1:29" ht="71.25">
      <c r="A17" s="387"/>
      <c r="B17" s="587" t="s">
        <v>1886</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526"/>
      <c r="Q17" s="1506" t="str">
        <f>B17</f>
        <v>交通便捷度</v>
      </c>
      <c r="R17" s="714" t="s">
        <v>17</v>
      </c>
      <c r="S17" s="715">
        <f>F17</f>
        <v>100</v>
      </c>
      <c r="T17" s="714" t="s">
        <v>17</v>
      </c>
      <c r="U17" s="715">
        <f>H17</f>
        <v>100</v>
      </c>
      <c r="V17" s="714" t="s">
        <v>17</v>
      </c>
      <c r="W17" s="715">
        <f>J17</f>
        <v>100</v>
      </c>
      <c r="X17" s="1509"/>
      <c r="Y17" s="3519"/>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526"/>
      <c r="Q18" s="1506"/>
      <c r="R18" s="714"/>
      <c r="S18" s="715"/>
      <c r="T18" s="714"/>
      <c r="U18" s="715"/>
      <c r="V18" s="714"/>
      <c r="W18" s="715"/>
      <c r="X18" s="1509"/>
      <c r="Y18" s="3519"/>
      <c r="Z18" s="1510"/>
      <c r="AA18" s="1507">
        <v>1</v>
      </c>
      <c r="AB18" s="1507">
        <v>1</v>
      </c>
      <c r="AC18" s="2118">
        <v>1</v>
      </c>
    </row>
    <row r="19" spans="1:29" ht="42.75">
      <c r="A19" s="387"/>
      <c r="B19" s="587" t="s">
        <v>2450</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526"/>
      <c r="Q19" s="1506" t="str">
        <f>B19</f>
        <v>公共配套设施</v>
      </c>
      <c r="R19" s="714" t="s">
        <v>17</v>
      </c>
      <c r="S19" s="715">
        <f>F19</f>
        <v>100</v>
      </c>
      <c r="T19" s="714" t="s">
        <v>17</v>
      </c>
      <c r="U19" s="715">
        <f>H19</f>
        <v>100</v>
      </c>
      <c r="V19" s="714" t="s">
        <v>17</v>
      </c>
      <c r="W19" s="715">
        <f>J19</f>
        <v>100</v>
      </c>
      <c r="X19" s="1509"/>
      <c r="Y19" s="3519"/>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526"/>
      <c r="Q20" s="1506"/>
      <c r="R20" s="714"/>
      <c r="S20" s="715"/>
      <c r="T20" s="714"/>
      <c r="U20" s="715"/>
      <c r="V20" s="714"/>
      <c r="W20" s="715"/>
      <c r="X20" s="1509"/>
      <c r="Y20" s="3519"/>
      <c r="Z20" s="1510"/>
      <c r="AA20" s="1507">
        <v>1</v>
      </c>
      <c r="AB20" s="1507">
        <v>1</v>
      </c>
      <c r="AC20" s="2118">
        <v>1</v>
      </c>
    </row>
    <row r="21" spans="1:29" ht="28.5">
      <c r="A21" s="387"/>
      <c r="B21" s="589" t="s">
        <v>2451</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526"/>
      <c r="Q21" s="1506" t="str">
        <f>B21</f>
        <v>基础设施水平</v>
      </c>
      <c r="R21" s="714" t="s">
        <v>17</v>
      </c>
      <c r="S21" s="715">
        <f>F21</f>
        <v>100</v>
      </c>
      <c r="T21" s="714" t="s">
        <v>17</v>
      </c>
      <c r="U21" s="715">
        <f>H21</f>
        <v>100</v>
      </c>
      <c r="V21" s="714" t="s">
        <v>17</v>
      </c>
      <c r="W21" s="715">
        <f>J21</f>
        <v>100</v>
      </c>
      <c r="X21" s="1509"/>
      <c r="Y21" s="3519"/>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526"/>
      <c r="Q22" s="1506"/>
      <c r="R22" s="714"/>
      <c r="S22" s="715"/>
      <c r="T22" s="714"/>
      <c r="U22" s="715"/>
      <c r="V22" s="714"/>
      <c r="W22" s="715"/>
      <c r="X22" s="1509"/>
      <c r="Y22" s="3519"/>
      <c r="Z22" s="1510"/>
      <c r="AA22" s="1507">
        <v>1</v>
      </c>
      <c r="AB22" s="1507">
        <v>1</v>
      </c>
      <c r="AC22" s="2118">
        <v>1</v>
      </c>
    </row>
    <row r="23" spans="1:29" ht="42.75">
      <c r="A23" s="387"/>
      <c r="B23" s="587" t="s">
        <v>2452</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526"/>
      <c r="Q23" s="1506" t="str">
        <f>B23</f>
        <v>环境质量</v>
      </c>
      <c r="R23" s="714" t="s">
        <v>17</v>
      </c>
      <c r="S23" s="715">
        <f>F23</f>
        <v>100</v>
      </c>
      <c r="T23" s="714" t="s">
        <v>17</v>
      </c>
      <c r="U23" s="715">
        <f>H23</f>
        <v>100</v>
      </c>
      <c r="V23" s="714" t="s">
        <v>17</v>
      </c>
      <c r="W23" s="715">
        <f>J23</f>
        <v>100</v>
      </c>
      <c r="X23" s="1509"/>
      <c r="Y23" s="3519"/>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526"/>
      <c r="Q24" s="1506"/>
      <c r="R24" s="714"/>
      <c r="S24" s="715"/>
      <c r="T24" s="714"/>
      <c r="U24" s="715"/>
      <c r="V24" s="714"/>
      <c r="W24" s="715"/>
      <c r="X24" s="1509"/>
      <c r="Y24" s="3519"/>
      <c r="Z24" s="1510"/>
      <c r="AA24" s="1507">
        <v>1</v>
      </c>
      <c r="AB24" s="1507">
        <v>1</v>
      </c>
      <c r="AC24" s="2118">
        <v>1</v>
      </c>
    </row>
    <row r="25" spans="1:29" ht="27">
      <c r="A25" s="364"/>
      <c r="B25" s="587" t="s">
        <v>2453</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526"/>
      <c r="Q25" s="1506" t="str">
        <f>B25</f>
        <v>毗邻道路的类型与等级</v>
      </c>
      <c r="R25" s="714" t="s">
        <v>17</v>
      </c>
      <c r="S25" s="715">
        <f>F25</f>
        <v>100</v>
      </c>
      <c r="T25" s="714" t="s">
        <v>17</v>
      </c>
      <c r="U25" s="715">
        <f>H25</f>
        <v>100</v>
      </c>
      <c r="V25" s="714" t="s">
        <v>17</v>
      </c>
      <c r="W25" s="715">
        <f>J25</f>
        <v>100</v>
      </c>
      <c r="X25" s="1509"/>
      <c r="Y25" s="3519"/>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526"/>
      <c r="Q26" s="1506"/>
      <c r="R26" s="714"/>
      <c r="S26" s="715"/>
      <c r="T26" s="714"/>
      <c r="U26" s="715"/>
      <c r="V26" s="714"/>
      <c r="W26" s="715"/>
      <c r="X26" s="1509"/>
      <c r="Y26" s="3519"/>
      <c r="Z26" s="1510"/>
      <c r="AA26" s="1507">
        <v>1</v>
      </c>
      <c r="AB26" s="1507">
        <v>1</v>
      </c>
      <c r="AC26" s="2118">
        <v>1</v>
      </c>
    </row>
    <row r="27" spans="1:29" ht="15">
      <c r="A27" s="387"/>
      <c r="B27" s="588" t="s">
        <v>2421</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526"/>
      <c r="Q27" s="1506" t="str">
        <f t="shared" ref="Q27:Q47" si="11">B27</f>
        <v>楼层</v>
      </c>
      <c r="R27" s="714" t="s">
        <v>17</v>
      </c>
      <c r="S27" s="715">
        <f>F27</f>
        <v>100</v>
      </c>
      <c r="T27" s="714" t="s">
        <v>17</v>
      </c>
      <c r="U27" s="715">
        <f>H27</f>
        <v>100</v>
      </c>
      <c r="V27" s="714" t="s">
        <v>17</v>
      </c>
      <c r="W27" s="715">
        <f>J27</f>
        <v>100</v>
      </c>
      <c r="X27" s="1509"/>
      <c r="Y27" s="3519"/>
      <c r="Z27" s="1510" t="str">
        <f>Q27</f>
        <v>楼层</v>
      </c>
      <c r="AA27" s="1507">
        <f t="shared" si="3"/>
        <v>1</v>
      </c>
      <c r="AB27" s="1507">
        <f t="shared" si="4"/>
        <v>1</v>
      </c>
      <c r="AC27" s="2118">
        <f t="shared" si="5"/>
        <v>1</v>
      </c>
    </row>
    <row r="28" spans="1:29" s="113" customFormat="1" ht="15">
      <c r="A28" s="390"/>
      <c r="B28" s="587" t="s">
        <v>2454</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526"/>
      <c r="Q28" s="1497" t="str">
        <f t="shared" si="11"/>
        <v>朝向</v>
      </c>
      <c r="R28" s="710" t="s">
        <v>17</v>
      </c>
      <c r="S28" s="711">
        <f>F28</f>
        <v>100</v>
      </c>
      <c r="T28" s="710" t="s">
        <v>17</v>
      </c>
      <c r="U28" s="711">
        <f>H28</f>
        <v>100</v>
      </c>
      <c r="V28" s="710" t="s">
        <v>17</v>
      </c>
      <c r="W28" s="711">
        <f>J28</f>
        <v>100</v>
      </c>
      <c r="X28" s="712"/>
      <c r="Y28" s="3519"/>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526"/>
      <c r="Q29" s="1506">
        <f t="shared" si="11"/>
        <v>111</v>
      </c>
      <c r="R29" s="714" t="s">
        <v>17</v>
      </c>
      <c r="S29" s="715">
        <f t="shared" ref="S29:S47" si="12">F29</f>
        <v>100</v>
      </c>
      <c r="T29" s="714" t="s">
        <v>17</v>
      </c>
      <c r="U29" s="715">
        <f t="shared" ref="U29:U47" si="13">H29</f>
        <v>100</v>
      </c>
      <c r="V29" s="714" t="s">
        <v>17</v>
      </c>
      <c r="W29" s="715">
        <f t="shared" ref="W29:W47" si="14">J29</f>
        <v>100</v>
      </c>
      <c r="X29" s="1509"/>
      <c r="Y29" s="3519"/>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526"/>
      <c r="Q30" s="1506">
        <f t="shared" si="11"/>
        <v>111</v>
      </c>
      <c r="R30" s="714" t="s">
        <v>17</v>
      </c>
      <c r="S30" s="715">
        <f t="shared" si="12"/>
        <v>100</v>
      </c>
      <c r="T30" s="714" t="s">
        <v>17</v>
      </c>
      <c r="U30" s="715">
        <f t="shared" si="13"/>
        <v>100</v>
      </c>
      <c r="V30" s="714" t="s">
        <v>17</v>
      </c>
      <c r="W30" s="715">
        <f t="shared" si="14"/>
        <v>100</v>
      </c>
      <c r="X30" s="1509"/>
      <c r="Y30" s="3519"/>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526"/>
      <c r="Q31" s="1506">
        <f t="shared" si="11"/>
        <v>111</v>
      </c>
      <c r="R31" s="714" t="s">
        <v>17</v>
      </c>
      <c r="S31" s="715">
        <f t="shared" si="12"/>
        <v>100</v>
      </c>
      <c r="T31" s="714" t="s">
        <v>17</v>
      </c>
      <c r="U31" s="715">
        <f t="shared" si="13"/>
        <v>100</v>
      </c>
      <c r="V31" s="714" t="s">
        <v>17</v>
      </c>
      <c r="W31" s="715">
        <f t="shared" si="14"/>
        <v>100</v>
      </c>
      <c r="X31" s="1509"/>
      <c r="Y31" s="3519"/>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526"/>
      <c r="Q32" s="1506">
        <f t="shared" si="11"/>
        <v>111</v>
      </c>
      <c r="R32" s="714" t="s">
        <v>17</v>
      </c>
      <c r="S32" s="715">
        <f t="shared" si="12"/>
        <v>100</v>
      </c>
      <c r="T32" s="714" t="s">
        <v>17</v>
      </c>
      <c r="U32" s="715">
        <f t="shared" si="13"/>
        <v>100</v>
      </c>
      <c r="V32" s="714" t="s">
        <v>17</v>
      </c>
      <c r="W32" s="715">
        <f t="shared" si="14"/>
        <v>100</v>
      </c>
      <c r="X32" s="1509"/>
      <c r="Y32" s="3519"/>
      <c r="Z32" s="1510">
        <f t="shared" si="15"/>
        <v>111</v>
      </c>
      <c r="AA32" s="1507">
        <f t="shared" si="3"/>
        <v>1</v>
      </c>
      <c r="AB32" s="1507">
        <f t="shared" si="4"/>
        <v>1</v>
      </c>
      <c r="AC32" s="2118">
        <f t="shared" si="5"/>
        <v>1</v>
      </c>
    </row>
    <row r="33" spans="1:29" ht="15">
      <c r="A33" s="399" t="s">
        <v>2325</v>
      </c>
      <c r="B33" s="67" t="s">
        <v>2455</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520" t="s">
        <v>2327</v>
      </c>
      <c r="Q33" s="1506" t="str">
        <f t="shared" si="11"/>
        <v>建筑类型</v>
      </c>
      <c r="R33" s="714" t="s">
        <v>17</v>
      </c>
      <c r="S33" s="715">
        <f t="shared" si="12"/>
        <v>100</v>
      </c>
      <c r="T33" s="714" t="s">
        <v>17</v>
      </c>
      <c r="U33" s="715">
        <f t="shared" si="13"/>
        <v>100</v>
      </c>
      <c r="V33" s="714" t="s">
        <v>17</v>
      </c>
      <c r="W33" s="715">
        <f t="shared" si="14"/>
        <v>100</v>
      </c>
      <c r="X33" s="1509"/>
      <c r="Y33" s="3523" t="s">
        <v>2327</v>
      </c>
      <c r="Z33" s="1510" t="str">
        <f t="shared" si="15"/>
        <v>建筑类型</v>
      </c>
      <c r="AA33" s="1507">
        <f t="shared" si="3"/>
        <v>1</v>
      </c>
      <c r="AB33" s="1507">
        <f t="shared" si="4"/>
        <v>1</v>
      </c>
      <c r="AC33" s="2118">
        <f t="shared" si="5"/>
        <v>1</v>
      </c>
    </row>
    <row r="34" spans="1:29" s="430" customFormat="1" ht="15">
      <c r="A34" s="427"/>
      <c r="B34" s="381" t="s">
        <v>2328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521"/>
      <c r="Q34" s="716" t="str">
        <f t="shared" si="11"/>
        <v>项目建筑规模</v>
      </c>
      <c r="R34" s="717" t="s">
        <v>17</v>
      </c>
      <c r="S34" s="718" t="e">
        <f t="shared" si="12"/>
        <v>#N/A</v>
      </c>
      <c r="T34" s="717" t="s">
        <v>17</v>
      </c>
      <c r="U34" s="718" t="e">
        <f t="shared" si="13"/>
        <v>#N/A</v>
      </c>
      <c r="V34" s="717" t="s">
        <v>17</v>
      </c>
      <c r="W34" s="718" t="e">
        <f t="shared" si="14"/>
        <v>#N/A</v>
      </c>
      <c r="X34" s="719"/>
      <c r="Y34" s="3523"/>
      <c r="Z34" s="720" t="str">
        <f t="shared" si="15"/>
        <v>项目建筑规模</v>
      </c>
      <c r="AA34" s="1507" t="e">
        <f t="shared" si="3"/>
        <v>#N/A</v>
      </c>
      <c r="AB34" s="1507" t="e">
        <f t="shared" si="4"/>
        <v>#N/A</v>
      </c>
      <c r="AC34" s="2118" t="e">
        <f t="shared" si="5"/>
        <v>#N/A</v>
      </c>
    </row>
    <row r="35" spans="1:29" ht="15">
      <c r="A35" s="431"/>
      <c r="B35" s="381" t="s">
        <v>2329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521"/>
      <c r="Q35" s="1506" t="str">
        <f t="shared" si="11"/>
        <v>建筑结构</v>
      </c>
      <c r="R35" s="714" t="s">
        <v>17</v>
      </c>
      <c r="S35" s="715">
        <f t="shared" si="12"/>
        <v>100</v>
      </c>
      <c r="T35" s="714" t="s">
        <v>17</v>
      </c>
      <c r="U35" s="715">
        <f t="shared" si="13"/>
        <v>100</v>
      </c>
      <c r="V35" s="714" t="s">
        <v>17</v>
      </c>
      <c r="W35" s="715">
        <f t="shared" si="14"/>
        <v>100</v>
      </c>
      <c r="X35" s="1509"/>
      <c r="Y35" s="3523"/>
      <c r="Z35" s="1510" t="str">
        <f t="shared" si="15"/>
        <v>建筑结构</v>
      </c>
      <c r="AA35" s="1507">
        <f t="shared" si="3"/>
        <v>1</v>
      </c>
      <c r="AB35" s="1507">
        <f t="shared" si="4"/>
        <v>1</v>
      </c>
      <c r="AC35" s="2118">
        <f t="shared" si="5"/>
        <v>1</v>
      </c>
    </row>
    <row r="36" spans="1:29" ht="15">
      <c r="A36" s="431"/>
      <c r="B36" s="381" t="s">
        <v>2423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521"/>
      <c r="Q36" s="1506" t="str">
        <f t="shared" si="11"/>
        <v>公共部分装修</v>
      </c>
      <c r="R36" s="714" t="s">
        <v>17</v>
      </c>
      <c r="S36" s="715">
        <f t="shared" si="12"/>
        <v>100</v>
      </c>
      <c r="T36" s="714" t="s">
        <v>17</v>
      </c>
      <c r="U36" s="715">
        <f t="shared" si="13"/>
        <v>100</v>
      </c>
      <c r="V36" s="714" t="s">
        <v>17</v>
      </c>
      <c r="W36" s="715">
        <f t="shared" si="14"/>
        <v>100</v>
      </c>
      <c r="X36" s="1509"/>
      <c r="Y36" s="3523"/>
      <c r="Z36" s="1510" t="str">
        <f t="shared" si="15"/>
        <v>公共部分装修</v>
      </c>
      <c r="AA36" s="1507">
        <f t="shared" si="3"/>
        <v>1</v>
      </c>
      <c r="AB36" s="1507">
        <f t="shared" si="4"/>
        <v>1</v>
      </c>
      <c r="AC36" s="2118">
        <f t="shared" si="5"/>
        <v>1</v>
      </c>
    </row>
    <row r="37" spans="1:29" ht="15">
      <c r="A37" s="431"/>
      <c r="B37" s="381" t="s">
        <v>2424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521"/>
      <c r="Q37" s="1506" t="str">
        <f t="shared" si="11"/>
        <v>成新度</v>
      </c>
      <c r="R37" s="714" t="s">
        <v>17</v>
      </c>
      <c r="S37" s="715" t="e">
        <f t="shared" si="12"/>
        <v>#N/A</v>
      </c>
      <c r="T37" s="714" t="s">
        <v>17</v>
      </c>
      <c r="U37" s="715" t="e">
        <f t="shared" si="13"/>
        <v>#N/A</v>
      </c>
      <c r="V37" s="714" t="s">
        <v>17</v>
      </c>
      <c r="W37" s="715" t="e">
        <f t="shared" si="14"/>
        <v>#N/A</v>
      </c>
      <c r="X37" s="1509"/>
      <c r="Y37" s="3523"/>
      <c r="Z37" s="1510" t="str">
        <f t="shared" si="15"/>
        <v>成新度</v>
      </c>
      <c r="AA37" s="1507" t="e">
        <f t="shared" si="3"/>
        <v>#N/A</v>
      </c>
      <c r="AB37" s="1507" t="e">
        <f t="shared" si="4"/>
        <v>#N/A</v>
      </c>
      <c r="AC37" s="2118" t="e">
        <f t="shared" si="5"/>
        <v>#N/A</v>
      </c>
    </row>
    <row r="38" spans="1:29" s="113" customFormat="1" ht="15">
      <c r="A38" s="432"/>
      <c r="B38" s="381" t="s">
        <v>2456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521"/>
      <c r="Q38" s="1497" t="str">
        <f t="shared" si="11"/>
        <v>写字楼等级</v>
      </c>
      <c r="R38" s="710" t="s">
        <v>17</v>
      </c>
      <c r="S38" s="711">
        <f t="shared" si="12"/>
        <v>100</v>
      </c>
      <c r="T38" s="710" t="s">
        <v>17</v>
      </c>
      <c r="U38" s="711">
        <f t="shared" si="13"/>
        <v>100</v>
      </c>
      <c r="V38" s="710" t="s">
        <v>17</v>
      </c>
      <c r="W38" s="711">
        <f t="shared" si="14"/>
        <v>100</v>
      </c>
      <c r="X38" s="712"/>
      <c r="Y38" s="3523"/>
      <c r="Z38" s="55" t="str">
        <f t="shared" si="15"/>
        <v>写字楼等级</v>
      </c>
      <c r="AA38" s="713">
        <f t="shared" si="3"/>
        <v>1</v>
      </c>
      <c r="AB38" s="713">
        <f t="shared" si="4"/>
        <v>1</v>
      </c>
      <c r="AC38" s="2115">
        <f t="shared" si="5"/>
        <v>1</v>
      </c>
    </row>
    <row r="39" spans="1:29" ht="15">
      <c r="A39" s="431"/>
      <c r="B39" s="381" t="s">
        <v>2457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521" t="s">
        <v>2327</v>
      </c>
      <c r="Q39" s="1506" t="str">
        <f t="shared" si="11"/>
        <v>物业管理</v>
      </c>
      <c r="R39" s="714" t="s">
        <v>17</v>
      </c>
      <c r="S39" s="715">
        <f t="shared" si="12"/>
        <v>100</v>
      </c>
      <c r="T39" s="714" t="s">
        <v>17</v>
      </c>
      <c r="U39" s="715">
        <f t="shared" si="13"/>
        <v>100</v>
      </c>
      <c r="V39" s="714" t="s">
        <v>17</v>
      </c>
      <c r="W39" s="715">
        <f t="shared" si="14"/>
        <v>100</v>
      </c>
      <c r="X39" s="1509"/>
      <c r="Y39" s="3523" t="s">
        <v>2327</v>
      </c>
      <c r="Z39" s="1510" t="str">
        <f t="shared" si="15"/>
        <v>物业管理</v>
      </c>
      <c r="AA39" s="1507">
        <f t="shared" si="3"/>
        <v>1</v>
      </c>
      <c r="AB39" s="1507">
        <f t="shared" si="4"/>
        <v>1</v>
      </c>
      <c r="AC39" s="2118">
        <f t="shared" si="5"/>
        <v>1</v>
      </c>
    </row>
    <row r="40" spans="1:29" ht="15">
      <c r="A40" s="431"/>
      <c r="B40" s="381" t="s">
        <v>2425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521"/>
      <c r="Q40" s="1506" t="str">
        <f t="shared" si="11"/>
        <v>市政基础设施</v>
      </c>
      <c r="R40" s="714" t="s">
        <v>17</v>
      </c>
      <c r="S40" s="715">
        <f t="shared" si="12"/>
        <v>100</v>
      </c>
      <c r="T40" s="714" t="s">
        <v>17</v>
      </c>
      <c r="U40" s="715">
        <f t="shared" si="13"/>
        <v>100</v>
      </c>
      <c r="V40" s="714" t="s">
        <v>17</v>
      </c>
      <c r="W40" s="715">
        <f t="shared" si="14"/>
        <v>100</v>
      </c>
      <c r="X40" s="1509"/>
      <c r="Y40" s="3523"/>
      <c r="Z40" s="1510" t="str">
        <f t="shared" si="15"/>
        <v>市政基础设施</v>
      </c>
      <c r="AA40" s="1507">
        <f t="shared" si="3"/>
        <v>1</v>
      </c>
      <c r="AB40" s="1507">
        <f t="shared" si="4"/>
        <v>1</v>
      </c>
      <c r="AC40" s="2118">
        <f t="shared" si="5"/>
        <v>1</v>
      </c>
    </row>
    <row r="41" spans="1:29" ht="15">
      <c r="A41" s="431"/>
      <c r="B41" s="381" t="s">
        <v>2427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521"/>
      <c r="Q41" s="1506" t="str">
        <f t="shared" si="11"/>
        <v>层高</v>
      </c>
      <c r="R41" s="714" t="s">
        <v>17</v>
      </c>
      <c r="S41" s="715">
        <f t="shared" si="12"/>
        <v>100</v>
      </c>
      <c r="T41" s="714" t="s">
        <v>17</v>
      </c>
      <c r="U41" s="715">
        <f t="shared" si="13"/>
        <v>100</v>
      </c>
      <c r="V41" s="714" t="s">
        <v>17</v>
      </c>
      <c r="W41" s="715">
        <f t="shared" si="14"/>
        <v>100</v>
      </c>
      <c r="X41" s="1509"/>
      <c r="Y41" s="3523"/>
      <c r="Z41" s="1510" t="str">
        <f t="shared" si="15"/>
        <v>层高</v>
      </c>
      <c r="AA41" s="1507">
        <f t="shared" si="3"/>
        <v>1</v>
      </c>
      <c r="AB41" s="1507">
        <f t="shared" si="4"/>
        <v>1</v>
      </c>
      <c r="AC41" s="2118">
        <f t="shared" si="5"/>
        <v>1</v>
      </c>
    </row>
    <row r="42" spans="1:29" s="430" customFormat="1" ht="15">
      <c r="A42" s="427"/>
      <c r="B42" s="1508" t="s">
        <v>2458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521"/>
      <c r="Q42" s="716" t="str">
        <f t="shared" si="11"/>
        <v>单套建筑面积</v>
      </c>
      <c r="R42" s="717" t="s">
        <v>17</v>
      </c>
      <c r="S42" s="718">
        <f t="shared" si="12"/>
        <v>100</v>
      </c>
      <c r="T42" s="717" t="s">
        <v>17</v>
      </c>
      <c r="U42" s="718">
        <f t="shared" si="13"/>
        <v>100</v>
      </c>
      <c r="V42" s="717" t="s">
        <v>17</v>
      </c>
      <c r="W42" s="718">
        <f t="shared" si="14"/>
        <v>100</v>
      </c>
      <c r="X42" s="719"/>
      <c r="Y42" s="3523"/>
      <c r="Z42" s="720" t="str">
        <f t="shared" si="15"/>
        <v>单套建筑面积</v>
      </c>
      <c r="AA42" s="1507">
        <f t="shared" si="3"/>
        <v>1</v>
      </c>
      <c r="AB42" s="1507">
        <f t="shared" si="4"/>
        <v>1</v>
      </c>
      <c r="AC42" s="2118">
        <f t="shared" si="5"/>
        <v>1</v>
      </c>
    </row>
    <row r="43" spans="1:29" ht="15">
      <c r="A43" s="431"/>
      <c r="B43" s="381" t="s">
        <v>2430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521"/>
      <c r="Q43" s="1506" t="str">
        <f t="shared" si="11"/>
        <v>内部装修</v>
      </c>
      <c r="R43" s="714" t="s">
        <v>17</v>
      </c>
      <c r="S43" s="715">
        <f t="shared" si="12"/>
        <v>100</v>
      </c>
      <c r="T43" s="714" t="s">
        <v>17</v>
      </c>
      <c r="U43" s="715">
        <f t="shared" si="13"/>
        <v>100</v>
      </c>
      <c r="V43" s="714" t="s">
        <v>17</v>
      </c>
      <c r="W43" s="715">
        <f t="shared" si="14"/>
        <v>100</v>
      </c>
      <c r="X43" s="1509"/>
      <c r="Y43" s="3523"/>
      <c r="Z43" s="1510" t="str">
        <f t="shared" si="15"/>
        <v>内部装修</v>
      </c>
      <c r="AA43" s="1507">
        <f t="shared" si="3"/>
        <v>1</v>
      </c>
      <c r="AB43" s="1507">
        <f t="shared" si="4"/>
        <v>1</v>
      </c>
      <c r="AC43" s="2118">
        <f t="shared" si="5"/>
        <v>1</v>
      </c>
    </row>
    <row r="44" spans="1:29" ht="15">
      <c r="A44" s="431"/>
      <c r="B44" s="381" t="s">
        <v>2338</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521"/>
      <c r="Q44" s="1506" t="str">
        <f t="shared" si="11"/>
        <v>内部装修维护情况</v>
      </c>
      <c r="R44" s="714" t="s">
        <v>17</v>
      </c>
      <c r="S44" s="715">
        <f t="shared" si="12"/>
        <v>100</v>
      </c>
      <c r="T44" s="714" t="s">
        <v>17</v>
      </c>
      <c r="U44" s="715">
        <f t="shared" si="13"/>
        <v>100</v>
      </c>
      <c r="V44" s="714" t="s">
        <v>17</v>
      </c>
      <c r="W44" s="715">
        <f t="shared" si="14"/>
        <v>100</v>
      </c>
      <c r="X44" s="1509"/>
      <c r="Y44" s="3523"/>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521"/>
      <c r="Q45" s="1497">
        <f t="shared" si="11"/>
        <v>111</v>
      </c>
      <c r="R45" s="710" t="s">
        <v>17</v>
      </c>
      <c r="S45" s="711">
        <f t="shared" si="12"/>
        <v>100</v>
      </c>
      <c r="T45" s="710" t="s">
        <v>17</v>
      </c>
      <c r="U45" s="711">
        <f t="shared" si="13"/>
        <v>100</v>
      </c>
      <c r="V45" s="710" t="s">
        <v>17</v>
      </c>
      <c r="W45" s="711">
        <f t="shared" si="14"/>
        <v>100</v>
      </c>
      <c r="X45" s="712"/>
      <c r="Y45" s="3523"/>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521"/>
      <c r="Q46" s="1506">
        <f t="shared" si="11"/>
        <v>111</v>
      </c>
      <c r="R46" s="714" t="s">
        <v>17</v>
      </c>
      <c r="S46" s="715">
        <f t="shared" si="12"/>
        <v>100</v>
      </c>
      <c r="T46" s="714" t="s">
        <v>17</v>
      </c>
      <c r="U46" s="715">
        <f t="shared" si="13"/>
        <v>100</v>
      </c>
      <c r="V46" s="714" t="s">
        <v>17</v>
      </c>
      <c r="W46" s="715">
        <f t="shared" si="14"/>
        <v>100</v>
      </c>
      <c r="X46" s="1509"/>
      <c r="Y46" s="3523"/>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522"/>
      <c r="Q47" s="1506">
        <f t="shared" si="11"/>
        <v>111</v>
      </c>
      <c r="R47" s="714" t="s">
        <v>17</v>
      </c>
      <c r="S47" s="715">
        <f t="shared" si="12"/>
        <v>100</v>
      </c>
      <c r="T47" s="714" t="s">
        <v>17</v>
      </c>
      <c r="U47" s="715">
        <f t="shared" si="13"/>
        <v>100</v>
      </c>
      <c r="V47" s="714" t="s">
        <v>17</v>
      </c>
      <c r="W47" s="715">
        <f t="shared" si="14"/>
        <v>100</v>
      </c>
      <c r="X47" s="1509"/>
      <c r="Y47" s="3524"/>
      <c r="Z47" s="1510">
        <f t="shared" si="15"/>
        <v>111</v>
      </c>
      <c r="AA47" s="1507">
        <f t="shared" si="3"/>
        <v>1</v>
      </c>
      <c r="AB47" s="1507">
        <f t="shared" si="4"/>
        <v>1</v>
      </c>
      <c r="AC47" s="2118">
        <f t="shared" si="5"/>
        <v>1</v>
      </c>
    </row>
    <row r="48" spans="1:29" ht="15">
      <c r="A48" s="438" t="s">
        <v>2339</v>
      </c>
      <c r="B48" s="439"/>
      <c r="C48" s="1288" t="s">
        <v>1</v>
      </c>
      <c r="D48" s="1289"/>
      <c r="E48" s="1290"/>
      <c r="F48" s="1291"/>
      <c r="G48" s="1292"/>
      <c r="H48" s="1293"/>
      <c r="I48" s="1290"/>
      <c r="J48" s="444"/>
      <c r="K48" s="723"/>
      <c r="L48" s="2923"/>
      <c r="M48" s="2915"/>
      <c r="N48" s="2915"/>
      <c r="O48" s="2915"/>
      <c r="P48" s="3498" t="str">
        <f>A48</f>
        <v>成交单价（元/平方米）</v>
      </c>
      <c r="Q48" s="3516"/>
      <c r="R48" s="3517">
        <f>E48</f>
        <v>0</v>
      </c>
      <c r="S48" s="3517"/>
      <c r="T48" s="3517">
        <f>G48</f>
        <v>0</v>
      </c>
      <c r="U48" s="3517"/>
      <c r="V48" s="3517">
        <f>I48</f>
        <v>0</v>
      </c>
      <c r="W48" s="3517"/>
      <c r="X48" s="405"/>
      <c r="Y48" s="721"/>
      <c r="Z48" s="405"/>
      <c r="AA48" s="405"/>
      <c r="AB48" s="405"/>
      <c r="AC48" s="586"/>
    </row>
    <row r="49" spans="1:29" ht="15.75" thickBot="1">
      <c r="A49" s="445" t="s">
        <v>2431</v>
      </c>
      <c r="B49" s="446"/>
      <c r="C49" s="1294" t="e">
        <f>R50</f>
        <v>#DIV/0!</v>
      </c>
      <c r="D49" s="2508" t="s">
        <v>2822</v>
      </c>
      <c r="E49" s="1295" t="e">
        <f>R49</f>
        <v>#DIV/0!</v>
      </c>
      <c r="F49" s="2509"/>
      <c r="G49" s="1294" t="e">
        <f>T49</f>
        <v>#DIV/0!</v>
      </c>
      <c r="H49" s="2509"/>
      <c r="I49" s="1295" t="e">
        <f>V49</f>
        <v>#DIV/0!</v>
      </c>
      <c r="J49" s="2509"/>
      <c r="K49" s="2511">
        <f>F49+H49+J49</f>
        <v>0</v>
      </c>
      <c r="L49" s="2923"/>
      <c r="M49" s="2915"/>
      <c r="N49" s="2915"/>
      <c r="O49" s="2915"/>
      <c r="P49" s="3498" t="str">
        <f>A49</f>
        <v>比较价值（元/平方米）</v>
      </c>
      <c r="Q49" s="3516"/>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405"/>
      <c r="Y49" s="405"/>
      <c r="Z49" s="405"/>
      <c r="AA49" s="405"/>
      <c r="AB49" s="405"/>
      <c r="AC49" s="586"/>
    </row>
    <row r="50" spans="1:29" ht="15.75" thickBot="1">
      <c r="A50" s="449" t="s">
        <v>2432</v>
      </c>
      <c r="B50" s="450"/>
      <c r="C50" s="1297" t="e">
        <f>R50</f>
        <v>#DIV/0!</v>
      </c>
      <c r="D50" s="1297"/>
      <c r="E50" s="1297"/>
      <c r="F50" s="1297"/>
      <c r="G50" s="1297"/>
      <c r="H50" s="1297"/>
      <c r="I50" s="1297"/>
      <c r="J50" s="451"/>
      <c r="K50" s="724"/>
      <c r="L50" s="2923"/>
      <c r="M50" s="2915"/>
      <c r="N50" s="2915"/>
      <c r="O50" s="2915"/>
      <c r="P50" s="3539" t="str">
        <f>A50</f>
        <v>估价对象XX用房的比较价值（楼面单价，元/平方米）</v>
      </c>
      <c r="Q50" s="3540"/>
      <c r="R50" s="3541" t="e">
        <f>IF(F1="售价",ROUND(IF(D49="简单平均",AVERAGE(R49:V49),R49*F49+T49*H49+V49*J49),0),ROUND(IF(D49="简单平均",AVERAGE(R49:V49),R49*F49+T49*H49+V49*J49),1))</f>
        <v>#DIV/0!</v>
      </c>
      <c r="S50" s="3541"/>
      <c r="T50" s="3541"/>
      <c r="U50" s="3541"/>
      <c r="V50" s="3541"/>
      <c r="W50" s="3541"/>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2436</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2310</v>
      </c>
      <c r="B59" s="463"/>
      <c r="C59" s="1318" t="str">
        <f>YEAR(C7)&amp;"-"&amp;MONTH(C7)</f>
        <v>1900-1</v>
      </c>
      <c r="D59" s="1319" t="e">
        <f>EDATE(C59,-1)</f>
        <v>#NUM!</v>
      </c>
      <c r="E59" s="1319" t="e">
        <f>EDATE(D59,-1)</f>
        <v>#NUM!</v>
      </c>
      <c r="F59" s="1319" t="e">
        <f t="shared" ref="F59:O59" si="16">EDATE(E59,-1)</f>
        <v>#NUM!</v>
      </c>
      <c r="G59" s="1319" t="e">
        <f t="shared" si="16"/>
        <v>#NUM!</v>
      </c>
      <c r="H59" s="1319" t="e">
        <f t="shared" si="16"/>
        <v>#NUM!</v>
      </c>
      <c r="I59" s="1319" t="e">
        <f t="shared" si="16"/>
        <v>#NUM!</v>
      </c>
      <c r="J59" s="1319" t="e">
        <f t="shared" si="16"/>
        <v>#NUM!</v>
      </c>
      <c r="K59" s="1319" t="e">
        <f t="shared" si="16"/>
        <v>#NUM!</v>
      </c>
      <c r="L59" s="1319" t="e">
        <f t="shared" si="16"/>
        <v>#NUM!</v>
      </c>
      <c r="M59" s="1319" t="e">
        <f t="shared" si="16"/>
        <v>#NUM!</v>
      </c>
      <c r="N59" s="1319" t="e">
        <f t="shared" si="16"/>
        <v>#NUM!</v>
      </c>
      <c r="O59" s="1319" t="e">
        <f t="shared" si="16"/>
        <v>#NUM!</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2347</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2312</v>
      </c>
      <c r="B62" s="467"/>
      <c r="C62" s="479" t="s">
        <v>2414</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2350</v>
      </c>
      <c r="B64" s="485" t="s">
        <v>2316</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2319</v>
      </c>
      <c r="C66" s="496" t="s">
        <v>2351</v>
      </c>
      <c r="D66" s="496" t="s">
        <v>2352</v>
      </c>
      <c r="E66" s="496" t="s">
        <v>2353</v>
      </c>
      <c r="F66" s="496" t="s">
        <v>2354</v>
      </c>
      <c r="G66" s="496" t="s">
        <v>2355</v>
      </c>
      <c r="H66" s="496" t="s">
        <v>2356</v>
      </c>
      <c r="I66" s="496" t="s">
        <v>2357</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2320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2321</v>
      </c>
      <c r="B77" s="485" t="s">
        <v>2459</v>
      </c>
      <c r="C77" s="530" t="s">
        <v>2359</v>
      </c>
      <c r="D77" s="530" t="s">
        <v>2360</v>
      </c>
      <c r="E77" s="530" t="s">
        <v>2361</v>
      </c>
      <c r="F77" s="530" t="s">
        <v>2362</v>
      </c>
      <c r="G77" s="530" t="s">
        <v>2363</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2364</v>
      </c>
      <c r="C79" s="535" t="s">
        <v>2359</v>
      </c>
      <c r="D79" s="535" t="s">
        <v>2360</v>
      </c>
      <c r="E79" s="535" t="s">
        <v>2361</v>
      </c>
      <c r="F79" s="535" t="s">
        <v>2362</v>
      </c>
      <c r="G79" s="535" t="s">
        <v>2363</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2365</v>
      </c>
      <c r="C81" s="535" t="s">
        <v>2359</v>
      </c>
      <c r="D81" s="535" t="s">
        <v>2360</v>
      </c>
      <c r="E81" s="535" t="s">
        <v>2361</v>
      </c>
      <c r="F81" s="535" t="s">
        <v>2362</v>
      </c>
      <c r="G81" s="535" t="s">
        <v>2363</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2451</v>
      </c>
      <c r="C83" s="616" t="s">
        <v>2437</v>
      </c>
      <c r="D83" s="616" t="s">
        <v>2438</v>
      </c>
      <c r="E83" s="616" t="s">
        <v>2439</v>
      </c>
      <c r="F83" s="616" t="s">
        <v>2440</v>
      </c>
      <c r="G83" s="616" t="s">
        <v>2441</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2460</v>
      </c>
      <c r="C85" s="535" t="s">
        <v>2359</v>
      </c>
      <c r="D85" s="535" t="s">
        <v>2360</v>
      </c>
      <c r="E85" s="535" t="s">
        <v>2361</v>
      </c>
      <c r="F85" s="535" t="s">
        <v>2362</v>
      </c>
      <c r="G85" s="535" t="s">
        <v>2363</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2461</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2325</v>
      </c>
      <c r="B101" s="485" t="s">
        <v>2374</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2376</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2378</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2462</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2379</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2380</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2463</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2446</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2382</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2383</v>
      </c>
      <c r="C125" s="535" t="s">
        <v>2359</v>
      </c>
      <c r="D125" s="535" t="s">
        <v>2360</v>
      </c>
      <c r="E125" s="535" t="s">
        <v>2361</v>
      </c>
      <c r="F125" s="535" t="s">
        <v>2362</v>
      </c>
      <c r="G125" s="535" t="s">
        <v>2363</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2290</v>
      </c>
      <c r="B1" s="2113" t="s">
        <v>2464</v>
      </c>
      <c r="C1" s="1364" t="s">
        <v>2292</v>
      </c>
      <c r="D1" s="1365"/>
      <c r="E1" s="1374"/>
      <c r="F1" s="2035"/>
      <c r="G1" s="1375" t="s">
        <v>2405</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2089</v>
      </c>
      <c r="B2" s="1298" t="e">
        <f ca="1">IF(C2="——",ROUND(C43*D3/10000,0),ROUND(C43*D3/10000,0)-D2)</f>
        <v>#DIV/0!</v>
      </c>
      <c r="C2" s="2037"/>
      <c r="D2" s="1038" t="e">
        <f ca="1">SUMIF(INDIRECT("'"&amp;F2&amp;"'"&amp;"!A:A"),"承租人权益价值",INDIRECT("'"&amp;F2&amp;"'"&amp;"!c:c"))</f>
        <v>#REF!</v>
      </c>
      <c r="E2" s="2038" t="s">
        <v>2090</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2091</v>
      </c>
      <c r="B3" s="566" t="e">
        <f ca="1">IF(C2="——",C43,ROUND(B2*10000/D3,0))</f>
        <v>#DIV/0!</v>
      </c>
      <c r="C3" s="360" t="s">
        <v>2406</v>
      </c>
      <c r="D3" s="359">
        <f>IF(D1="",'数据-汇总表'!E3,SUMIF('数据-汇总表'!$C19:$C33,D1,'数据-汇总表'!$E19:$E33))</f>
        <v>0</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2407</v>
      </c>
      <c r="B4" s="362"/>
      <c r="C4" s="3499" t="s">
        <v>2408</v>
      </c>
      <c r="D4" s="3500"/>
      <c r="E4" s="3501" t="s">
        <v>2409</v>
      </c>
      <c r="F4" s="3502"/>
      <c r="G4" s="3499" t="s">
        <v>2410</v>
      </c>
      <c r="H4" s="3500"/>
      <c r="I4" s="3499" t="s">
        <v>2411</v>
      </c>
      <c r="J4" s="3500"/>
      <c r="K4" s="567" t="s">
        <v>2412</v>
      </c>
      <c r="L4" s="1044"/>
      <c r="M4" s="1045"/>
      <c r="N4" s="1045"/>
      <c r="O4" s="1045"/>
      <c r="P4" s="3503" t="s">
        <v>2413</v>
      </c>
      <c r="Q4" s="3504"/>
      <c r="R4" s="3486" t="s">
        <v>2409</v>
      </c>
      <c r="S4" s="3487"/>
      <c r="T4" s="3486" t="s">
        <v>2410</v>
      </c>
      <c r="U4" s="3487"/>
      <c r="V4" s="3511" t="s">
        <v>2411</v>
      </c>
      <c r="W4" s="3511"/>
      <c r="X4" s="1509"/>
      <c r="Y4" s="3486" t="s">
        <v>2413</v>
      </c>
      <c r="Z4" s="3487"/>
      <c r="AA4" s="3481" t="s">
        <v>2409</v>
      </c>
      <c r="AB4" s="3482" t="s">
        <v>2410</v>
      </c>
      <c r="AC4" s="3481" t="s">
        <v>2411</v>
      </c>
    </row>
    <row r="5" spans="1:29" ht="15">
      <c r="A5" s="364"/>
      <c r="B5" s="365"/>
      <c r="C5" s="3492" t="s">
        <v>2304</v>
      </c>
      <c r="D5" s="3493"/>
      <c r="E5" s="3490" t="s">
        <v>2305</v>
      </c>
      <c r="F5" s="3491"/>
      <c r="G5" s="3492" t="s">
        <v>2306</v>
      </c>
      <c r="H5" s="3493"/>
      <c r="I5" s="3492" t="s">
        <v>2307</v>
      </c>
      <c r="J5" s="3493"/>
      <c r="K5" s="567"/>
      <c r="L5" s="1044"/>
      <c r="M5" s="1045"/>
      <c r="N5" s="1045"/>
      <c r="O5" s="1045"/>
      <c r="P5" s="3505"/>
      <c r="Q5" s="3506"/>
      <c r="R5" s="3488"/>
      <c r="S5" s="3489"/>
      <c r="T5" s="3488"/>
      <c r="U5" s="3489"/>
      <c r="V5" s="3511"/>
      <c r="W5" s="3511"/>
      <c r="X5" s="1509"/>
      <c r="Y5" s="3488"/>
      <c r="Z5" s="3489"/>
      <c r="AA5" s="3482"/>
      <c r="AB5" s="3482"/>
      <c r="AC5" s="3482"/>
    </row>
    <row r="6" spans="1:29" ht="15.75" thickBot="1">
      <c r="A6" s="366"/>
      <c r="B6" s="367"/>
      <c r="C6" s="3494" t="s">
        <v>2308</v>
      </c>
      <c r="D6" s="3495"/>
      <c r="E6" s="3496" t="s">
        <v>2308</v>
      </c>
      <c r="F6" s="3497"/>
      <c r="G6" s="3494" t="s">
        <v>2308</v>
      </c>
      <c r="H6" s="3495"/>
      <c r="I6" s="3494" t="s">
        <v>2308</v>
      </c>
      <c r="J6" s="3495"/>
      <c r="K6" s="567" t="s">
        <v>2309</v>
      </c>
      <c r="L6" s="1044"/>
      <c r="M6" s="1045"/>
      <c r="N6" s="1045"/>
      <c r="O6" s="1045"/>
      <c r="P6" s="3507"/>
      <c r="Q6" s="3508"/>
      <c r="R6" s="3488"/>
      <c r="S6" s="3489"/>
      <c r="T6" s="3509"/>
      <c r="U6" s="3510"/>
      <c r="V6" s="3511"/>
      <c r="W6" s="3511"/>
      <c r="X6" s="1509"/>
      <c r="Y6" s="3509"/>
      <c r="Z6" s="3510"/>
      <c r="AA6" s="3483"/>
      <c r="AB6" s="3483"/>
      <c r="AC6" s="3483"/>
    </row>
    <row r="7" spans="1:29" s="113" customFormat="1" ht="15.75" thickBot="1">
      <c r="A7" s="368" t="s">
        <v>2310</v>
      </c>
      <c r="B7" s="369"/>
      <c r="C7" s="370">
        <f>'数据-取费表'!B2</f>
        <v>0</v>
      </c>
      <c r="D7" s="371">
        <v>100</v>
      </c>
      <c r="E7" s="372"/>
      <c r="F7" s="373">
        <f>SUMIF(52:52,YEAR(E7)&amp;"-"&amp;MONTH(E7),53:53)</f>
        <v>100</v>
      </c>
      <c r="G7" s="372"/>
      <c r="H7" s="371">
        <f>SUMIF(52:52,YEAR(G7)&amp;"-"&amp;MONTH(G7),53:53)</f>
        <v>100</v>
      </c>
      <c r="I7" s="372"/>
      <c r="J7" s="371">
        <f>SUMIF(52:52,YEAR(I7)&amp;"-"&amp;MONTH(I7),53:53)</f>
        <v>100</v>
      </c>
      <c r="K7" s="568"/>
      <c r="L7" s="1046"/>
      <c r="M7" s="1047"/>
      <c r="N7" s="1047"/>
      <c r="O7" s="1047"/>
      <c r="P7" s="3484" t="s">
        <v>2311</v>
      </c>
      <c r="Q7" s="3512"/>
      <c r="R7" s="710" t="s">
        <v>17</v>
      </c>
      <c r="S7" s="711">
        <f t="shared" ref="S7:S15" si="0">F7</f>
        <v>100</v>
      </c>
      <c r="T7" s="710" t="s">
        <v>17</v>
      </c>
      <c r="U7" s="711">
        <f t="shared" ref="U7:U15" si="1">H7</f>
        <v>100</v>
      </c>
      <c r="V7" s="710" t="s">
        <v>17</v>
      </c>
      <c r="W7" s="711">
        <f t="shared" ref="W7:W15" si="2">J7</f>
        <v>100</v>
      </c>
      <c r="X7" s="712"/>
      <c r="Y7" s="3484" t="s">
        <v>2311</v>
      </c>
      <c r="Z7" s="3485"/>
      <c r="AA7" s="713">
        <f>D7/F7</f>
        <v>1</v>
      </c>
      <c r="AB7" s="713">
        <f>D7/H7</f>
        <v>1</v>
      </c>
      <c r="AC7" s="713">
        <f>D7/J7</f>
        <v>1</v>
      </c>
    </row>
    <row r="8" spans="1:29" s="113" customFormat="1" ht="15.75" thickBot="1">
      <c r="A8" s="368" t="s">
        <v>2312</v>
      </c>
      <c r="B8" s="369"/>
      <c r="C8" s="374" t="s">
        <v>2313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84" t="s">
        <v>2314</v>
      </c>
      <c r="Q8" s="3485"/>
      <c r="R8" s="710" t="s">
        <v>17</v>
      </c>
      <c r="S8" s="711">
        <f t="shared" si="0"/>
        <v>0</v>
      </c>
      <c r="T8" s="710" t="s">
        <v>17</v>
      </c>
      <c r="U8" s="711">
        <f t="shared" si="1"/>
        <v>0</v>
      </c>
      <c r="V8" s="710" t="s">
        <v>17</v>
      </c>
      <c r="W8" s="711">
        <f t="shared" si="2"/>
        <v>0</v>
      </c>
      <c r="X8" s="712"/>
      <c r="Y8" s="3484" t="s">
        <v>2314</v>
      </c>
      <c r="Z8" s="3485"/>
      <c r="AA8" s="713" t="e">
        <f t="shared" ref="AA8:AA40" si="3">D8/F8</f>
        <v>#DIV/0!</v>
      </c>
      <c r="AB8" s="713" t="e">
        <f t="shared" ref="AB8:AB40" si="4">D8/H8</f>
        <v>#DIV/0!</v>
      </c>
      <c r="AC8" s="713" t="e">
        <f t="shared" ref="AC8:AC40" si="5">D8/J8</f>
        <v>#DIV/0!</v>
      </c>
    </row>
    <row r="9" spans="1:29" s="113" customFormat="1">
      <c r="A9" s="375" t="s">
        <v>2315</v>
      </c>
      <c r="B9" s="67" t="s">
        <v>2316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16" t="s">
        <v>2317</v>
      </c>
      <c r="Q9" s="1497" t="str">
        <f t="shared" ref="Q9:Q15" si="6">B9</f>
        <v>用途</v>
      </c>
      <c r="R9" s="710" t="s">
        <v>17</v>
      </c>
      <c r="S9" s="711">
        <f t="shared" si="0"/>
        <v>100</v>
      </c>
      <c r="T9" s="710" t="s">
        <v>17</v>
      </c>
      <c r="U9" s="711">
        <f t="shared" si="1"/>
        <v>100</v>
      </c>
      <c r="V9" s="710" t="s">
        <v>17</v>
      </c>
      <c r="W9" s="711">
        <f t="shared" si="2"/>
        <v>100</v>
      </c>
      <c r="X9" s="712"/>
      <c r="Y9" s="3428" t="s">
        <v>2318</v>
      </c>
      <c r="Z9" s="55" t="str">
        <f t="shared" ref="Z9:Z15" si="7">Q9</f>
        <v>用途</v>
      </c>
      <c r="AA9" s="713">
        <f t="shared" si="3"/>
        <v>1</v>
      </c>
      <c r="AB9" s="713">
        <f t="shared" si="4"/>
        <v>1</v>
      </c>
      <c r="AC9" s="713">
        <f t="shared" si="5"/>
        <v>1</v>
      </c>
    </row>
    <row r="10" spans="1:29" s="386" customFormat="1" ht="27">
      <c r="A10" s="380"/>
      <c r="B10" s="381" t="s">
        <v>2319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16"/>
      <c r="Q10" s="149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381" t="s">
        <v>2320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16"/>
      <c r="Q11" s="1497"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516"/>
      <c r="Q12" s="149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516"/>
      <c r="Q13" s="149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516"/>
      <c r="Q14" s="1497">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713">
        <f t="shared" si="5"/>
        <v>1</v>
      </c>
    </row>
    <row r="15" spans="1:29" ht="57">
      <c r="A15" s="399" t="s">
        <v>2321</v>
      </c>
      <c r="B15" s="65" t="s">
        <v>2465</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18" t="s">
        <v>2322</v>
      </c>
      <c r="Q15" s="1506" t="str">
        <f t="shared" si="6"/>
        <v>产业集聚程度</v>
      </c>
      <c r="R15" s="714" t="s">
        <v>17</v>
      </c>
      <c r="S15" s="715">
        <f t="shared" si="0"/>
        <v>100</v>
      </c>
      <c r="T15" s="714" t="s">
        <v>17</v>
      </c>
      <c r="U15" s="715">
        <f t="shared" si="1"/>
        <v>100</v>
      </c>
      <c r="V15" s="714" t="s">
        <v>17</v>
      </c>
      <c r="W15" s="715">
        <f t="shared" si="2"/>
        <v>100</v>
      </c>
      <c r="X15" s="1509"/>
      <c r="Y15" s="3518" t="s">
        <v>2322</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519"/>
      <c r="Q16" s="1506"/>
      <c r="R16" s="714"/>
      <c r="S16" s="715"/>
      <c r="T16" s="714"/>
      <c r="U16" s="715"/>
      <c r="V16" s="714"/>
      <c r="W16" s="715"/>
      <c r="X16" s="1509"/>
      <c r="Y16" s="3519"/>
      <c r="Z16" s="1510"/>
      <c r="AA16" s="1507">
        <v>1</v>
      </c>
      <c r="AB16" s="1507">
        <v>1</v>
      </c>
      <c r="AC16" s="1507">
        <v>1</v>
      </c>
    </row>
    <row r="17" spans="1:29" ht="85.5">
      <c r="A17" s="387"/>
      <c r="B17" s="410" t="s">
        <v>1886</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19"/>
      <c r="Q17" s="1506" t="str">
        <f>B17</f>
        <v>交通便捷度</v>
      </c>
      <c r="R17" s="714" t="s">
        <v>17</v>
      </c>
      <c r="S17" s="715">
        <f>F17</f>
        <v>100</v>
      </c>
      <c r="T17" s="714" t="s">
        <v>17</v>
      </c>
      <c r="U17" s="715">
        <f>H17</f>
        <v>100</v>
      </c>
      <c r="V17" s="714" t="s">
        <v>17</v>
      </c>
      <c r="W17" s="715">
        <f>J17</f>
        <v>100</v>
      </c>
      <c r="X17" s="1509"/>
      <c r="Y17" s="3519"/>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519"/>
      <c r="Q18" s="1506"/>
      <c r="R18" s="714"/>
      <c r="S18" s="715"/>
      <c r="T18" s="714"/>
      <c r="U18" s="715"/>
      <c r="V18" s="714"/>
      <c r="W18" s="715"/>
      <c r="X18" s="1509"/>
      <c r="Y18" s="3519"/>
      <c r="Z18" s="1510"/>
      <c r="AA18" s="1507">
        <v>1</v>
      </c>
      <c r="AB18" s="1507">
        <v>1</v>
      </c>
      <c r="AC18" s="1507">
        <v>1</v>
      </c>
    </row>
    <row r="19" spans="1:29" ht="42.75">
      <c r="A19" s="387"/>
      <c r="B19" s="410" t="s">
        <v>2450</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19"/>
      <c r="Q19" s="1506" t="str">
        <f>B19</f>
        <v>公共配套设施</v>
      </c>
      <c r="R19" s="714" t="s">
        <v>17</v>
      </c>
      <c r="S19" s="715">
        <f>F19</f>
        <v>100</v>
      </c>
      <c r="T19" s="714" t="s">
        <v>17</v>
      </c>
      <c r="U19" s="715">
        <f>H19</f>
        <v>100</v>
      </c>
      <c r="V19" s="714" t="s">
        <v>17</v>
      </c>
      <c r="W19" s="715">
        <f>J19</f>
        <v>100</v>
      </c>
      <c r="X19" s="1509"/>
      <c r="Y19" s="3519"/>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519"/>
      <c r="Q20" s="1506"/>
      <c r="R20" s="714"/>
      <c r="S20" s="715"/>
      <c r="T20" s="714"/>
      <c r="U20" s="715"/>
      <c r="V20" s="714"/>
      <c r="W20" s="715"/>
      <c r="X20" s="1509"/>
      <c r="Y20" s="3519"/>
      <c r="Z20" s="1510"/>
      <c r="AA20" s="1507">
        <v>1</v>
      </c>
      <c r="AB20" s="1507">
        <v>1</v>
      </c>
      <c r="AC20" s="1507">
        <v>1</v>
      </c>
    </row>
    <row r="21" spans="1:29" ht="28.5">
      <c r="A21" s="387"/>
      <c r="B21" s="1265" t="s">
        <v>2451</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19"/>
      <c r="Q21" s="1506" t="str">
        <f>B21</f>
        <v>基础设施水平</v>
      </c>
      <c r="R21" s="714" t="s">
        <v>17</v>
      </c>
      <c r="S21" s="715">
        <f>F21</f>
        <v>100</v>
      </c>
      <c r="T21" s="714" t="s">
        <v>17</v>
      </c>
      <c r="U21" s="715">
        <f>H21</f>
        <v>100</v>
      </c>
      <c r="V21" s="714" t="s">
        <v>17</v>
      </c>
      <c r="W21" s="715">
        <f>J21</f>
        <v>100</v>
      </c>
      <c r="X21" s="1509"/>
      <c r="Y21" s="351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519"/>
      <c r="Q22" s="1506"/>
      <c r="R22" s="714"/>
      <c r="S22" s="715"/>
      <c r="T22" s="714"/>
      <c r="U22" s="715"/>
      <c r="V22" s="714"/>
      <c r="W22" s="715"/>
      <c r="X22" s="1509"/>
      <c r="Y22" s="3519"/>
      <c r="Z22" s="1510"/>
      <c r="AA22" s="1507">
        <v>1</v>
      </c>
      <c r="AB22" s="1507">
        <v>1</v>
      </c>
      <c r="AC22" s="1507">
        <v>1</v>
      </c>
    </row>
    <row r="23" spans="1:29" ht="71.25">
      <c r="A23" s="387"/>
      <c r="B23" s="410" t="s">
        <v>2452</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19"/>
      <c r="Q23" s="1506" t="str">
        <f>B23</f>
        <v>环境质量</v>
      </c>
      <c r="R23" s="714" t="s">
        <v>17</v>
      </c>
      <c r="S23" s="715">
        <f>F23</f>
        <v>100</v>
      </c>
      <c r="T23" s="714" t="s">
        <v>17</v>
      </c>
      <c r="U23" s="715">
        <f>H23</f>
        <v>100</v>
      </c>
      <c r="V23" s="714" t="s">
        <v>17</v>
      </c>
      <c r="W23" s="715">
        <f>J23</f>
        <v>100</v>
      </c>
      <c r="X23" s="1509"/>
      <c r="Y23" s="3519"/>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519"/>
      <c r="Q24" s="1506"/>
      <c r="R24" s="714"/>
      <c r="S24" s="715"/>
      <c r="T24" s="714"/>
      <c r="U24" s="715"/>
      <c r="V24" s="714"/>
      <c r="W24" s="715"/>
      <c r="X24" s="1509"/>
      <c r="Y24" s="3519"/>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19"/>
      <c r="Q25" s="1506">
        <f>B25</f>
        <v>111</v>
      </c>
      <c r="R25" s="714" t="s">
        <v>17</v>
      </c>
      <c r="S25" s="715">
        <f>F25</f>
        <v>100</v>
      </c>
      <c r="T25" s="714" t="s">
        <v>17</v>
      </c>
      <c r="U25" s="715">
        <f>H25</f>
        <v>100</v>
      </c>
      <c r="V25" s="714" t="s">
        <v>17</v>
      </c>
      <c r="W25" s="715">
        <f>J25</f>
        <v>100</v>
      </c>
      <c r="X25" s="1509"/>
      <c r="Y25" s="3519"/>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19"/>
      <c r="Q26" s="1506">
        <f t="shared" ref="Q26:Q40" si="11">B26</f>
        <v>111</v>
      </c>
      <c r="R26" s="714" t="s">
        <v>17</v>
      </c>
      <c r="S26" s="715">
        <f>F26</f>
        <v>100</v>
      </c>
      <c r="T26" s="714" t="s">
        <v>17</v>
      </c>
      <c r="U26" s="715">
        <f>H26</f>
        <v>100</v>
      </c>
      <c r="V26" s="714" t="s">
        <v>17</v>
      </c>
      <c r="W26" s="715">
        <f>J26</f>
        <v>100</v>
      </c>
      <c r="X26" s="1509"/>
      <c r="Y26" s="3519"/>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19"/>
      <c r="Q27" s="1497">
        <f t="shared" si="11"/>
        <v>111</v>
      </c>
      <c r="R27" s="710" t="s">
        <v>17</v>
      </c>
      <c r="S27" s="711">
        <f>F27</f>
        <v>100</v>
      </c>
      <c r="T27" s="710" t="s">
        <v>17</v>
      </c>
      <c r="U27" s="711">
        <f>H27</f>
        <v>100</v>
      </c>
      <c r="V27" s="710" t="s">
        <v>17</v>
      </c>
      <c r="W27" s="711">
        <f>J27</f>
        <v>100</v>
      </c>
      <c r="X27" s="712"/>
      <c r="Y27" s="3519"/>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19"/>
      <c r="Q28" s="1506">
        <f t="shared" si="11"/>
        <v>111</v>
      </c>
      <c r="R28" s="714" t="s">
        <v>17</v>
      </c>
      <c r="S28" s="715">
        <f t="shared" ref="S28:S40" si="12">F28</f>
        <v>100</v>
      </c>
      <c r="T28" s="714" t="s">
        <v>17</v>
      </c>
      <c r="U28" s="715">
        <f t="shared" ref="U28:U40" si="13">H28</f>
        <v>100</v>
      </c>
      <c r="V28" s="714" t="s">
        <v>17</v>
      </c>
      <c r="W28" s="715">
        <f t="shared" ref="W28:W40" si="14">J28</f>
        <v>100</v>
      </c>
      <c r="X28" s="1509"/>
      <c r="Y28" s="3519"/>
      <c r="Z28" s="1510">
        <f t="shared" ref="Z28:Z40" si="15">Q28</f>
        <v>111</v>
      </c>
      <c r="AA28" s="1507">
        <f t="shared" si="3"/>
        <v>1</v>
      </c>
      <c r="AB28" s="1507">
        <f t="shared" si="4"/>
        <v>1</v>
      </c>
      <c r="AC28" s="1507">
        <f t="shared" si="5"/>
        <v>1</v>
      </c>
    </row>
    <row r="29" spans="1:29" ht="28.5">
      <c r="A29" s="425" t="s">
        <v>2325</v>
      </c>
      <c r="B29" s="67" t="s">
        <v>2455</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42" t="s">
        <v>2327</v>
      </c>
      <c r="Q29" s="1506" t="str">
        <f t="shared" si="11"/>
        <v>建筑类型</v>
      </c>
      <c r="R29" s="714" t="s">
        <v>17</v>
      </c>
      <c r="S29" s="715">
        <f t="shared" si="12"/>
        <v>100</v>
      </c>
      <c r="T29" s="714" t="s">
        <v>17</v>
      </c>
      <c r="U29" s="715">
        <f t="shared" si="13"/>
        <v>100</v>
      </c>
      <c r="V29" s="714" t="s">
        <v>17</v>
      </c>
      <c r="W29" s="715">
        <f t="shared" si="14"/>
        <v>100</v>
      </c>
      <c r="X29" s="1509"/>
      <c r="Y29" s="3523" t="s">
        <v>2327</v>
      </c>
      <c r="Z29" s="1510" t="str">
        <f t="shared" si="15"/>
        <v>建筑类型</v>
      </c>
      <c r="AA29" s="1507">
        <f t="shared" si="3"/>
        <v>1</v>
      </c>
      <c r="AB29" s="1507">
        <f t="shared" si="4"/>
        <v>1</v>
      </c>
      <c r="AC29" s="1507">
        <f t="shared" si="5"/>
        <v>1</v>
      </c>
    </row>
    <row r="30" spans="1:29" s="430" customFormat="1" ht="15">
      <c r="A30" s="427"/>
      <c r="B30" s="381" t="s">
        <v>2328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23"/>
      <c r="Q30" s="716" t="str">
        <f t="shared" si="11"/>
        <v>项目建筑规模</v>
      </c>
      <c r="R30" s="717" t="s">
        <v>17</v>
      </c>
      <c r="S30" s="718" t="e">
        <f t="shared" si="12"/>
        <v>#N/A</v>
      </c>
      <c r="T30" s="717" t="s">
        <v>17</v>
      </c>
      <c r="U30" s="718" t="e">
        <f t="shared" si="13"/>
        <v>#N/A</v>
      </c>
      <c r="V30" s="717" t="s">
        <v>17</v>
      </c>
      <c r="W30" s="718" t="e">
        <f t="shared" si="14"/>
        <v>#N/A</v>
      </c>
      <c r="X30" s="719"/>
      <c r="Y30" s="3523"/>
      <c r="Z30" s="720" t="str">
        <f t="shared" si="15"/>
        <v>项目建筑规模</v>
      </c>
      <c r="AA30" s="1507" t="e">
        <f t="shared" si="3"/>
        <v>#N/A</v>
      </c>
      <c r="AB30" s="1507" t="e">
        <f t="shared" si="4"/>
        <v>#N/A</v>
      </c>
      <c r="AC30" s="1507" t="e">
        <f t="shared" si="5"/>
        <v>#N/A</v>
      </c>
    </row>
    <row r="31" spans="1:29" ht="15">
      <c r="A31" s="431"/>
      <c r="B31" s="381" t="s">
        <v>2329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23"/>
      <c r="Q31" s="1506" t="str">
        <f t="shared" si="11"/>
        <v>建筑结构</v>
      </c>
      <c r="R31" s="714" t="s">
        <v>17</v>
      </c>
      <c r="S31" s="715">
        <f t="shared" si="12"/>
        <v>100</v>
      </c>
      <c r="T31" s="714" t="s">
        <v>17</v>
      </c>
      <c r="U31" s="715">
        <f t="shared" si="13"/>
        <v>100</v>
      </c>
      <c r="V31" s="714" t="s">
        <v>17</v>
      </c>
      <c r="W31" s="715">
        <f t="shared" si="14"/>
        <v>100</v>
      </c>
      <c r="X31" s="1509"/>
      <c r="Y31" s="3523"/>
      <c r="Z31" s="1510" t="str">
        <f t="shared" si="15"/>
        <v>建筑结构</v>
      </c>
      <c r="AA31" s="1507">
        <f t="shared" si="3"/>
        <v>1</v>
      </c>
      <c r="AB31" s="1507">
        <f t="shared" si="4"/>
        <v>1</v>
      </c>
      <c r="AC31" s="1507">
        <f t="shared" si="5"/>
        <v>1</v>
      </c>
    </row>
    <row r="32" spans="1:29" ht="15">
      <c r="A32" s="431"/>
      <c r="B32" s="381" t="s">
        <v>2423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23"/>
      <c r="Q32" s="1506" t="str">
        <f t="shared" si="11"/>
        <v>公共部分装修</v>
      </c>
      <c r="R32" s="714" t="s">
        <v>17</v>
      </c>
      <c r="S32" s="715">
        <f t="shared" si="12"/>
        <v>100</v>
      </c>
      <c r="T32" s="714" t="s">
        <v>17</v>
      </c>
      <c r="U32" s="715">
        <f t="shared" si="13"/>
        <v>100</v>
      </c>
      <c r="V32" s="714" t="s">
        <v>17</v>
      </c>
      <c r="W32" s="715">
        <f t="shared" si="14"/>
        <v>100</v>
      </c>
      <c r="X32" s="1509"/>
      <c r="Y32" s="3523"/>
      <c r="Z32" s="1510" t="str">
        <f t="shared" si="15"/>
        <v>公共部分装修</v>
      </c>
      <c r="AA32" s="1507">
        <f t="shared" si="3"/>
        <v>1</v>
      </c>
      <c r="AB32" s="1507">
        <f t="shared" si="4"/>
        <v>1</v>
      </c>
      <c r="AC32" s="1507">
        <f t="shared" si="5"/>
        <v>1</v>
      </c>
    </row>
    <row r="33" spans="1:29" ht="15">
      <c r="A33" s="431"/>
      <c r="B33" s="381" t="s">
        <v>2424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23"/>
      <c r="Q33" s="1506" t="str">
        <f t="shared" si="11"/>
        <v>成新度</v>
      </c>
      <c r="R33" s="714" t="s">
        <v>17</v>
      </c>
      <c r="S33" s="715" t="e">
        <f t="shared" si="12"/>
        <v>#N/A</v>
      </c>
      <c r="T33" s="714" t="s">
        <v>17</v>
      </c>
      <c r="U33" s="715" t="e">
        <f t="shared" si="13"/>
        <v>#N/A</v>
      </c>
      <c r="V33" s="714" t="s">
        <v>17</v>
      </c>
      <c r="W33" s="715" t="e">
        <f t="shared" si="14"/>
        <v>#N/A</v>
      </c>
      <c r="X33" s="1509"/>
      <c r="Y33" s="3523"/>
      <c r="Z33" s="1510" t="str">
        <f t="shared" si="15"/>
        <v>成新度</v>
      </c>
      <c r="AA33" s="1507" t="e">
        <f t="shared" si="3"/>
        <v>#N/A</v>
      </c>
      <c r="AB33" s="1507" t="e">
        <f t="shared" si="4"/>
        <v>#N/A</v>
      </c>
      <c r="AC33" s="1507" t="e">
        <f t="shared" si="5"/>
        <v>#N/A</v>
      </c>
    </row>
    <row r="34" spans="1:29" s="113" customFormat="1" ht="15">
      <c r="A34" s="432"/>
      <c r="B34" s="381" t="s">
        <v>2457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23"/>
      <c r="Q34" s="1497" t="str">
        <f t="shared" si="11"/>
        <v>物业管理</v>
      </c>
      <c r="R34" s="710" t="s">
        <v>17</v>
      </c>
      <c r="S34" s="711">
        <f t="shared" si="12"/>
        <v>100</v>
      </c>
      <c r="T34" s="710" t="s">
        <v>17</v>
      </c>
      <c r="U34" s="711">
        <f t="shared" si="13"/>
        <v>100</v>
      </c>
      <c r="V34" s="710" t="s">
        <v>17</v>
      </c>
      <c r="W34" s="711">
        <f t="shared" si="14"/>
        <v>100</v>
      </c>
      <c r="X34" s="712"/>
      <c r="Y34" s="3523"/>
      <c r="Z34" s="55" t="str">
        <f t="shared" si="15"/>
        <v>物业管理</v>
      </c>
      <c r="AA34" s="713">
        <f t="shared" si="3"/>
        <v>1</v>
      </c>
      <c r="AB34" s="713">
        <f t="shared" si="4"/>
        <v>1</v>
      </c>
      <c r="AC34" s="713">
        <f t="shared" si="5"/>
        <v>1</v>
      </c>
    </row>
    <row r="35" spans="1:29" ht="15">
      <c r="A35" s="431"/>
      <c r="B35" s="381" t="s">
        <v>2425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23" t="s">
        <v>2327</v>
      </c>
      <c r="Q35" s="1506" t="str">
        <f t="shared" si="11"/>
        <v>市政基础设施</v>
      </c>
      <c r="R35" s="714" t="s">
        <v>17</v>
      </c>
      <c r="S35" s="715">
        <f t="shared" si="12"/>
        <v>100</v>
      </c>
      <c r="T35" s="714" t="s">
        <v>17</v>
      </c>
      <c r="U35" s="715">
        <f t="shared" si="13"/>
        <v>100</v>
      </c>
      <c r="V35" s="714" t="s">
        <v>17</v>
      </c>
      <c r="W35" s="715">
        <f t="shared" si="14"/>
        <v>100</v>
      </c>
      <c r="X35" s="1509"/>
      <c r="Y35" s="3523" t="s">
        <v>2327</v>
      </c>
      <c r="Z35" s="1510" t="str">
        <f t="shared" si="15"/>
        <v>市政基础设施</v>
      </c>
      <c r="AA35" s="1507">
        <f t="shared" si="3"/>
        <v>1</v>
      </c>
      <c r="AB35" s="1507">
        <f t="shared" si="4"/>
        <v>1</v>
      </c>
      <c r="AC35" s="1507">
        <f t="shared" si="5"/>
        <v>1</v>
      </c>
    </row>
    <row r="36" spans="1:29" ht="15">
      <c r="A36" s="431"/>
      <c r="B36" s="381" t="s">
        <v>2430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23"/>
      <c r="Q36" s="1506" t="str">
        <f t="shared" si="11"/>
        <v>内部装修</v>
      </c>
      <c r="R36" s="714" t="s">
        <v>17</v>
      </c>
      <c r="S36" s="715">
        <f t="shared" si="12"/>
        <v>100</v>
      </c>
      <c r="T36" s="714" t="s">
        <v>17</v>
      </c>
      <c r="U36" s="715">
        <f t="shared" si="13"/>
        <v>100</v>
      </c>
      <c r="V36" s="714" t="s">
        <v>17</v>
      </c>
      <c r="W36" s="715">
        <f t="shared" si="14"/>
        <v>100</v>
      </c>
      <c r="X36" s="1509"/>
      <c r="Y36" s="3523"/>
      <c r="Z36" s="1510" t="str">
        <f t="shared" si="15"/>
        <v>内部装修</v>
      </c>
      <c r="AA36" s="1507">
        <f t="shared" si="3"/>
        <v>1</v>
      </c>
      <c r="AB36" s="1507">
        <f t="shared" si="4"/>
        <v>1</v>
      </c>
      <c r="AC36" s="1507">
        <f t="shared" si="5"/>
        <v>1</v>
      </c>
    </row>
    <row r="37" spans="1:29" ht="15">
      <c r="A37" s="431"/>
      <c r="B37" s="381" t="s">
        <v>2466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23"/>
      <c r="Q37" s="1506" t="str">
        <f t="shared" si="11"/>
        <v>内部装修状况</v>
      </c>
      <c r="R37" s="714" t="s">
        <v>17</v>
      </c>
      <c r="S37" s="715">
        <f t="shared" si="12"/>
        <v>100</v>
      </c>
      <c r="T37" s="714" t="s">
        <v>17</v>
      </c>
      <c r="U37" s="715">
        <f t="shared" si="13"/>
        <v>100</v>
      </c>
      <c r="V37" s="714" t="s">
        <v>17</v>
      </c>
      <c r="W37" s="715">
        <f t="shared" si="14"/>
        <v>100</v>
      </c>
      <c r="X37" s="1509"/>
      <c r="Y37" s="3523"/>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23"/>
      <c r="Q38" s="716">
        <f t="shared" si="11"/>
        <v>111</v>
      </c>
      <c r="R38" s="717" t="s">
        <v>17</v>
      </c>
      <c r="S38" s="718">
        <f t="shared" si="12"/>
        <v>100</v>
      </c>
      <c r="T38" s="717" t="s">
        <v>17</v>
      </c>
      <c r="U38" s="718">
        <f t="shared" si="13"/>
        <v>100</v>
      </c>
      <c r="V38" s="717" t="s">
        <v>17</v>
      </c>
      <c r="W38" s="718">
        <f t="shared" si="14"/>
        <v>100</v>
      </c>
      <c r="X38" s="719"/>
      <c r="Y38" s="3523"/>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23"/>
      <c r="Q39" s="1506">
        <f t="shared" si="11"/>
        <v>111</v>
      </c>
      <c r="R39" s="714" t="s">
        <v>17</v>
      </c>
      <c r="S39" s="715">
        <f t="shared" si="12"/>
        <v>100</v>
      </c>
      <c r="T39" s="714" t="s">
        <v>17</v>
      </c>
      <c r="U39" s="715">
        <f t="shared" si="13"/>
        <v>100</v>
      </c>
      <c r="V39" s="714" t="s">
        <v>17</v>
      </c>
      <c r="W39" s="715">
        <f t="shared" si="14"/>
        <v>100</v>
      </c>
      <c r="X39" s="1509"/>
      <c r="Y39" s="3523"/>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24"/>
      <c r="Q40" s="1506">
        <f t="shared" si="11"/>
        <v>111</v>
      </c>
      <c r="R40" s="714" t="s">
        <v>17</v>
      </c>
      <c r="S40" s="715">
        <f t="shared" si="12"/>
        <v>100</v>
      </c>
      <c r="T40" s="714" t="s">
        <v>17</v>
      </c>
      <c r="U40" s="715">
        <f t="shared" si="13"/>
        <v>100</v>
      </c>
      <c r="V40" s="714" t="s">
        <v>17</v>
      </c>
      <c r="W40" s="715">
        <f t="shared" si="14"/>
        <v>100</v>
      </c>
      <c r="X40" s="1509"/>
      <c r="Y40" s="3524"/>
      <c r="Z40" s="1510">
        <f t="shared" si="15"/>
        <v>111</v>
      </c>
      <c r="AA40" s="1507">
        <f t="shared" si="3"/>
        <v>1</v>
      </c>
      <c r="AB40" s="1507">
        <f t="shared" si="4"/>
        <v>1</v>
      </c>
      <c r="AC40" s="1507">
        <f t="shared" si="5"/>
        <v>1</v>
      </c>
    </row>
    <row r="41" spans="1:29" ht="15">
      <c r="A41" s="438" t="s">
        <v>2339</v>
      </c>
      <c r="B41" s="439"/>
      <c r="C41" s="1288" t="s">
        <v>1</v>
      </c>
      <c r="D41" s="1289"/>
      <c r="E41" s="1290"/>
      <c r="F41" s="1291"/>
      <c r="G41" s="1292"/>
      <c r="H41" s="1293"/>
      <c r="I41" s="1290"/>
      <c r="J41" s="1293"/>
      <c r="K41" s="723"/>
      <c r="L41" s="1057"/>
      <c r="M41" s="1058"/>
      <c r="N41" s="1045"/>
      <c r="O41" s="1058"/>
      <c r="P41" s="3516" t="str">
        <f>A41</f>
        <v>成交单价（元/平方米）</v>
      </c>
      <c r="Q41" s="3516"/>
      <c r="R41" s="3517">
        <f>E41</f>
        <v>0</v>
      </c>
      <c r="S41" s="3517"/>
      <c r="T41" s="3517">
        <f>G41</f>
        <v>0</v>
      </c>
      <c r="U41" s="3517"/>
      <c r="V41" s="3517">
        <f>I41</f>
        <v>0</v>
      </c>
      <c r="W41" s="3517"/>
      <c r="X41" s="699"/>
      <c r="Y41" s="721"/>
      <c r="Z41" s="699"/>
      <c r="AA41" s="699"/>
      <c r="AB41" s="699"/>
      <c r="AC41" s="699"/>
    </row>
    <row r="42" spans="1:29" ht="15.75" thickBot="1">
      <c r="A42" s="445" t="s">
        <v>2431</v>
      </c>
      <c r="B42" s="446"/>
      <c r="C42" s="1294" t="e">
        <f>R43</f>
        <v>#DIV/0!</v>
      </c>
      <c r="D42" s="2508" t="s">
        <v>2822</v>
      </c>
      <c r="E42" s="1295" t="e">
        <f>R42</f>
        <v>#DIV/0!</v>
      </c>
      <c r="F42" s="2509"/>
      <c r="G42" s="1294" t="e">
        <f>T42</f>
        <v>#DIV/0!</v>
      </c>
      <c r="H42" s="2509"/>
      <c r="I42" s="1295" t="e">
        <f>V42</f>
        <v>#DIV/0!</v>
      </c>
      <c r="J42" s="2509"/>
      <c r="K42" s="2511">
        <f>F42+H42+J42</f>
        <v>0</v>
      </c>
      <c r="L42" s="1057"/>
      <c r="M42" s="1058"/>
      <c r="N42" s="1045"/>
      <c r="O42" s="1058"/>
      <c r="P42" s="3516" t="str">
        <f>A42</f>
        <v>比较价值（元/平方米）</v>
      </c>
      <c r="Q42" s="3516"/>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699"/>
      <c r="Y42" s="699"/>
      <c r="Z42" s="699"/>
      <c r="AA42" s="699"/>
      <c r="AB42" s="699"/>
      <c r="AC42" s="699"/>
    </row>
    <row r="43" spans="1:29" ht="15.75" thickBot="1">
      <c r="A43" s="449" t="s">
        <v>2432</v>
      </c>
      <c r="B43" s="450"/>
      <c r="C43" s="1297" t="e">
        <f>R43</f>
        <v>#DIV/0!</v>
      </c>
      <c r="D43" s="1297"/>
      <c r="E43" s="1297"/>
      <c r="F43" s="1297"/>
      <c r="G43" s="1297"/>
      <c r="H43" s="1297"/>
      <c r="I43" s="1297"/>
      <c r="J43" s="1297"/>
      <c r="K43" s="724"/>
      <c r="L43" s="1057"/>
      <c r="M43" s="1058"/>
      <c r="N43" s="1058"/>
      <c r="O43" s="1058"/>
      <c r="P43" s="3513" t="str">
        <f>A43</f>
        <v>估价对象XX用房的比较价值（楼面单价，元/平方米）</v>
      </c>
      <c r="Q43" s="3514"/>
      <c r="R43" s="3515" t="e">
        <f>IF(F1="售价",ROUND(IF(D42="简单平均",AVERAGE(R42:V42),R42*F42+T42*H42+V42*J42),0),ROUND(IF(D42="简单平均",AVERAGE(R42:V42),R42*F42+T42*H42+V42*J42),1))</f>
        <v>#DIV/0!</v>
      </c>
      <c r="S43" s="3515"/>
      <c r="T43" s="3515"/>
      <c r="U43" s="3515"/>
      <c r="V43" s="3515"/>
      <c r="W43" s="3515"/>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2436</v>
      </c>
      <c r="B51" s="699"/>
      <c r="C51" s="704"/>
      <c r="D51" s="704"/>
      <c r="E51" s="704"/>
      <c r="F51" s="705"/>
      <c r="G51" s="705"/>
      <c r="H51" s="704"/>
      <c r="I51" s="704"/>
      <c r="J51" s="704"/>
      <c r="K51" s="1072"/>
      <c r="L51" s="1073"/>
      <c r="M51" s="1071"/>
      <c r="N51" s="1071"/>
      <c r="O51" s="1071"/>
      <c r="P51" s="460"/>
      <c r="Q51" s="461"/>
    </row>
    <row r="52" spans="1:17" s="465" customFormat="1" ht="15">
      <c r="A52" s="462" t="s">
        <v>2310</v>
      </c>
      <c r="B52" s="463"/>
      <c r="C52" s="1318" t="str">
        <f>YEAR(C7)&amp;"-"&amp;MONTH(C7)</f>
        <v>1900-1</v>
      </c>
      <c r="D52" s="1319" t="e">
        <f>EDATE(C52,-1)</f>
        <v>#NUM!</v>
      </c>
      <c r="E52" s="1319" t="e">
        <f t="shared" ref="E52:O52" si="16">EDATE(D52,-1)</f>
        <v>#NUM!</v>
      </c>
      <c r="F52" s="1319" t="e">
        <f t="shared" si="16"/>
        <v>#NUM!</v>
      </c>
      <c r="G52" s="1319" t="e">
        <f t="shared" si="16"/>
        <v>#NUM!</v>
      </c>
      <c r="H52" s="1319" t="e">
        <f t="shared" si="16"/>
        <v>#NUM!</v>
      </c>
      <c r="I52" s="1319" t="e">
        <f t="shared" si="16"/>
        <v>#NUM!</v>
      </c>
      <c r="J52" s="1319" t="e">
        <f t="shared" si="16"/>
        <v>#NUM!</v>
      </c>
      <c r="K52" s="1319" t="e">
        <f t="shared" si="16"/>
        <v>#NUM!</v>
      </c>
      <c r="L52" s="1319" t="e">
        <f t="shared" si="16"/>
        <v>#NUM!</v>
      </c>
      <c r="M52" s="1319" t="e">
        <f t="shared" si="16"/>
        <v>#NUM!</v>
      </c>
      <c r="N52" s="1319" t="e">
        <f t="shared" si="16"/>
        <v>#NUM!</v>
      </c>
      <c r="O52" s="1319" t="e">
        <f t="shared" si="16"/>
        <v>#NUM!</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2347</v>
      </c>
      <c r="B54" s="473"/>
      <c r="C54" s="474"/>
      <c r="D54" s="475"/>
      <c r="E54" s="475"/>
      <c r="F54" s="475"/>
      <c r="G54" s="475"/>
      <c r="H54" s="475"/>
      <c r="I54" s="475"/>
      <c r="J54" s="475"/>
      <c r="K54" s="475"/>
      <c r="L54" s="475"/>
      <c r="M54" s="476"/>
      <c r="N54" s="2969"/>
      <c r="O54" s="2970"/>
      <c r="P54" s="461"/>
      <c r="Q54" s="461"/>
    </row>
    <row r="55" spans="1:17" s="113" customFormat="1" ht="15">
      <c r="A55" s="478" t="s">
        <v>2312</v>
      </c>
      <c r="B55" s="467"/>
      <c r="C55" s="479" t="s">
        <v>2414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2350</v>
      </c>
      <c r="B57" s="485" t="s">
        <v>2316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2319</v>
      </c>
      <c r="C59" s="496" t="s">
        <v>2351</v>
      </c>
      <c r="D59" s="496" t="s">
        <v>2352</v>
      </c>
      <c r="E59" s="496" t="s">
        <v>2353</v>
      </c>
      <c r="F59" s="496" t="s">
        <v>2354</v>
      </c>
      <c r="G59" s="496" t="s">
        <v>2355</v>
      </c>
      <c r="H59" s="496" t="s">
        <v>2356</v>
      </c>
      <c r="I59" s="496" t="s">
        <v>2357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2320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2321</v>
      </c>
      <c r="B70" s="485" t="s">
        <v>2467</v>
      </c>
      <c r="C70" s="530" t="s">
        <v>2359</v>
      </c>
      <c r="D70" s="530" t="s">
        <v>2360</v>
      </c>
      <c r="E70" s="530" t="s">
        <v>2361</v>
      </c>
      <c r="F70" s="530" t="s">
        <v>2362</v>
      </c>
      <c r="G70" s="530" t="s">
        <v>2363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2364</v>
      </c>
      <c r="C72" s="535" t="s">
        <v>2359</v>
      </c>
      <c r="D72" s="535" t="s">
        <v>2360</v>
      </c>
      <c r="E72" s="535" t="s">
        <v>2361</v>
      </c>
      <c r="F72" s="535" t="s">
        <v>2362</v>
      </c>
      <c r="G72" s="535" t="s">
        <v>2363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2365</v>
      </c>
      <c r="C74" s="535" t="s">
        <v>2359</v>
      </c>
      <c r="D74" s="535" t="s">
        <v>2360</v>
      </c>
      <c r="E74" s="535" t="s">
        <v>2361</v>
      </c>
      <c r="F74" s="535" t="s">
        <v>2362</v>
      </c>
      <c r="G74" s="535" t="s">
        <v>2363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2451</v>
      </c>
      <c r="C76" s="616" t="s">
        <v>2437</v>
      </c>
      <c r="D76" s="616" t="s">
        <v>2438</v>
      </c>
      <c r="E76" s="616" t="s">
        <v>2439</v>
      </c>
      <c r="F76" s="616" t="s">
        <v>2440</v>
      </c>
      <c r="G76" s="616" t="s">
        <v>2441</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2460</v>
      </c>
      <c r="C78" s="535" t="s">
        <v>2359</v>
      </c>
      <c r="D78" s="535" t="s">
        <v>2360</v>
      </c>
      <c r="E78" s="535" t="s">
        <v>2361</v>
      </c>
      <c r="F78" s="535" t="s">
        <v>2362</v>
      </c>
      <c r="G78" s="535" t="s">
        <v>2363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2325</v>
      </c>
      <c r="B88" s="485" t="s">
        <v>2374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2380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2468</v>
      </c>
      <c r="C106" s="535" t="s">
        <v>2359</v>
      </c>
      <c r="D106" s="535" t="s">
        <v>2360</v>
      </c>
      <c r="E106" s="535" t="s">
        <v>2361</v>
      </c>
      <c r="F106" s="535" t="s">
        <v>2362</v>
      </c>
      <c r="G106" s="535" t="s">
        <v>2363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2469</v>
      </c>
      <c r="B1" s="1363"/>
      <c r="C1" s="1364" t="s">
        <v>2292</v>
      </c>
      <c r="D1" s="1365"/>
      <c r="E1" s="1366"/>
      <c r="F1" s="2035"/>
      <c r="G1" s="1367" t="s">
        <v>2405</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2089</v>
      </c>
      <c r="B2" s="1298" t="e">
        <f ca="1">IF(C2="——",IF(B37="元/平方米",ROUND(C39*D3/10000,0),ROUND(F3*C39/10000,0)),IF(B37="元/平方米",ROUND(C39*D3/10000,0),ROUND(F3*C39/10000,0))-D2)</f>
        <v>#DIV/0!</v>
      </c>
      <c r="C2" s="2037"/>
      <c r="D2" s="1038" t="e">
        <f ca="1">SUMIF(INDIRECT("'"&amp;F2&amp;"'"&amp;"!A:A"),"承租人权益价值",INDIRECT("'"&amp;F2&amp;"'"&amp;"!c:c"))</f>
        <v>#REF!</v>
      </c>
      <c r="E2" s="2038" t="s">
        <v>2090</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2091</v>
      </c>
      <c r="B3" s="566" t="e">
        <f ca="1">IF(AND(C2="——",B37="元/平方米"),C39,ROUND(B2*10000/D3,0))</f>
        <v>#DIV/0!</v>
      </c>
      <c r="C3" s="360" t="s">
        <v>2406</v>
      </c>
      <c r="D3" s="359">
        <f>SUMIF('数据-汇总表'!$C19:$C33,D1,'数据-汇总表'!$E19:$E33)</f>
        <v>0</v>
      </c>
      <c r="E3" s="360" t="s">
        <v>2470</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2407</v>
      </c>
      <c r="B4" s="362"/>
      <c r="C4" s="3499" t="s">
        <v>2408</v>
      </c>
      <c r="D4" s="3500"/>
      <c r="E4" s="3501" t="s">
        <v>2409</v>
      </c>
      <c r="F4" s="3502"/>
      <c r="G4" s="3499" t="s">
        <v>2410</v>
      </c>
      <c r="H4" s="3500"/>
      <c r="I4" s="3499" t="s">
        <v>2411</v>
      </c>
      <c r="J4" s="3500"/>
      <c r="K4" s="567" t="s">
        <v>2412</v>
      </c>
      <c r="L4" s="2914"/>
      <c r="M4" s="2915"/>
      <c r="N4" s="2915"/>
      <c r="O4" s="2915"/>
      <c r="P4" s="3503" t="s">
        <v>2413</v>
      </c>
      <c r="Q4" s="3504"/>
      <c r="R4" s="3486" t="s">
        <v>2409</v>
      </c>
      <c r="S4" s="3487"/>
      <c r="T4" s="3486" t="s">
        <v>2410</v>
      </c>
      <c r="U4" s="3487"/>
      <c r="V4" s="3511" t="s">
        <v>2411</v>
      </c>
      <c r="W4" s="3511"/>
      <c r="X4" s="1509"/>
      <c r="Y4" s="3486" t="s">
        <v>2413</v>
      </c>
      <c r="Z4" s="3487"/>
      <c r="AA4" s="3481" t="s">
        <v>2409</v>
      </c>
      <c r="AB4" s="3482" t="s">
        <v>2410</v>
      </c>
      <c r="AC4" s="3481" t="s">
        <v>2411</v>
      </c>
    </row>
    <row r="5" spans="1:29" ht="15">
      <c r="A5" s="364"/>
      <c r="B5" s="365"/>
      <c r="C5" s="3492" t="s">
        <v>2304</v>
      </c>
      <c r="D5" s="3493"/>
      <c r="E5" s="3490" t="s">
        <v>2305</v>
      </c>
      <c r="F5" s="3491"/>
      <c r="G5" s="3492" t="s">
        <v>2306</v>
      </c>
      <c r="H5" s="3493"/>
      <c r="I5" s="3492" t="s">
        <v>2307</v>
      </c>
      <c r="J5" s="3493"/>
      <c r="K5" s="567"/>
      <c r="L5" s="2914"/>
      <c r="M5" s="2915"/>
      <c r="N5" s="2915"/>
      <c r="O5" s="2915"/>
      <c r="P5" s="3505"/>
      <c r="Q5" s="3506"/>
      <c r="R5" s="3488"/>
      <c r="S5" s="3489"/>
      <c r="T5" s="3488"/>
      <c r="U5" s="3489"/>
      <c r="V5" s="3511"/>
      <c r="W5" s="3511"/>
      <c r="X5" s="1509"/>
      <c r="Y5" s="3488"/>
      <c r="Z5" s="3489"/>
      <c r="AA5" s="3482"/>
      <c r="AB5" s="3482"/>
      <c r="AC5" s="3482"/>
    </row>
    <row r="6" spans="1:29" ht="15.75" thickBot="1">
      <c r="A6" s="366"/>
      <c r="B6" s="367"/>
      <c r="C6" s="3494" t="s">
        <v>2308</v>
      </c>
      <c r="D6" s="3495"/>
      <c r="E6" s="3496" t="s">
        <v>2308</v>
      </c>
      <c r="F6" s="3497"/>
      <c r="G6" s="3494" t="s">
        <v>2308</v>
      </c>
      <c r="H6" s="3495"/>
      <c r="I6" s="3494" t="s">
        <v>2308</v>
      </c>
      <c r="J6" s="3495"/>
      <c r="K6" s="567" t="s">
        <v>2309</v>
      </c>
      <c r="L6" s="2914"/>
      <c r="M6" s="2915"/>
      <c r="N6" s="2915"/>
      <c r="O6" s="2915"/>
      <c r="P6" s="3507"/>
      <c r="Q6" s="3508"/>
      <c r="R6" s="3488"/>
      <c r="S6" s="3489"/>
      <c r="T6" s="3509"/>
      <c r="U6" s="3510"/>
      <c r="V6" s="3511"/>
      <c r="W6" s="3511"/>
      <c r="X6" s="1509"/>
      <c r="Y6" s="3509"/>
      <c r="Z6" s="3510"/>
      <c r="AA6" s="3483"/>
      <c r="AB6" s="3483"/>
      <c r="AC6" s="3483"/>
    </row>
    <row r="7" spans="1:29" s="113" customFormat="1" ht="15.75" thickBot="1">
      <c r="A7" s="368" t="s">
        <v>2310</v>
      </c>
      <c r="B7" s="369"/>
      <c r="C7" s="370">
        <f>'数据-取费表'!B2</f>
        <v>0</v>
      </c>
      <c r="D7" s="371">
        <v>100</v>
      </c>
      <c r="E7" s="372"/>
      <c r="F7" s="373">
        <f>SUMIF(48:48,YEAR(E7)&amp;"-"&amp;MONTH(E7),49:49)</f>
        <v>100</v>
      </c>
      <c r="G7" s="372"/>
      <c r="H7" s="371">
        <f>SUMIF(48:48,YEAR(G7)&amp;"-"&amp;MONTH(G7),49:49)</f>
        <v>100</v>
      </c>
      <c r="I7" s="372"/>
      <c r="J7" s="371">
        <f>SUMIF(48:48,YEAR(I7)&amp;"-"&amp;MONTH(I7),49:49)</f>
        <v>100</v>
      </c>
      <c r="K7" s="568"/>
      <c r="L7" s="2916"/>
      <c r="M7" s="2917"/>
      <c r="N7" s="2917"/>
      <c r="O7" s="2917"/>
      <c r="P7" s="3484" t="s">
        <v>2311</v>
      </c>
      <c r="Q7" s="3512"/>
      <c r="R7" s="710" t="s">
        <v>17</v>
      </c>
      <c r="S7" s="711">
        <f t="shared" ref="S7:S14" si="0">F7</f>
        <v>100</v>
      </c>
      <c r="T7" s="710" t="s">
        <v>17</v>
      </c>
      <c r="U7" s="711">
        <f t="shared" ref="U7:U14" si="1">H7</f>
        <v>100</v>
      </c>
      <c r="V7" s="710" t="s">
        <v>17</v>
      </c>
      <c r="W7" s="711">
        <f t="shared" ref="W7:W14" si="2">J7</f>
        <v>100</v>
      </c>
      <c r="X7" s="712"/>
      <c r="Y7" s="3484" t="s">
        <v>2311</v>
      </c>
      <c r="Z7" s="3485"/>
      <c r="AA7" s="713">
        <f>D7/F7</f>
        <v>1</v>
      </c>
      <c r="AB7" s="713">
        <f>D7/H7</f>
        <v>1</v>
      </c>
      <c r="AC7" s="713">
        <f>D7/J7</f>
        <v>1</v>
      </c>
    </row>
    <row r="8" spans="1:29" s="113" customFormat="1" ht="15.75" thickBot="1">
      <c r="A8" s="368" t="s">
        <v>2312</v>
      </c>
      <c r="B8" s="369"/>
      <c r="C8" s="374" t="s">
        <v>2414</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84" t="s">
        <v>2314</v>
      </c>
      <c r="Q8" s="3485"/>
      <c r="R8" s="710" t="s">
        <v>17</v>
      </c>
      <c r="S8" s="711">
        <f t="shared" si="0"/>
        <v>0</v>
      </c>
      <c r="T8" s="710" t="s">
        <v>17</v>
      </c>
      <c r="U8" s="711">
        <f t="shared" si="1"/>
        <v>0</v>
      </c>
      <c r="V8" s="710" t="s">
        <v>17</v>
      </c>
      <c r="W8" s="711">
        <f t="shared" si="2"/>
        <v>0</v>
      </c>
      <c r="X8" s="712"/>
      <c r="Y8" s="3484" t="s">
        <v>2314</v>
      </c>
      <c r="Z8" s="3485"/>
      <c r="AA8" s="713" t="e">
        <f t="shared" ref="AA8:AA36" si="3">D8/F8</f>
        <v>#DIV/0!</v>
      </c>
      <c r="AB8" s="713" t="e">
        <f t="shared" ref="AB8:AB36" si="4">D8/H8</f>
        <v>#DIV/0!</v>
      </c>
      <c r="AC8" s="713" t="e">
        <f t="shared" ref="AC8:AC36" si="5">D8/J8</f>
        <v>#DIV/0!</v>
      </c>
    </row>
    <row r="9" spans="1:29" s="113" customFormat="1">
      <c r="A9" s="64" t="s">
        <v>2315</v>
      </c>
      <c r="B9" s="596" t="s">
        <v>2316</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516" t="s">
        <v>2317</v>
      </c>
      <c r="Q9" s="1497" t="str">
        <f t="shared" ref="Q9:Q14" si="6">B9</f>
        <v>用途</v>
      </c>
      <c r="R9" s="710" t="s">
        <v>17</v>
      </c>
      <c r="S9" s="711">
        <f t="shared" si="0"/>
        <v>100</v>
      </c>
      <c r="T9" s="710" t="s">
        <v>17</v>
      </c>
      <c r="U9" s="711">
        <f t="shared" si="1"/>
        <v>100</v>
      </c>
      <c r="V9" s="710" t="s">
        <v>17</v>
      </c>
      <c r="W9" s="711">
        <f t="shared" si="2"/>
        <v>100</v>
      </c>
      <c r="X9" s="712"/>
      <c r="Y9" s="3428" t="s">
        <v>2318</v>
      </c>
      <c r="Z9" s="55" t="str">
        <f t="shared" ref="Z9:Z14" si="7">Q9</f>
        <v>用途</v>
      </c>
      <c r="AA9" s="713">
        <f t="shared" si="3"/>
        <v>1</v>
      </c>
      <c r="AB9" s="713">
        <f t="shared" si="4"/>
        <v>1</v>
      </c>
      <c r="AC9" s="713">
        <f t="shared" si="5"/>
        <v>1</v>
      </c>
    </row>
    <row r="10" spans="1:29" s="386" customFormat="1" ht="27">
      <c r="A10" s="597"/>
      <c r="B10" s="598" t="s">
        <v>2319</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516"/>
      <c r="Q10" s="149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516"/>
      <c r="Q11" s="1497">
        <f t="shared" si="6"/>
        <v>111</v>
      </c>
      <c r="R11" s="710" t="s">
        <v>17</v>
      </c>
      <c r="S11" s="711">
        <f t="shared" si="0"/>
        <v>100</v>
      </c>
      <c r="T11" s="710" t="s">
        <v>17</v>
      </c>
      <c r="U11" s="711">
        <f t="shared" si="1"/>
        <v>100</v>
      </c>
      <c r="V11" s="710" t="s">
        <v>17</v>
      </c>
      <c r="W11" s="711">
        <f t="shared" si="2"/>
        <v>100</v>
      </c>
      <c r="X11" s="712"/>
      <c r="Y11" s="342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516"/>
      <c r="Q12" s="149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516"/>
      <c r="Q13" s="149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85.5">
      <c r="A14" s="361" t="s">
        <v>2321</v>
      </c>
      <c r="B14" s="585" t="s">
        <v>2471</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518" t="s">
        <v>2322</v>
      </c>
      <c r="Q14" s="1506" t="str">
        <f t="shared" si="6"/>
        <v>交通便捷度</v>
      </c>
      <c r="R14" s="714" t="s">
        <v>17</v>
      </c>
      <c r="S14" s="715">
        <f t="shared" si="0"/>
        <v>100</v>
      </c>
      <c r="T14" s="714" t="s">
        <v>17</v>
      </c>
      <c r="U14" s="715">
        <f t="shared" si="1"/>
        <v>100</v>
      </c>
      <c r="V14" s="714" t="s">
        <v>17</v>
      </c>
      <c r="W14" s="715">
        <f t="shared" si="2"/>
        <v>100</v>
      </c>
      <c r="X14" s="1509"/>
      <c r="Y14" s="3518" t="s">
        <v>2322</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519"/>
      <c r="Q15" s="1506"/>
      <c r="R15" s="714"/>
      <c r="S15" s="715"/>
      <c r="T15" s="714"/>
      <c r="U15" s="715"/>
      <c r="V15" s="714"/>
      <c r="W15" s="715"/>
      <c r="X15" s="1509"/>
      <c r="Y15" s="3519"/>
      <c r="Z15" s="1510"/>
      <c r="AA15" s="1507">
        <v>1</v>
      </c>
      <c r="AB15" s="1507">
        <v>1</v>
      </c>
      <c r="AC15" s="1507">
        <v>1</v>
      </c>
    </row>
    <row r="16" spans="1:29" ht="42.75">
      <c r="A16" s="364"/>
      <c r="B16" s="587" t="s">
        <v>2450</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519"/>
      <c r="Q16" s="1506" t="str">
        <f>B16</f>
        <v>公共配套设施</v>
      </c>
      <c r="R16" s="714" t="s">
        <v>17</v>
      </c>
      <c r="S16" s="715">
        <f>F16</f>
        <v>100</v>
      </c>
      <c r="T16" s="714" t="s">
        <v>17</v>
      </c>
      <c r="U16" s="715">
        <f>H16</f>
        <v>100</v>
      </c>
      <c r="V16" s="714" t="s">
        <v>17</v>
      </c>
      <c r="W16" s="715">
        <f>J16</f>
        <v>100</v>
      </c>
      <c r="X16" s="1509"/>
      <c r="Y16" s="3519"/>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519"/>
      <c r="Q17" s="1506"/>
      <c r="R17" s="714"/>
      <c r="S17" s="715"/>
      <c r="T17" s="714"/>
      <c r="U17" s="715"/>
      <c r="V17" s="714"/>
      <c r="W17" s="715"/>
      <c r="X17" s="1509"/>
      <c r="Y17" s="3519"/>
      <c r="Z17" s="1510"/>
      <c r="AA17" s="1507">
        <v>1</v>
      </c>
      <c r="AB17" s="1507">
        <v>1</v>
      </c>
      <c r="AC17" s="1507">
        <v>1</v>
      </c>
    </row>
    <row r="18" spans="1:29" ht="28.5">
      <c r="A18" s="364"/>
      <c r="B18" s="589" t="s">
        <v>2451</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519"/>
      <c r="Q18" s="1506" t="str">
        <f>B18</f>
        <v>基础设施水平</v>
      </c>
      <c r="R18" s="714" t="s">
        <v>17</v>
      </c>
      <c r="S18" s="715">
        <f>F18</f>
        <v>100</v>
      </c>
      <c r="T18" s="714" t="s">
        <v>17</v>
      </c>
      <c r="U18" s="715">
        <f>H18</f>
        <v>100</v>
      </c>
      <c r="V18" s="714" t="s">
        <v>17</v>
      </c>
      <c r="W18" s="715">
        <f>J18</f>
        <v>100</v>
      </c>
      <c r="X18" s="1509"/>
      <c r="Y18" s="3519"/>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519"/>
      <c r="Q19" s="1506"/>
      <c r="R19" s="714"/>
      <c r="S19" s="715"/>
      <c r="T19" s="714"/>
      <c r="U19" s="715"/>
      <c r="V19" s="714"/>
      <c r="W19" s="715"/>
      <c r="X19" s="1509"/>
      <c r="Y19" s="3519"/>
      <c r="Z19" s="1510"/>
      <c r="AA19" s="1507">
        <v>1</v>
      </c>
      <c r="AB19" s="1507">
        <v>1</v>
      </c>
      <c r="AC19" s="1507">
        <v>1</v>
      </c>
    </row>
    <row r="20" spans="1:29" ht="57">
      <c r="A20" s="364"/>
      <c r="B20" s="587" t="s">
        <v>2472</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519"/>
      <c r="Q20" s="1506" t="str">
        <f>B20</f>
        <v>自然及人文环境</v>
      </c>
      <c r="R20" s="714" t="s">
        <v>17</v>
      </c>
      <c r="S20" s="715">
        <f>F20</f>
        <v>100</v>
      </c>
      <c r="T20" s="714" t="s">
        <v>17</v>
      </c>
      <c r="U20" s="715">
        <f>H20</f>
        <v>100</v>
      </c>
      <c r="V20" s="714" t="s">
        <v>17</v>
      </c>
      <c r="W20" s="715">
        <f>J20</f>
        <v>100</v>
      </c>
      <c r="X20" s="1509"/>
      <c r="Y20" s="3519"/>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519"/>
      <c r="Q21" s="1506"/>
      <c r="R21" s="714"/>
      <c r="S21" s="715"/>
      <c r="T21" s="714"/>
      <c r="U21" s="715"/>
      <c r="V21" s="714"/>
      <c r="W21" s="715"/>
      <c r="X21" s="1509"/>
      <c r="Y21" s="3519"/>
      <c r="Z21" s="1510"/>
      <c r="AA21" s="1507">
        <v>1</v>
      </c>
      <c r="AB21" s="1507">
        <v>1</v>
      </c>
      <c r="AC21" s="1507">
        <v>1</v>
      </c>
    </row>
    <row r="22" spans="1:29" ht="15">
      <c r="A22" s="364"/>
      <c r="B22" s="587" t="s">
        <v>2473</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519"/>
      <c r="Q22" s="1506" t="str">
        <f>B22</f>
        <v>楼层</v>
      </c>
      <c r="R22" s="714" t="s">
        <v>17</v>
      </c>
      <c r="S22" s="715">
        <f>F22</f>
        <v>100</v>
      </c>
      <c r="T22" s="714" t="s">
        <v>17</v>
      </c>
      <c r="U22" s="715">
        <f>H22</f>
        <v>100</v>
      </c>
      <c r="V22" s="714" t="s">
        <v>17</v>
      </c>
      <c r="W22" s="715">
        <f>J22</f>
        <v>100</v>
      </c>
      <c r="X22" s="1509"/>
      <c r="Y22" s="3519"/>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519"/>
      <c r="Q23" s="1506">
        <f>B23</f>
        <v>111</v>
      </c>
      <c r="R23" s="714" t="s">
        <v>17</v>
      </c>
      <c r="S23" s="715">
        <f>F23</f>
        <v>100</v>
      </c>
      <c r="T23" s="714" t="s">
        <v>17</v>
      </c>
      <c r="U23" s="715">
        <f>H23</f>
        <v>100</v>
      </c>
      <c r="V23" s="714" t="s">
        <v>17</v>
      </c>
      <c r="W23" s="715">
        <f>J23</f>
        <v>100</v>
      </c>
      <c r="X23" s="1509"/>
      <c r="Y23" s="3519"/>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519"/>
      <c r="Q24" s="1506">
        <f t="shared" ref="Q24:Q36" si="11">B24</f>
        <v>111</v>
      </c>
      <c r="R24" s="714" t="s">
        <v>17</v>
      </c>
      <c r="S24" s="715">
        <f>F24</f>
        <v>100</v>
      </c>
      <c r="T24" s="714" t="s">
        <v>17</v>
      </c>
      <c r="U24" s="715">
        <f>H24</f>
        <v>100</v>
      </c>
      <c r="V24" s="714" t="s">
        <v>17</v>
      </c>
      <c r="W24" s="715">
        <f>J24</f>
        <v>100</v>
      </c>
      <c r="X24" s="1509"/>
      <c r="Y24" s="3519"/>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519"/>
      <c r="Q25" s="1497">
        <f t="shared" si="11"/>
        <v>111</v>
      </c>
      <c r="R25" s="710" t="s">
        <v>17</v>
      </c>
      <c r="S25" s="711">
        <f>F25</f>
        <v>100</v>
      </c>
      <c r="T25" s="710" t="s">
        <v>17</v>
      </c>
      <c r="U25" s="711">
        <f>H25</f>
        <v>100</v>
      </c>
      <c r="V25" s="710" t="s">
        <v>17</v>
      </c>
      <c r="W25" s="711">
        <f>J25</f>
        <v>100</v>
      </c>
      <c r="X25" s="712"/>
      <c r="Y25" s="3519"/>
      <c r="Z25" s="55">
        <f>Q25</f>
        <v>111</v>
      </c>
      <c r="AA25" s="1507">
        <f>D25/F25</f>
        <v>1</v>
      </c>
      <c r="AB25" s="1507">
        <f>D25/H25</f>
        <v>1</v>
      </c>
      <c r="AC25" s="1507">
        <f>D25/J25</f>
        <v>1</v>
      </c>
    </row>
    <row r="26" spans="1:29" ht="28.5">
      <c r="A26" s="608" t="s">
        <v>2325</v>
      </c>
      <c r="B26" s="66" t="s">
        <v>2474</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42" t="s">
        <v>2327</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523" t="s">
        <v>2327</v>
      </c>
      <c r="Z26" s="1510" t="str">
        <f t="shared" ref="Z26:Z36" si="15">Q26</f>
        <v>配套类型</v>
      </c>
      <c r="AA26" s="1507">
        <f t="shared" si="3"/>
        <v>1</v>
      </c>
      <c r="AB26" s="1507">
        <f t="shared" si="4"/>
        <v>1</v>
      </c>
      <c r="AC26" s="1507">
        <f t="shared" si="5"/>
        <v>1</v>
      </c>
    </row>
    <row r="27" spans="1:29" s="430" customFormat="1" ht="15">
      <c r="A27" s="609"/>
      <c r="B27" s="610" t="s">
        <v>2475</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523"/>
      <c r="Q27" s="716" t="str">
        <f t="shared" si="11"/>
        <v>项目停车位配比</v>
      </c>
      <c r="R27" s="717" t="s">
        <v>17</v>
      </c>
      <c r="S27" s="718">
        <f t="shared" si="12"/>
        <v>100</v>
      </c>
      <c r="T27" s="717" t="s">
        <v>17</v>
      </c>
      <c r="U27" s="718">
        <f t="shared" si="13"/>
        <v>100</v>
      </c>
      <c r="V27" s="717" t="s">
        <v>17</v>
      </c>
      <c r="W27" s="718">
        <f t="shared" si="14"/>
        <v>100</v>
      </c>
      <c r="X27" s="719"/>
      <c r="Y27" s="3523"/>
      <c r="Z27" s="720" t="str">
        <f t="shared" si="15"/>
        <v>项目停车位配比</v>
      </c>
      <c r="AA27" s="1507">
        <f t="shared" si="3"/>
        <v>1</v>
      </c>
      <c r="AB27" s="1507">
        <f t="shared" si="4"/>
        <v>1</v>
      </c>
      <c r="AC27" s="1507">
        <f t="shared" si="5"/>
        <v>1</v>
      </c>
    </row>
    <row r="28" spans="1:29" ht="15">
      <c r="A28" s="612"/>
      <c r="B28" s="610" t="s">
        <v>2476</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523"/>
      <c r="Q28" s="1506" t="str">
        <f t="shared" si="11"/>
        <v>公共部分装修</v>
      </c>
      <c r="R28" s="714" t="s">
        <v>17</v>
      </c>
      <c r="S28" s="715">
        <f t="shared" si="12"/>
        <v>100</v>
      </c>
      <c r="T28" s="714" t="s">
        <v>17</v>
      </c>
      <c r="U28" s="715">
        <f t="shared" si="13"/>
        <v>100</v>
      </c>
      <c r="V28" s="714" t="s">
        <v>17</v>
      </c>
      <c r="W28" s="715">
        <f t="shared" si="14"/>
        <v>100</v>
      </c>
      <c r="X28" s="1509"/>
      <c r="Y28" s="3523"/>
      <c r="Z28" s="1510" t="str">
        <f t="shared" si="15"/>
        <v>公共部分装修</v>
      </c>
      <c r="AA28" s="1507">
        <f t="shared" si="3"/>
        <v>1</v>
      </c>
      <c r="AB28" s="1507">
        <f t="shared" si="4"/>
        <v>1</v>
      </c>
      <c r="AC28" s="1507">
        <f t="shared" si="5"/>
        <v>1</v>
      </c>
    </row>
    <row r="29" spans="1:29" ht="15">
      <c r="A29" s="612"/>
      <c r="B29" s="610" t="s">
        <v>2477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523"/>
      <c r="Q29" s="1506" t="str">
        <f t="shared" si="11"/>
        <v>成新率</v>
      </c>
      <c r="R29" s="714" t="s">
        <v>17</v>
      </c>
      <c r="S29" s="715" t="e">
        <f t="shared" si="12"/>
        <v>#N/A</v>
      </c>
      <c r="T29" s="714" t="s">
        <v>17</v>
      </c>
      <c r="U29" s="715" t="e">
        <f t="shared" si="13"/>
        <v>#N/A</v>
      </c>
      <c r="V29" s="714" t="s">
        <v>17</v>
      </c>
      <c r="W29" s="715" t="e">
        <f t="shared" si="14"/>
        <v>#N/A</v>
      </c>
      <c r="X29" s="1509"/>
      <c r="Y29" s="3523"/>
      <c r="Z29" s="1510" t="str">
        <f t="shared" si="15"/>
        <v>成新率</v>
      </c>
      <c r="AA29" s="1507" t="e">
        <f t="shared" si="3"/>
        <v>#N/A</v>
      </c>
      <c r="AB29" s="1507" t="e">
        <f t="shared" si="4"/>
        <v>#N/A</v>
      </c>
      <c r="AC29" s="1507" t="e">
        <f t="shared" si="5"/>
        <v>#N/A</v>
      </c>
    </row>
    <row r="30" spans="1:29" ht="15">
      <c r="A30" s="612"/>
      <c r="B30" s="610" t="s">
        <v>2478</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523"/>
      <c r="Q30" s="1506" t="str">
        <f t="shared" si="11"/>
        <v>物业等级</v>
      </c>
      <c r="R30" s="714" t="s">
        <v>17</v>
      </c>
      <c r="S30" s="715">
        <f t="shared" si="12"/>
        <v>100</v>
      </c>
      <c r="T30" s="714" t="s">
        <v>17</v>
      </c>
      <c r="U30" s="715">
        <f t="shared" si="13"/>
        <v>100</v>
      </c>
      <c r="V30" s="714" t="s">
        <v>17</v>
      </c>
      <c r="W30" s="715">
        <f t="shared" si="14"/>
        <v>100</v>
      </c>
      <c r="X30" s="1509"/>
      <c r="Y30" s="3523"/>
      <c r="Z30" s="1510" t="str">
        <f t="shared" si="15"/>
        <v>物业等级</v>
      </c>
      <c r="AA30" s="1507">
        <f t="shared" si="3"/>
        <v>1</v>
      </c>
      <c r="AB30" s="1507">
        <f t="shared" si="4"/>
        <v>1</v>
      </c>
      <c r="AC30" s="1507">
        <f t="shared" si="5"/>
        <v>1</v>
      </c>
    </row>
    <row r="31" spans="1:29" s="113" customFormat="1" ht="15">
      <c r="A31" s="614"/>
      <c r="B31" s="610" t="s">
        <v>2479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523"/>
      <c r="Q31" s="1497" t="str">
        <f t="shared" si="11"/>
        <v>停车位面积</v>
      </c>
      <c r="R31" s="710" t="s">
        <v>17</v>
      </c>
      <c r="S31" s="711" t="e">
        <f t="shared" si="12"/>
        <v>#N/A</v>
      </c>
      <c r="T31" s="710" t="s">
        <v>17</v>
      </c>
      <c r="U31" s="711" t="e">
        <f t="shared" si="13"/>
        <v>#N/A</v>
      </c>
      <c r="V31" s="710" t="s">
        <v>17</v>
      </c>
      <c r="W31" s="711" t="e">
        <f t="shared" si="14"/>
        <v>#N/A</v>
      </c>
      <c r="X31" s="712"/>
      <c r="Y31" s="3523"/>
      <c r="Z31" s="55" t="str">
        <f t="shared" si="15"/>
        <v>停车位面积</v>
      </c>
      <c r="AA31" s="713" t="e">
        <f t="shared" si="3"/>
        <v>#N/A</v>
      </c>
      <c r="AB31" s="713" t="e">
        <f t="shared" si="4"/>
        <v>#N/A</v>
      </c>
      <c r="AC31" s="713" t="e">
        <f t="shared" si="5"/>
        <v>#N/A</v>
      </c>
    </row>
    <row r="32" spans="1:29" ht="15">
      <c r="A32" s="612"/>
      <c r="B32" s="610" t="s">
        <v>2480</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523" t="s">
        <v>2327</v>
      </c>
      <c r="Q32" s="1506" t="str">
        <f t="shared" si="11"/>
        <v>车位类型</v>
      </c>
      <c r="R32" s="714" t="s">
        <v>17</v>
      </c>
      <c r="S32" s="715">
        <f t="shared" si="12"/>
        <v>100</v>
      </c>
      <c r="T32" s="714" t="s">
        <v>17</v>
      </c>
      <c r="U32" s="715">
        <f t="shared" si="13"/>
        <v>100</v>
      </c>
      <c r="V32" s="714" t="s">
        <v>17</v>
      </c>
      <c r="W32" s="715">
        <f t="shared" si="14"/>
        <v>100</v>
      </c>
      <c r="X32" s="1509"/>
      <c r="Y32" s="3523" t="s">
        <v>2327</v>
      </c>
      <c r="Z32" s="1510" t="str">
        <f t="shared" si="15"/>
        <v>车位类型</v>
      </c>
      <c r="AA32" s="1507">
        <f t="shared" si="3"/>
        <v>1</v>
      </c>
      <c r="AB32" s="1507">
        <f t="shared" si="4"/>
        <v>1</v>
      </c>
      <c r="AC32" s="1507">
        <f t="shared" si="5"/>
        <v>1</v>
      </c>
    </row>
    <row r="33" spans="1:29" ht="15">
      <c r="A33" s="612"/>
      <c r="B33" s="610" t="s">
        <v>2481</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523"/>
      <c r="Q33" s="1506" t="str">
        <f t="shared" si="11"/>
        <v>是否直接入户</v>
      </c>
      <c r="R33" s="714" t="s">
        <v>17</v>
      </c>
      <c r="S33" s="715">
        <f t="shared" si="12"/>
        <v>100</v>
      </c>
      <c r="T33" s="714" t="s">
        <v>17</v>
      </c>
      <c r="U33" s="715">
        <f t="shared" si="13"/>
        <v>100</v>
      </c>
      <c r="V33" s="714" t="s">
        <v>17</v>
      </c>
      <c r="W33" s="715">
        <f t="shared" si="14"/>
        <v>100</v>
      </c>
      <c r="X33" s="1509"/>
      <c r="Y33" s="3523"/>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523"/>
      <c r="Q34" s="1506">
        <f t="shared" si="11"/>
        <v>111</v>
      </c>
      <c r="R34" s="714" t="s">
        <v>17</v>
      </c>
      <c r="S34" s="715">
        <f t="shared" si="12"/>
        <v>100</v>
      </c>
      <c r="T34" s="714" t="s">
        <v>17</v>
      </c>
      <c r="U34" s="715">
        <f t="shared" si="13"/>
        <v>100</v>
      </c>
      <c r="V34" s="714" t="s">
        <v>17</v>
      </c>
      <c r="W34" s="715">
        <f t="shared" si="14"/>
        <v>100</v>
      </c>
      <c r="X34" s="1509"/>
      <c r="Y34" s="3523"/>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523"/>
      <c r="Q35" s="716">
        <f t="shared" si="11"/>
        <v>111</v>
      </c>
      <c r="R35" s="717" t="s">
        <v>17</v>
      </c>
      <c r="S35" s="718">
        <f t="shared" si="12"/>
        <v>100</v>
      </c>
      <c r="T35" s="717" t="s">
        <v>17</v>
      </c>
      <c r="U35" s="718">
        <f t="shared" si="13"/>
        <v>100</v>
      </c>
      <c r="V35" s="717" t="s">
        <v>17</v>
      </c>
      <c r="W35" s="718">
        <f t="shared" si="14"/>
        <v>100</v>
      </c>
      <c r="X35" s="719"/>
      <c r="Y35" s="3523"/>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523"/>
      <c r="Q36" s="1506">
        <f t="shared" si="11"/>
        <v>111</v>
      </c>
      <c r="R36" s="714" t="s">
        <v>17</v>
      </c>
      <c r="S36" s="715">
        <f t="shared" si="12"/>
        <v>100</v>
      </c>
      <c r="T36" s="714" t="s">
        <v>17</v>
      </c>
      <c r="U36" s="715">
        <f t="shared" si="13"/>
        <v>100</v>
      </c>
      <c r="V36" s="714" t="s">
        <v>17</v>
      </c>
      <c r="W36" s="715">
        <f t="shared" si="14"/>
        <v>100</v>
      </c>
      <c r="X36" s="1509"/>
      <c r="Y36" s="3523"/>
      <c r="Z36" s="1510">
        <f t="shared" si="15"/>
        <v>111</v>
      </c>
      <c r="AA36" s="1507">
        <f t="shared" si="3"/>
        <v>1</v>
      </c>
      <c r="AB36" s="1507">
        <f t="shared" si="4"/>
        <v>1</v>
      </c>
      <c r="AC36" s="1507">
        <f t="shared" si="5"/>
        <v>1</v>
      </c>
    </row>
    <row r="37" spans="1:29" ht="15">
      <c r="A37" s="438" t="s">
        <v>2482</v>
      </c>
      <c r="B37" s="2129" t="s">
        <v>2483</v>
      </c>
      <c r="C37" s="1288" t="s">
        <v>1</v>
      </c>
      <c r="D37" s="1289"/>
      <c r="E37" s="1290"/>
      <c r="F37" s="1291"/>
      <c r="G37" s="1292"/>
      <c r="H37" s="1293"/>
      <c r="I37" s="1290"/>
      <c r="J37" s="1293"/>
      <c r="K37" s="576"/>
      <c r="L37" s="2923"/>
      <c r="M37" s="2924"/>
      <c r="N37" s="2915"/>
      <c r="O37" s="2924"/>
      <c r="P37" s="3516" t="str">
        <f>A37</f>
        <v>成交单价</v>
      </c>
      <c r="Q37" s="3516"/>
      <c r="R37" s="3517">
        <f>E37</f>
        <v>0</v>
      </c>
      <c r="S37" s="3517"/>
      <c r="T37" s="3517">
        <f>G37</f>
        <v>0</v>
      </c>
      <c r="U37" s="3517"/>
      <c r="V37" s="3517">
        <f>I37</f>
        <v>0</v>
      </c>
      <c r="W37" s="3517"/>
      <c r="X37" s="699"/>
      <c r="Y37" s="721"/>
      <c r="Z37" s="699"/>
      <c r="AA37" s="699"/>
      <c r="AB37" s="699"/>
      <c r="AC37" s="699"/>
    </row>
    <row r="38" spans="1:29" ht="15.75" thickBot="1">
      <c r="A38" s="445" t="s">
        <v>2484</v>
      </c>
      <c r="B38" s="446" t="str">
        <f>B37</f>
        <v>元/车位</v>
      </c>
      <c r="C38" s="1294" t="e">
        <f>R39</f>
        <v>#DIV/0!</v>
      </c>
      <c r="D38" s="2508" t="s">
        <v>2822</v>
      </c>
      <c r="E38" s="1295" t="e">
        <f>R38</f>
        <v>#DIV/0!</v>
      </c>
      <c r="F38" s="2509"/>
      <c r="G38" s="1294" t="e">
        <f>T38</f>
        <v>#DIV/0!</v>
      </c>
      <c r="H38" s="2509"/>
      <c r="I38" s="1295" t="e">
        <f>V38</f>
        <v>#DIV/0!</v>
      </c>
      <c r="J38" s="2509"/>
      <c r="K38" s="2511">
        <f>F38+H38+J38</f>
        <v>0</v>
      </c>
      <c r="L38" s="2923"/>
      <c r="M38" s="2924"/>
      <c r="N38" s="2924"/>
      <c r="O38" s="2924"/>
      <c r="P38" s="3516" t="str">
        <f>A38</f>
        <v>比较价值（元/平方米）</v>
      </c>
      <c r="Q38" s="3516"/>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699"/>
      <c r="Y38" s="699"/>
      <c r="Z38" s="699"/>
      <c r="AA38" s="699"/>
      <c r="AB38" s="699"/>
      <c r="AC38" s="699"/>
    </row>
    <row r="39" spans="1:29" ht="15.75" thickBot="1">
      <c r="A39" s="449" t="s">
        <v>2485</v>
      </c>
      <c r="B39" s="450"/>
      <c r="C39" s="1297" t="e">
        <f>R39</f>
        <v>#DIV/0!</v>
      </c>
      <c r="D39" s="1297"/>
      <c r="E39" s="1297"/>
      <c r="F39" s="1297"/>
      <c r="G39" s="1297"/>
      <c r="H39" s="1297"/>
      <c r="I39" s="1297"/>
      <c r="J39" s="1297"/>
      <c r="K39" s="577"/>
      <c r="L39" s="2923"/>
      <c r="M39" s="2924"/>
      <c r="N39" s="2924"/>
      <c r="O39" s="2924"/>
      <c r="P39" s="3513" t="str">
        <f>A39</f>
        <v>估价对象XX用房的比较价值（楼面单价，元/平方米）</v>
      </c>
      <c r="Q39" s="3514"/>
      <c r="R39" s="3543" t="e">
        <f>IF(F1="售价",ROUND(IF(D38="简单平均",AVERAGE(R38:W38),R38*F38+T38*H38+V38*J38),0),ROUND(IF(D38="简单平均",AVERAGE(R38:V38),R38*F38+T38*H38+V38*J38),1))</f>
        <v>#DIV/0!</v>
      </c>
      <c r="S39" s="3543"/>
      <c r="T39" s="3543"/>
      <c r="U39" s="3543"/>
      <c r="V39" s="3543"/>
      <c r="W39" s="3543"/>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2489</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2490</v>
      </c>
      <c r="B48" s="463"/>
      <c r="C48" s="1318" t="str">
        <f>YEAR(C7)&amp;"-"&amp;MONTH(C7)</f>
        <v>1900-1</v>
      </c>
      <c r="D48" s="1319" t="e">
        <f>EDATE(C48,-1)</f>
        <v>#NUM!</v>
      </c>
      <c r="E48" s="1319" t="e">
        <f t="shared" ref="E48:O48" si="16">EDATE(D48,-1)</f>
        <v>#NUM!</v>
      </c>
      <c r="F48" s="1319" t="e">
        <f t="shared" si="16"/>
        <v>#NUM!</v>
      </c>
      <c r="G48" s="1319" t="e">
        <f t="shared" si="16"/>
        <v>#NUM!</v>
      </c>
      <c r="H48" s="1319" t="e">
        <f t="shared" si="16"/>
        <v>#NUM!</v>
      </c>
      <c r="I48" s="1319" t="e">
        <f t="shared" si="16"/>
        <v>#NUM!</v>
      </c>
      <c r="J48" s="1319" t="e">
        <f t="shared" si="16"/>
        <v>#NUM!</v>
      </c>
      <c r="K48" s="1319" t="e">
        <f t="shared" si="16"/>
        <v>#NUM!</v>
      </c>
      <c r="L48" s="1319" t="e">
        <f t="shared" si="16"/>
        <v>#NUM!</v>
      </c>
      <c r="M48" s="1319" t="e">
        <f t="shared" si="16"/>
        <v>#NUM!</v>
      </c>
      <c r="N48" s="1319" t="e">
        <f t="shared" si="16"/>
        <v>#NUM!</v>
      </c>
      <c r="O48" s="1319" t="e">
        <f t="shared" si="16"/>
        <v>#NUM!</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2347</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2312</v>
      </c>
      <c r="B51" s="467"/>
      <c r="C51" s="479" t="s">
        <v>2414</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2350</v>
      </c>
      <c r="B53" s="485" t="s">
        <v>2316</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2319</v>
      </c>
      <c r="C55" s="496" t="s">
        <v>2351</v>
      </c>
      <c r="D55" s="496" t="s">
        <v>2352</v>
      </c>
      <c r="E55" s="496" t="s">
        <v>2353</v>
      </c>
      <c r="F55" s="496" t="s">
        <v>2354</v>
      </c>
      <c r="G55" s="496" t="s">
        <v>2355</v>
      </c>
      <c r="H55" s="496" t="s">
        <v>2356</v>
      </c>
      <c r="I55" s="496" t="s">
        <v>2357</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2321</v>
      </c>
      <c r="B63" s="485" t="s">
        <v>2364</v>
      </c>
      <c r="C63" s="530" t="s">
        <v>2359</v>
      </c>
      <c r="D63" s="530" t="s">
        <v>2360</v>
      </c>
      <c r="E63" s="530" t="s">
        <v>2361</v>
      </c>
      <c r="F63" s="530" t="s">
        <v>2362</v>
      </c>
      <c r="G63" s="530" t="s">
        <v>2363</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2365</v>
      </c>
      <c r="C65" s="535" t="s">
        <v>2359</v>
      </c>
      <c r="D65" s="535" t="s">
        <v>2360</v>
      </c>
      <c r="E65" s="535" t="s">
        <v>2361</v>
      </c>
      <c r="F65" s="535" t="s">
        <v>2362</v>
      </c>
      <c r="G65" s="535" t="s">
        <v>2363</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2451</v>
      </c>
      <c r="C67" s="616" t="s">
        <v>2437</v>
      </c>
      <c r="D67" s="616" t="s">
        <v>2438</v>
      </c>
      <c r="E67" s="616" t="s">
        <v>2439</v>
      </c>
      <c r="F67" s="616" t="s">
        <v>2440</v>
      </c>
      <c r="G67" s="616" t="s">
        <v>2441</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2371</v>
      </c>
      <c r="C69" s="535" t="s">
        <v>2359</v>
      </c>
      <c r="D69" s="535" t="s">
        <v>2360</v>
      </c>
      <c r="E69" s="535" t="s">
        <v>2361</v>
      </c>
      <c r="F69" s="535" t="s">
        <v>2362</v>
      </c>
      <c r="G69" s="535" t="s">
        <v>2363</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2491</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2325</v>
      </c>
      <c r="B79" s="485" t="s">
        <v>2492</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2493</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2378</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2495</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2497</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2498</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2469</v>
      </c>
      <c r="B1" s="1363"/>
      <c r="C1" s="1364" t="s">
        <v>2292</v>
      </c>
      <c r="D1" s="1365"/>
      <c r="E1" s="1374"/>
      <c r="F1" s="2035"/>
      <c r="G1" s="1375" t="s">
        <v>2405</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2089</v>
      </c>
      <c r="B2" s="1298" t="e">
        <f ca="1">IF(C2="——",ROUND(C37*D3/10000,0),ROUND(C37*D3/10000,0)-D2)</f>
        <v>#DIV/0!</v>
      </c>
      <c r="C2" s="2037"/>
      <c r="D2" s="1038" t="e">
        <f ca="1">SUMIF(INDIRECT("'"&amp;F2&amp;"'"&amp;"!A:A"),"承租人权益价值",INDIRECT("'"&amp;F2&amp;"'"&amp;"!c:c"))</f>
        <v>#REF!</v>
      </c>
      <c r="E2" s="2038" t="s">
        <v>2090</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2091</v>
      </c>
      <c r="B3" s="566" t="e">
        <f ca="1">IF(C2="——",C37,ROUND(B2*10000/D3,0))</f>
        <v>#DIV/0!</v>
      </c>
      <c r="C3" s="360" t="s">
        <v>2406</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2407</v>
      </c>
      <c r="B4" s="362"/>
      <c r="C4" s="3499" t="s">
        <v>2408</v>
      </c>
      <c r="D4" s="3500"/>
      <c r="E4" s="3501" t="s">
        <v>2409</v>
      </c>
      <c r="F4" s="3502"/>
      <c r="G4" s="3499" t="s">
        <v>2410</v>
      </c>
      <c r="H4" s="3500"/>
      <c r="I4" s="3499" t="s">
        <v>2411</v>
      </c>
      <c r="J4" s="3500"/>
      <c r="K4" s="567" t="s">
        <v>2412</v>
      </c>
      <c r="L4" s="2914"/>
      <c r="M4" s="2915"/>
      <c r="N4" s="2915"/>
      <c r="O4" s="2915"/>
      <c r="P4" s="3503" t="s">
        <v>2413</v>
      </c>
      <c r="Q4" s="3504"/>
      <c r="R4" s="3486" t="s">
        <v>2409</v>
      </c>
      <c r="S4" s="3487"/>
      <c r="T4" s="3486" t="s">
        <v>2410</v>
      </c>
      <c r="U4" s="3487"/>
      <c r="V4" s="3511" t="s">
        <v>2411</v>
      </c>
      <c r="W4" s="3511"/>
      <c r="X4" s="1509"/>
      <c r="Y4" s="3486" t="s">
        <v>2413</v>
      </c>
      <c r="Z4" s="3487"/>
      <c r="AA4" s="3481" t="s">
        <v>2409</v>
      </c>
      <c r="AB4" s="3482" t="s">
        <v>2410</v>
      </c>
      <c r="AC4" s="3481" t="s">
        <v>2411</v>
      </c>
    </row>
    <row r="5" spans="1:29" ht="15">
      <c r="A5" s="364"/>
      <c r="B5" s="365"/>
      <c r="C5" s="3492" t="s">
        <v>2304</v>
      </c>
      <c r="D5" s="3493"/>
      <c r="E5" s="3490" t="s">
        <v>2305</v>
      </c>
      <c r="F5" s="3491"/>
      <c r="G5" s="3492" t="s">
        <v>2306</v>
      </c>
      <c r="H5" s="3493"/>
      <c r="I5" s="3492" t="s">
        <v>2307</v>
      </c>
      <c r="J5" s="3493"/>
      <c r="K5" s="567"/>
      <c r="L5" s="2914"/>
      <c r="M5" s="2915"/>
      <c r="N5" s="2915"/>
      <c r="O5" s="2915"/>
      <c r="P5" s="3505"/>
      <c r="Q5" s="3506"/>
      <c r="R5" s="3488"/>
      <c r="S5" s="3489"/>
      <c r="T5" s="3488"/>
      <c r="U5" s="3489"/>
      <c r="V5" s="3511"/>
      <c r="W5" s="3511"/>
      <c r="X5" s="1509"/>
      <c r="Y5" s="3488"/>
      <c r="Z5" s="3489"/>
      <c r="AA5" s="3482"/>
      <c r="AB5" s="3482"/>
      <c r="AC5" s="3482"/>
    </row>
    <row r="6" spans="1:29" ht="15.75" thickBot="1">
      <c r="A6" s="366"/>
      <c r="B6" s="367"/>
      <c r="C6" s="3494" t="s">
        <v>2308</v>
      </c>
      <c r="D6" s="3495"/>
      <c r="E6" s="3496" t="s">
        <v>2308</v>
      </c>
      <c r="F6" s="3497"/>
      <c r="G6" s="3494" t="s">
        <v>2308</v>
      </c>
      <c r="H6" s="3495"/>
      <c r="I6" s="3494" t="s">
        <v>2308</v>
      </c>
      <c r="J6" s="3495"/>
      <c r="K6" s="567" t="s">
        <v>2309</v>
      </c>
      <c r="L6" s="2914"/>
      <c r="M6" s="2915"/>
      <c r="N6" s="2915"/>
      <c r="O6" s="2915"/>
      <c r="P6" s="3507"/>
      <c r="Q6" s="3508"/>
      <c r="R6" s="3488"/>
      <c r="S6" s="3489"/>
      <c r="T6" s="3509"/>
      <c r="U6" s="3510"/>
      <c r="V6" s="3511"/>
      <c r="W6" s="3511"/>
      <c r="X6" s="1509"/>
      <c r="Y6" s="3509"/>
      <c r="Z6" s="3510"/>
      <c r="AA6" s="3483"/>
      <c r="AB6" s="3483"/>
      <c r="AC6" s="3483"/>
    </row>
    <row r="7" spans="1:29" s="113" customFormat="1" ht="15.75" thickBot="1">
      <c r="A7" s="368" t="s">
        <v>2310</v>
      </c>
      <c r="B7" s="369"/>
      <c r="C7" s="370">
        <f>'数据-取费表'!B2</f>
        <v>0</v>
      </c>
      <c r="D7" s="371">
        <v>100</v>
      </c>
      <c r="E7" s="372"/>
      <c r="F7" s="373">
        <f>SUMIF(46:46,YEAR(E7)&amp;"-"&amp;MONTH(E7),47:47)</f>
        <v>100</v>
      </c>
      <c r="G7" s="2130"/>
      <c r="H7" s="371">
        <f>SUMIF(46:46,YEAR(G7)&amp;"-"&amp;MONTH(G7),47:47)</f>
        <v>100</v>
      </c>
      <c r="I7" s="372"/>
      <c r="J7" s="371">
        <f>SUMIF(46:46,YEAR(I7)&amp;"-"&amp;MONTH(I7),47:47)</f>
        <v>100</v>
      </c>
      <c r="K7" s="568"/>
      <c r="L7" s="2916"/>
      <c r="M7" s="2917"/>
      <c r="N7" s="2917"/>
      <c r="O7" s="2917"/>
      <c r="P7" s="3484" t="s">
        <v>2311</v>
      </c>
      <c r="Q7" s="3512"/>
      <c r="R7" s="710" t="s">
        <v>17</v>
      </c>
      <c r="S7" s="711">
        <f t="shared" ref="S7:S14" si="0">F7</f>
        <v>100</v>
      </c>
      <c r="T7" s="710" t="s">
        <v>17</v>
      </c>
      <c r="U7" s="711">
        <f t="shared" ref="U7:U14" si="1">H7</f>
        <v>100</v>
      </c>
      <c r="V7" s="710" t="s">
        <v>17</v>
      </c>
      <c r="W7" s="711">
        <f t="shared" ref="W7:W14" si="2">J7</f>
        <v>100</v>
      </c>
      <c r="X7" s="712"/>
      <c r="Y7" s="3484" t="s">
        <v>2311</v>
      </c>
      <c r="Z7" s="3485"/>
      <c r="AA7" s="713">
        <f>D7/F7</f>
        <v>1</v>
      </c>
      <c r="AB7" s="713">
        <f>D7/H7</f>
        <v>1</v>
      </c>
      <c r="AC7" s="713">
        <f>D7/J7</f>
        <v>1</v>
      </c>
    </row>
    <row r="8" spans="1:29" s="113" customFormat="1" ht="15.75" thickBot="1">
      <c r="A8" s="368" t="s">
        <v>2312</v>
      </c>
      <c r="B8" s="369"/>
      <c r="C8" s="374" t="s">
        <v>2414</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84" t="s">
        <v>2314</v>
      </c>
      <c r="Q8" s="3485"/>
      <c r="R8" s="710" t="s">
        <v>17</v>
      </c>
      <c r="S8" s="711">
        <f t="shared" si="0"/>
        <v>0</v>
      </c>
      <c r="T8" s="710" t="s">
        <v>17</v>
      </c>
      <c r="U8" s="711">
        <f t="shared" si="1"/>
        <v>0</v>
      </c>
      <c r="V8" s="710" t="s">
        <v>17</v>
      </c>
      <c r="W8" s="711">
        <f t="shared" si="2"/>
        <v>0</v>
      </c>
      <c r="X8" s="712"/>
      <c r="Y8" s="3484" t="s">
        <v>2314</v>
      </c>
      <c r="Z8" s="3485"/>
      <c r="AA8" s="713" t="e">
        <f t="shared" ref="AA8:AA34" si="3">D8/F8</f>
        <v>#DIV/0!</v>
      </c>
      <c r="AB8" s="713" t="e">
        <f t="shared" ref="AB8:AB34" si="4">D8/H8</f>
        <v>#DIV/0!</v>
      </c>
      <c r="AC8" s="713" t="e">
        <f t="shared" ref="AC8:AC34" si="5">D8/J8</f>
        <v>#DIV/0!</v>
      </c>
    </row>
    <row r="9" spans="1:29" s="113" customFormat="1">
      <c r="A9" s="375" t="s">
        <v>2315</v>
      </c>
      <c r="B9" s="67" t="s">
        <v>2316</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516" t="s">
        <v>2317</v>
      </c>
      <c r="Q9" s="1497" t="str">
        <f t="shared" ref="Q9:Q14" si="6">B9</f>
        <v>用途</v>
      </c>
      <c r="R9" s="710" t="s">
        <v>17</v>
      </c>
      <c r="S9" s="711">
        <f t="shared" si="0"/>
        <v>100</v>
      </c>
      <c r="T9" s="710" t="s">
        <v>17</v>
      </c>
      <c r="U9" s="711">
        <f t="shared" si="1"/>
        <v>100</v>
      </c>
      <c r="V9" s="710" t="s">
        <v>17</v>
      </c>
      <c r="W9" s="711">
        <f t="shared" si="2"/>
        <v>100</v>
      </c>
      <c r="X9" s="712"/>
      <c r="Y9" s="3428" t="s">
        <v>2318</v>
      </c>
      <c r="Z9" s="55" t="str">
        <f t="shared" ref="Z9:Z14" si="7">Q9</f>
        <v>用途</v>
      </c>
      <c r="AA9" s="713">
        <f t="shared" si="3"/>
        <v>1</v>
      </c>
      <c r="AB9" s="713">
        <f t="shared" si="4"/>
        <v>1</v>
      </c>
      <c r="AC9" s="713">
        <f t="shared" si="5"/>
        <v>1</v>
      </c>
    </row>
    <row r="10" spans="1:29" s="386" customFormat="1" ht="27">
      <c r="A10" s="380"/>
      <c r="B10" s="381" t="s">
        <v>2319</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516"/>
      <c r="Q10" s="149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516"/>
      <c r="Q11" s="1497">
        <f t="shared" si="6"/>
        <v>111</v>
      </c>
      <c r="R11" s="710" t="s">
        <v>17</v>
      </c>
      <c r="S11" s="711">
        <f t="shared" si="0"/>
        <v>100</v>
      </c>
      <c r="T11" s="710" t="s">
        <v>17</v>
      </c>
      <c r="U11" s="711">
        <f t="shared" si="1"/>
        <v>100</v>
      </c>
      <c r="V11" s="710" t="s">
        <v>17</v>
      </c>
      <c r="W11" s="711">
        <f t="shared" si="2"/>
        <v>100</v>
      </c>
      <c r="X11" s="712"/>
      <c r="Y11" s="3428"/>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516"/>
      <c r="Q12" s="149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516"/>
      <c r="Q13" s="149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85.5">
      <c r="A14" s="399" t="s">
        <v>2321</v>
      </c>
      <c r="B14" s="65" t="s">
        <v>2471</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518" t="s">
        <v>2322</v>
      </c>
      <c r="Q14" s="1506" t="str">
        <f t="shared" si="6"/>
        <v>交通便捷度</v>
      </c>
      <c r="R14" s="714" t="s">
        <v>17</v>
      </c>
      <c r="S14" s="715">
        <f t="shared" si="0"/>
        <v>100</v>
      </c>
      <c r="T14" s="714" t="s">
        <v>17</v>
      </c>
      <c r="U14" s="715">
        <f t="shared" si="1"/>
        <v>100</v>
      </c>
      <c r="V14" s="714" t="s">
        <v>17</v>
      </c>
      <c r="W14" s="715">
        <f t="shared" si="2"/>
        <v>100</v>
      </c>
      <c r="X14" s="1509"/>
      <c r="Y14" s="3518" t="s">
        <v>2322</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519"/>
      <c r="Q15" s="1506"/>
      <c r="R15" s="714"/>
      <c r="S15" s="715"/>
      <c r="T15" s="714"/>
      <c r="U15" s="715"/>
      <c r="V15" s="714"/>
      <c r="W15" s="715"/>
      <c r="X15" s="1509"/>
      <c r="Y15" s="3519"/>
      <c r="Z15" s="1510"/>
      <c r="AA15" s="1507">
        <v>1</v>
      </c>
      <c r="AB15" s="1507">
        <v>1</v>
      </c>
      <c r="AC15" s="1507">
        <v>1</v>
      </c>
    </row>
    <row r="16" spans="1:29" ht="42.75">
      <c r="A16" s="387"/>
      <c r="B16" s="410" t="s">
        <v>2450</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519"/>
      <c r="Q16" s="1506" t="str">
        <f>B16</f>
        <v>公共配套设施</v>
      </c>
      <c r="R16" s="714" t="s">
        <v>17</v>
      </c>
      <c r="S16" s="715">
        <f>F16</f>
        <v>100</v>
      </c>
      <c r="T16" s="714" t="s">
        <v>17</v>
      </c>
      <c r="U16" s="715">
        <f>H16</f>
        <v>100</v>
      </c>
      <c r="V16" s="714" t="s">
        <v>17</v>
      </c>
      <c r="W16" s="715">
        <f>J16</f>
        <v>100</v>
      </c>
      <c r="X16" s="1509"/>
      <c r="Y16" s="3519"/>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519"/>
      <c r="Q17" s="1506"/>
      <c r="R17" s="714"/>
      <c r="S17" s="715"/>
      <c r="T17" s="714"/>
      <c r="U17" s="715"/>
      <c r="V17" s="714"/>
      <c r="W17" s="715"/>
      <c r="X17" s="1509"/>
      <c r="Y17" s="3519"/>
      <c r="Z17" s="1510"/>
      <c r="AA17" s="1507">
        <v>1</v>
      </c>
      <c r="AB17" s="1507">
        <v>1</v>
      </c>
      <c r="AC17" s="1507">
        <v>1</v>
      </c>
    </row>
    <row r="18" spans="1:29" ht="28.5">
      <c r="A18" s="387"/>
      <c r="B18" s="1265" t="s">
        <v>2451</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519"/>
      <c r="Q18" s="1506" t="str">
        <f>B18</f>
        <v>基础设施水平</v>
      </c>
      <c r="R18" s="714" t="s">
        <v>17</v>
      </c>
      <c r="S18" s="715">
        <f>F18</f>
        <v>100</v>
      </c>
      <c r="T18" s="714" t="s">
        <v>17</v>
      </c>
      <c r="U18" s="715">
        <f>H18</f>
        <v>100</v>
      </c>
      <c r="V18" s="714" t="s">
        <v>17</v>
      </c>
      <c r="W18" s="715">
        <f>J18</f>
        <v>100</v>
      </c>
      <c r="X18" s="1509"/>
      <c r="Y18" s="3519"/>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519"/>
      <c r="Q19" s="1506"/>
      <c r="R19" s="714"/>
      <c r="S19" s="715"/>
      <c r="T19" s="714"/>
      <c r="U19" s="715"/>
      <c r="V19" s="714"/>
      <c r="W19" s="715"/>
      <c r="X19" s="1509"/>
      <c r="Y19" s="3519"/>
      <c r="Z19" s="1510"/>
      <c r="AA19" s="1507">
        <v>1</v>
      </c>
      <c r="AB19" s="1507">
        <v>1</v>
      </c>
      <c r="AC19" s="1507">
        <v>1</v>
      </c>
    </row>
    <row r="20" spans="1:29" ht="57">
      <c r="A20" s="387"/>
      <c r="B20" s="410" t="s">
        <v>2472</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519"/>
      <c r="Q20" s="1506" t="str">
        <f>B20</f>
        <v>自然及人文环境</v>
      </c>
      <c r="R20" s="714" t="s">
        <v>17</v>
      </c>
      <c r="S20" s="715">
        <f>F20</f>
        <v>100</v>
      </c>
      <c r="T20" s="714" t="s">
        <v>17</v>
      </c>
      <c r="U20" s="715">
        <f>H20</f>
        <v>100</v>
      </c>
      <c r="V20" s="714" t="s">
        <v>17</v>
      </c>
      <c r="W20" s="715">
        <f>J20</f>
        <v>100</v>
      </c>
      <c r="X20" s="1509"/>
      <c r="Y20" s="3519"/>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519"/>
      <c r="Q21" s="1506"/>
      <c r="R21" s="714"/>
      <c r="S21" s="715"/>
      <c r="T21" s="714"/>
      <c r="U21" s="715"/>
      <c r="V21" s="714"/>
      <c r="W21" s="715"/>
      <c r="X21" s="1509"/>
      <c r="Y21" s="3519"/>
      <c r="Z21" s="1510"/>
      <c r="AA21" s="1507">
        <v>1</v>
      </c>
      <c r="AB21" s="1507">
        <v>1</v>
      </c>
      <c r="AC21" s="1507">
        <v>1</v>
      </c>
    </row>
    <row r="22" spans="1:29" ht="15">
      <c r="A22" s="387"/>
      <c r="B22" s="410" t="s">
        <v>2473</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519"/>
      <c r="Q22" s="1506" t="str">
        <f>B22</f>
        <v>楼层</v>
      </c>
      <c r="R22" s="714" t="s">
        <v>17</v>
      </c>
      <c r="S22" s="715">
        <f>F22</f>
        <v>100</v>
      </c>
      <c r="T22" s="714" t="s">
        <v>17</v>
      </c>
      <c r="U22" s="715">
        <f>H22</f>
        <v>100</v>
      </c>
      <c r="V22" s="714" t="s">
        <v>17</v>
      </c>
      <c r="W22" s="715">
        <f>J22</f>
        <v>100</v>
      </c>
      <c r="X22" s="1509"/>
      <c r="Y22" s="3519"/>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519"/>
      <c r="Q23" s="1506">
        <f>B23</f>
        <v>111</v>
      </c>
      <c r="R23" s="714" t="s">
        <v>17</v>
      </c>
      <c r="S23" s="715">
        <f>F23</f>
        <v>100</v>
      </c>
      <c r="T23" s="714" t="s">
        <v>17</v>
      </c>
      <c r="U23" s="715">
        <f>H23</f>
        <v>100</v>
      </c>
      <c r="V23" s="714" t="s">
        <v>17</v>
      </c>
      <c r="W23" s="715">
        <f>J23</f>
        <v>100</v>
      </c>
      <c r="X23" s="1509"/>
      <c r="Y23" s="3519"/>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519"/>
      <c r="Q24" s="1506">
        <f t="shared" ref="Q24:Q34" si="11">B24</f>
        <v>111</v>
      </c>
      <c r="R24" s="714" t="s">
        <v>17</v>
      </c>
      <c r="S24" s="715">
        <f>F24</f>
        <v>100</v>
      </c>
      <c r="T24" s="714" t="s">
        <v>17</v>
      </c>
      <c r="U24" s="715">
        <f>H24</f>
        <v>100</v>
      </c>
      <c r="V24" s="714" t="s">
        <v>17</v>
      </c>
      <c r="W24" s="715">
        <f>J24</f>
        <v>100</v>
      </c>
      <c r="X24" s="1509"/>
      <c r="Y24" s="3519"/>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519"/>
      <c r="Q25" s="1497">
        <f t="shared" si="11"/>
        <v>111</v>
      </c>
      <c r="R25" s="710" t="s">
        <v>17</v>
      </c>
      <c r="S25" s="711">
        <f>F25</f>
        <v>100</v>
      </c>
      <c r="T25" s="710" t="s">
        <v>17</v>
      </c>
      <c r="U25" s="711">
        <f>H25</f>
        <v>100</v>
      </c>
      <c r="V25" s="710" t="s">
        <v>17</v>
      </c>
      <c r="W25" s="711">
        <f>J25</f>
        <v>100</v>
      </c>
      <c r="X25" s="712"/>
      <c r="Y25" s="3519"/>
      <c r="Z25" s="55">
        <f>Q25</f>
        <v>111</v>
      </c>
      <c r="AA25" s="1507">
        <f>D25/F25</f>
        <v>1</v>
      </c>
      <c r="AB25" s="1507">
        <f>D25/H25</f>
        <v>1</v>
      </c>
      <c r="AC25" s="1507">
        <f>D25/J25</f>
        <v>1</v>
      </c>
    </row>
    <row r="26" spans="1:29" ht="28.5">
      <c r="A26" s="425" t="s">
        <v>2325</v>
      </c>
      <c r="B26" s="67" t="s">
        <v>2476</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42" t="s">
        <v>2327</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523" t="s">
        <v>2327</v>
      </c>
      <c r="Z26" s="1510" t="str">
        <f t="shared" ref="Z26:Z34" si="15">Q26</f>
        <v>公共部分装修</v>
      </c>
      <c r="AA26" s="1507">
        <f t="shared" si="3"/>
        <v>1</v>
      </c>
      <c r="AB26" s="1507">
        <f t="shared" si="4"/>
        <v>1</v>
      </c>
      <c r="AC26" s="1507">
        <f t="shared" si="5"/>
        <v>1</v>
      </c>
    </row>
    <row r="27" spans="1:29" s="430" customFormat="1" ht="15">
      <c r="A27" s="427"/>
      <c r="B27" s="381" t="s">
        <v>2477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523"/>
      <c r="Q27" s="716" t="str">
        <f t="shared" si="11"/>
        <v>成新率</v>
      </c>
      <c r="R27" s="717" t="s">
        <v>17</v>
      </c>
      <c r="S27" s="718" t="e">
        <f t="shared" si="12"/>
        <v>#N/A</v>
      </c>
      <c r="T27" s="717" t="s">
        <v>17</v>
      </c>
      <c r="U27" s="718" t="e">
        <f t="shared" si="13"/>
        <v>#N/A</v>
      </c>
      <c r="V27" s="717" t="s">
        <v>17</v>
      </c>
      <c r="W27" s="718" t="e">
        <f t="shared" si="14"/>
        <v>#N/A</v>
      </c>
      <c r="X27" s="719"/>
      <c r="Y27" s="3523"/>
      <c r="Z27" s="720" t="str">
        <f t="shared" si="15"/>
        <v>成新率</v>
      </c>
      <c r="AA27" s="1507" t="e">
        <f t="shared" si="3"/>
        <v>#N/A</v>
      </c>
      <c r="AB27" s="1507" t="e">
        <f t="shared" si="4"/>
        <v>#N/A</v>
      </c>
      <c r="AC27" s="1507" t="e">
        <f t="shared" si="5"/>
        <v>#N/A</v>
      </c>
    </row>
    <row r="28" spans="1:29" ht="15">
      <c r="A28" s="431"/>
      <c r="B28" s="381" t="s">
        <v>2478</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523"/>
      <c r="Q28" s="1506" t="str">
        <f t="shared" si="11"/>
        <v>物业等级</v>
      </c>
      <c r="R28" s="714" t="s">
        <v>17</v>
      </c>
      <c r="S28" s="715">
        <f t="shared" si="12"/>
        <v>100</v>
      </c>
      <c r="T28" s="714" t="s">
        <v>17</v>
      </c>
      <c r="U28" s="715">
        <f t="shared" si="13"/>
        <v>100</v>
      </c>
      <c r="V28" s="714" t="s">
        <v>17</v>
      </c>
      <c r="W28" s="715">
        <f t="shared" si="14"/>
        <v>100</v>
      </c>
      <c r="X28" s="1509"/>
      <c r="Y28" s="3523"/>
      <c r="Z28" s="1510" t="str">
        <f t="shared" si="15"/>
        <v>物业等级</v>
      </c>
      <c r="AA28" s="1507">
        <f t="shared" si="3"/>
        <v>1</v>
      </c>
      <c r="AB28" s="1507">
        <f t="shared" si="4"/>
        <v>1</v>
      </c>
      <c r="AC28" s="1507">
        <f t="shared" si="5"/>
        <v>1</v>
      </c>
    </row>
    <row r="29" spans="1:29" ht="15">
      <c r="A29" s="431"/>
      <c r="B29" s="381" t="s">
        <v>2499</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523"/>
      <c r="Q29" s="1506" t="str">
        <f t="shared" si="11"/>
        <v>有无电梯</v>
      </c>
      <c r="R29" s="714" t="s">
        <v>17</v>
      </c>
      <c r="S29" s="715">
        <f t="shared" si="12"/>
        <v>100</v>
      </c>
      <c r="T29" s="714" t="s">
        <v>17</v>
      </c>
      <c r="U29" s="715">
        <f t="shared" si="13"/>
        <v>100</v>
      </c>
      <c r="V29" s="714" t="s">
        <v>17</v>
      </c>
      <c r="W29" s="715">
        <f t="shared" si="14"/>
        <v>100</v>
      </c>
      <c r="X29" s="1509"/>
      <c r="Y29" s="3523"/>
      <c r="Z29" s="1510" t="str">
        <f t="shared" si="15"/>
        <v>有无电梯</v>
      </c>
      <c r="AA29" s="1507">
        <f t="shared" si="3"/>
        <v>1</v>
      </c>
      <c r="AB29" s="1507">
        <f t="shared" si="4"/>
        <v>1</v>
      </c>
      <c r="AC29" s="1507">
        <f t="shared" si="5"/>
        <v>1</v>
      </c>
    </row>
    <row r="30" spans="1:29" ht="15">
      <c r="A30" s="431"/>
      <c r="B30" s="381" t="s">
        <v>2500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523"/>
      <c r="Q30" s="1506" t="str">
        <f t="shared" si="11"/>
        <v>建筑面积</v>
      </c>
      <c r="R30" s="714" t="s">
        <v>17</v>
      </c>
      <c r="S30" s="715" t="e">
        <f t="shared" si="12"/>
        <v>#N/A</v>
      </c>
      <c r="T30" s="714" t="s">
        <v>17</v>
      </c>
      <c r="U30" s="715" t="e">
        <f t="shared" si="13"/>
        <v>#N/A</v>
      </c>
      <c r="V30" s="714" t="s">
        <v>17</v>
      </c>
      <c r="W30" s="715" t="e">
        <f t="shared" si="14"/>
        <v>#N/A</v>
      </c>
      <c r="X30" s="1509"/>
      <c r="Y30" s="3523"/>
      <c r="Z30" s="1510" t="str">
        <f t="shared" si="15"/>
        <v>建筑面积</v>
      </c>
      <c r="AA30" s="1507" t="e">
        <f t="shared" si="3"/>
        <v>#N/A</v>
      </c>
      <c r="AB30" s="1507" t="e">
        <f t="shared" si="4"/>
        <v>#N/A</v>
      </c>
      <c r="AC30" s="1507" t="e">
        <f t="shared" si="5"/>
        <v>#N/A</v>
      </c>
    </row>
    <row r="31" spans="1:29" s="113" customFormat="1" ht="15">
      <c r="A31" s="432"/>
      <c r="B31" s="381" t="s">
        <v>2501</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523"/>
      <c r="Q31" s="1497" t="str">
        <f t="shared" si="11"/>
        <v>是否封闭</v>
      </c>
      <c r="R31" s="710" t="s">
        <v>17</v>
      </c>
      <c r="S31" s="711">
        <f t="shared" si="12"/>
        <v>100</v>
      </c>
      <c r="T31" s="710" t="s">
        <v>17</v>
      </c>
      <c r="U31" s="711">
        <f t="shared" si="13"/>
        <v>100</v>
      </c>
      <c r="V31" s="710" t="s">
        <v>17</v>
      </c>
      <c r="W31" s="711">
        <f t="shared" si="14"/>
        <v>100</v>
      </c>
      <c r="X31" s="712"/>
      <c r="Y31" s="3523"/>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523" t="s">
        <v>2327</v>
      </c>
      <c r="Q32" s="1506">
        <f t="shared" si="11"/>
        <v>111</v>
      </c>
      <c r="R32" s="714" t="s">
        <v>17</v>
      </c>
      <c r="S32" s="715">
        <f t="shared" si="12"/>
        <v>100</v>
      </c>
      <c r="T32" s="714" t="s">
        <v>17</v>
      </c>
      <c r="U32" s="715">
        <f t="shared" si="13"/>
        <v>100</v>
      </c>
      <c r="V32" s="714" t="s">
        <v>17</v>
      </c>
      <c r="W32" s="715">
        <f t="shared" si="14"/>
        <v>100</v>
      </c>
      <c r="X32" s="1509"/>
      <c r="Y32" s="3523" t="s">
        <v>2327</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523"/>
      <c r="Q33" s="1506">
        <f t="shared" si="11"/>
        <v>111</v>
      </c>
      <c r="R33" s="714" t="s">
        <v>17</v>
      </c>
      <c r="S33" s="715">
        <f t="shared" si="12"/>
        <v>100</v>
      </c>
      <c r="T33" s="714" t="s">
        <v>17</v>
      </c>
      <c r="U33" s="715">
        <f t="shared" si="13"/>
        <v>100</v>
      </c>
      <c r="V33" s="714" t="s">
        <v>17</v>
      </c>
      <c r="W33" s="715">
        <f t="shared" si="14"/>
        <v>100</v>
      </c>
      <c r="X33" s="1509"/>
      <c r="Y33" s="3523"/>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523"/>
      <c r="Q34" s="1506">
        <f t="shared" si="11"/>
        <v>111</v>
      </c>
      <c r="R34" s="714" t="s">
        <v>17</v>
      </c>
      <c r="S34" s="715">
        <f t="shared" si="12"/>
        <v>100</v>
      </c>
      <c r="T34" s="714" t="s">
        <v>17</v>
      </c>
      <c r="U34" s="715">
        <f t="shared" si="13"/>
        <v>100</v>
      </c>
      <c r="V34" s="714" t="s">
        <v>17</v>
      </c>
      <c r="W34" s="715">
        <f t="shared" si="14"/>
        <v>100</v>
      </c>
      <c r="X34" s="1509"/>
      <c r="Y34" s="3523"/>
      <c r="Z34" s="1510">
        <f t="shared" si="15"/>
        <v>111</v>
      </c>
      <c r="AA34" s="1507">
        <f t="shared" si="3"/>
        <v>1</v>
      </c>
      <c r="AB34" s="1507">
        <f t="shared" si="4"/>
        <v>1</v>
      </c>
      <c r="AC34" s="1507">
        <f t="shared" si="5"/>
        <v>1</v>
      </c>
    </row>
    <row r="35" spans="1:30" ht="15">
      <c r="A35" s="438" t="s">
        <v>2339</v>
      </c>
      <c r="B35" s="439"/>
      <c r="C35" s="1288" t="s">
        <v>1</v>
      </c>
      <c r="D35" s="1289"/>
      <c r="E35" s="1290"/>
      <c r="F35" s="1291"/>
      <c r="G35" s="1292"/>
      <c r="H35" s="1293"/>
      <c r="I35" s="1290"/>
      <c r="J35" s="1293"/>
      <c r="K35" s="723"/>
      <c r="L35" s="2923"/>
      <c r="M35" s="2924"/>
      <c r="N35" s="2915"/>
      <c r="O35" s="2924"/>
      <c r="P35" s="3516" t="str">
        <f>A35</f>
        <v>成交单价（元/平方米）</v>
      </c>
      <c r="Q35" s="3516"/>
      <c r="R35" s="3517">
        <f>E35</f>
        <v>0</v>
      </c>
      <c r="S35" s="3517"/>
      <c r="T35" s="3517">
        <f>G35</f>
        <v>0</v>
      </c>
      <c r="U35" s="3517"/>
      <c r="V35" s="3517">
        <f>I35</f>
        <v>0</v>
      </c>
      <c r="W35" s="3517"/>
      <c r="X35" s="699"/>
      <c r="Y35" s="721"/>
      <c r="Z35" s="699"/>
      <c r="AA35" s="699"/>
      <c r="AB35" s="699"/>
      <c r="AC35" s="699"/>
    </row>
    <row r="36" spans="1:30" ht="15.75" thickBot="1">
      <c r="A36" s="445" t="s">
        <v>2431</v>
      </c>
      <c r="B36" s="446"/>
      <c r="C36" s="1294" t="e">
        <f>R37</f>
        <v>#DIV/0!</v>
      </c>
      <c r="D36" s="2508" t="s">
        <v>2822</v>
      </c>
      <c r="E36" s="1295" t="e">
        <f>R36</f>
        <v>#DIV/0!</v>
      </c>
      <c r="F36" s="2509"/>
      <c r="G36" s="1294" t="e">
        <f>T36</f>
        <v>#DIV/0!</v>
      </c>
      <c r="H36" s="2509"/>
      <c r="I36" s="1295" t="e">
        <f>V36</f>
        <v>#DIV/0!</v>
      </c>
      <c r="J36" s="2509"/>
      <c r="K36" s="2511">
        <f>F36+H36+J36</f>
        <v>0</v>
      </c>
      <c r="L36" s="2923"/>
      <c r="M36" s="2924"/>
      <c r="N36" s="2915"/>
      <c r="O36" s="2924"/>
      <c r="P36" s="3516" t="str">
        <f>A36</f>
        <v>比较价值（元/平方米）</v>
      </c>
      <c r="Q36" s="3516"/>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699"/>
      <c r="Y36" s="699"/>
      <c r="Z36" s="699"/>
      <c r="AA36" s="699"/>
      <c r="AB36" s="699"/>
      <c r="AC36" s="699"/>
    </row>
    <row r="37" spans="1:30" ht="15.75" thickBot="1">
      <c r="A37" s="449" t="s">
        <v>2432</v>
      </c>
      <c r="B37" s="450"/>
      <c r="C37" s="1297" t="e">
        <f>R37</f>
        <v>#DIV/0!</v>
      </c>
      <c r="D37" s="1297"/>
      <c r="E37" s="1297"/>
      <c r="F37" s="1297"/>
      <c r="G37" s="1297"/>
      <c r="H37" s="1297"/>
      <c r="I37" s="1297"/>
      <c r="J37" s="1297"/>
      <c r="K37" s="724"/>
      <c r="L37" s="2923"/>
      <c r="M37" s="2924"/>
      <c r="N37" s="2924"/>
      <c r="O37" s="2924"/>
      <c r="P37" s="3513" t="str">
        <f>A37</f>
        <v>估价对象XX用房的比较价值（楼面单价，元/平方米）</v>
      </c>
      <c r="Q37" s="3514"/>
      <c r="R37" s="3543" t="e">
        <f>IF(F1="售价",ROUND(IF(D36="简单平均",AVERAGE(R36:W36),R36*F36+T36*H36+V36*J36),0),ROUND(IF(D36="简单平均",AVERAGE(R36:V36),R36*F36+T36*H36+V36*J36),1))</f>
        <v>#DIV/0!</v>
      </c>
      <c r="S37" s="3543"/>
      <c r="T37" s="3543"/>
      <c r="U37" s="3543"/>
      <c r="V37" s="3543"/>
      <c r="W37" s="3543"/>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2436</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2310</v>
      </c>
      <c r="B46" s="463"/>
      <c r="C46" s="1318" t="str">
        <f>YEAR(C7)&amp;"-"&amp;MONTH(C7)</f>
        <v>1900-1</v>
      </c>
      <c r="D46" s="1319" t="e">
        <f>EDATE(C46,-1)</f>
        <v>#NUM!</v>
      </c>
      <c r="E46" s="1319" t="e">
        <f t="shared" ref="E46:O46" si="16">EDATE(D46,-1)</f>
        <v>#NUM!</v>
      </c>
      <c r="F46" s="1319" t="e">
        <f t="shared" si="16"/>
        <v>#NUM!</v>
      </c>
      <c r="G46" s="1319" t="e">
        <f t="shared" si="16"/>
        <v>#NUM!</v>
      </c>
      <c r="H46" s="1319" t="e">
        <f t="shared" si="16"/>
        <v>#NUM!</v>
      </c>
      <c r="I46" s="1319" t="e">
        <f t="shared" si="16"/>
        <v>#NUM!</v>
      </c>
      <c r="J46" s="1319" t="e">
        <f t="shared" si="16"/>
        <v>#NUM!</v>
      </c>
      <c r="K46" s="1319" t="e">
        <f t="shared" si="16"/>
        <v>#NUM!</v>
      </c>
      <c r="L46" s="1319" t="e">
        <f t="shared" si="16"/>
        <v>#NUM!</v>
      </c>
      <c r="M46" s="1319" t="e">
        <f t="shared" si="16"/>
        <v>#NUM!</v>
      </c>
      <c r="N46" s="1319" t="e">
        <f t="shared" si="16"/>
        <v>#NUM!</v>
      </c>
      <c r="O46" s="1319" t="e">
        <f t="shared" si="16"/>
        <v>#NUM!</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2347</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2312</v>
      </c>
      <c r="B49" s="467"/>
      <c r="C49" s="479" t="s">
        <v>2414</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2350</v>
      </c>
      <c r="B51" s="485" t="s">
        <v>2316</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2319</v>
      </c>
      <c r="C53" s="496" t="s">
        <v>2351</v>
      </c>
      <c r="D53" s="496" t="s">
        <v>2352</v>
      </c>
      <c r="E53" s="496" t="s">
        <v>2353</v>
      </c>
      <c r="F53" s="496" t="s">
        <v>2354</v>
      </c>
      <c r="G53" s="496" t="s">
        <v>2355</v>
      </c>
      <c r="H53" s="496" t="s">
        <v>2356</v>
      </c>
      <c r="I53" s="496" t="s">
        <v>2357</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2321</v>
      </c>
      <c r="B61" s="485" t="s">
        <v>2364</v>
      </c>
      <c r="C61" s="530" t="s">
        <v>2359</v>
      </c>
      <c r="D61" s="530" t="s">
        <v>2360</v>
      </c>
      <c r="E61" s="530" t="s">
        <v>2361</v>
      </c>
      <c r="F61" s="530" t="s">
        <v>2362</v>
      </c>
      <c r="G61" s="530" t="s">
        <v>2363</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2502</v>
      </c>
      <c r="C63" s="535" t="s">
        <v>2359</v>
      </c>
      <c r="D63" s="535" t="s">
        <v>2360</v>
      </c>
      <c r="E63" s="535" t="s">
        <v>2361</v>
      </c>
      <c r="F63" s="535" t="s">
        <v>2362</v>
      </c>
      <c r="G63" s="535" t="s">
        <v>2363</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2451</v>
      </c>
      <c r="C65" s="616" t="s">
        <v>2437</v>
      </c>
      <c r="D65" s="616" t="s">
        <v>2438</v>
      </c>
      <c r="E65" s="616" t="s">
        <v>2439</v>
      </c>
      <c r="F65" s="616" t="s">
        <v>2440</v>
      </c>
      <c r="G65" s="616" t="s">
        <v>2441</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2371</v>
      </c>
      <c r="C67" s="535" t="s">
        <v>2359</v>
      </c>
      <c r="D67" s="535" t="s">
        <v>2360</v>
      </c>
      <c r="E67" s="535" t="s">
        <v>2361</v>
      </c>
      <c r="F67" s="535" t="s">
        <v>2362</v>
      </c>
      <c r="G67" s="535" t="s">
        <v>2363</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2491</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2325</v>
      </c>
      <c r="B77" s="485" t="s">
        <v>2378</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2495</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2503</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2505</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2506</v>
      </c>
      <c r="B1" s="355"/>
      <c r="C1" s="356" t="s">
        <v>2507</v>
      </c>
      <c r="D1" s="695"/>
      <c r="E1" s="695"/>
      <c r="F1" s="694" t="s">
        <v>2405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2089</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2091</v>
      </c>
      <c r="B3" s="566" t="e">
        <f>ROUND(IF(D3="",B2*10000/'数据-汇总表'!E3,B2*10000/D3),0)</f>
        <v>#DIV/0!</v>
      </c>
      <c r="C3" s="209" t="s">
        <v>2508</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2407</v>
      </c>
      <c r="B4" s="362"/>
      <c r="C4" s="3499" t="s">
        <v>2408</v>
      </c>
      <c r="D4" s="3500"/>
      <c r="E4" s="3501" t="s">
        <v>2409</v>
      </c>
      <c r="F4" s="3502"/>
      <c r="G4" s="3499" t="s">
        <v>2410</v>
      </c>
      <c r="H4" s="3500"/>
      <c r="I4" s="3499" t="s">
        <v>2411</v>
      </c>
      <c r="J4" s="3500"/>
      <c r="K4" s="567" t="s">
        <v>2412</v>
      </c>
      <c r="L4" s="2914"/>
      <c r="M4" s="2915"/>
      <c r="N4" s="2915"/>
      <c r="O4" s="2915"/>
      <c r="P4" s="3503" t="s">
        <v>2413</v>
      </c>
      <c r="Q4" s="3504"/>
      <c r="R4" s="3486" t="s">
        <v>2409</v>
      </c>
      <c r="S4" s="3487"/>
      <c r="T4" s="3486" t="s">
        <v>2410</v>
      </c>
      <c r="U4" s="3487"/>
      <c r="V4" s="3511" t="s">
        <v>2411</v>
      </c>
      <c r="W4" s="3511"/>
      <c r="X4" s="1509"/>
      <c r="Y4" s="3486" t="s">
        <v>2413</v>
      </c>
      <c r="Z4" s="3487"/>
      <c r="AA4" s="3481" t="s">
        <v>2409</v>
      </c>
      <c r="AB4" s="3482" t="s">
        <v>2410</v>
      </c>
      <c r="AC4" s="3481" t="s">
        <v>2411</v>
      </c>
    </row>
    <row r="5" spans="1:30" ht="15">
      <c r="A5" s="364"/>
      <c r="B5" s="365"/>
      <c r="C5" s="3492" t="s">
        <v>2304</v>
      </c>
      <c r="D5" s="3493"/>
      <c r="E5" s="3490" t="s">
        <v>2305</v>
      </c>
      <c r="F5" s="3491"/>
      <c r="G5" s="3492" t="s">
        <v>2306</v>
      </c>
      <c r="H5" s="3493"/>
      <c r="I5" s="3492" t="s">
        <v>2307</v>
      </c>
      <c r="J5" s="3493"/>
      <c r="K5" s="567"/>
      <c r="L5" s="2914"/>
      <c r="M5" s="2915"/>
      <c r="N5" s="2915"/>
      <c r="O5" s="2915"/>
      <c r="P5" s="3505"/>
      <c r="Q5" s="3506"/>
      <c r="R5" s="3488"/>
      <c r="S5" s="3489"/>
      <c r="T5" s="3488"/>
      <c r="U5" s="3489"/>
      <c r="V5" s="3511"/>
      <c r="W5" s="3511"/>
      <c r="X5" s="1509"/>
      <c r="Y5" s="3488"/>
      <c r="Z5" s="3489"/>
      <c r="AA5" s="3482"/>
      <c r="AB5" s="3482"/>
      <c r="AC5" s="3482"/>
    </row>
    <row r="6" spans="1:30" ht="15.75" thickBot="1">
      <c r="A6" s="366"/>
      <c r="B6" s="367"/>
      <c r="C6" s="3494" t="s">
        <v>2308</v>
      </c>
      <c r="D6" s="3495"/>
      <c r="E6" s="3496" t="s">
        <v>2308</v>
      </c>
      <c r="F6" s="3497"/>
      <c r="G6" s="3494" t="s">
        <v>2308</v>
      </c>
      <c r="H6" s="3495"/>
      <c r="I6" s="3494" t="s">
        <v>2308</v>
      </c>
      <c r="J6" s="3495"/>
      <c r="K6" s="567" t="s">
        <v>2309</v>
      </c>
      <c r="L6" s="2914"/>
      <c r="M6" s="2915"/>
      <c r="N6" s="2915"/>
      <c r="O6" s="2915"/>
      <c r="P6" s="3507"/>
      <c r="Q6" s="3508"/>
      <c r="R6" s="3488"/>
      <c r="S6" s="3489"/>
      <c r="T6" s="3509"/>
      <c r="U6" s="3510"/>
      <c r="V6" s="3511"/>
      <c r="W6" s="3511"/>
      <c r="X6" s="1509"/>
      <c r="Y6" s="3509"/>
      <c r="Z6" s="3510"/>
      <c r="AA6" s="3483"/>
      <c r="AB6" s="3483"/>
      <c r="AC6" s="3483"/>
    </row>
    <row r="7" spans="1:30" s="113" customFormat="1" ht="15.75" thickBot="1">
      <c r="A7" s="368" t="s">
        <v>2310</v>
      </c>
      <c r="B7" s="369"/>
      <c r="C7" s="370">
        <f>'数据-取费表'!B2</f>
        <v>0</v>
      </c>
      <c r="D7" s="371">
        <v>100</v>
      </c>
      <c r="E7" s="372"/>
      <c r="F7" s="373">
        <f>SUMIF(70:70,YEAR(E7)&amp;"-"&amp;INT((MONTH(E7)+2)/3),71:71)</f>
        <v>100</v>
      </c>
      <c r="G7" s="2130"/>
      <c r="H7" s="371">
        <f>SUMIF(70:70,YEAR(G7)&amp;"-"&amp;INT((MONTH(G7)+2)/3),71:71)</f>
        <v>100</v>
      </c>
      <c r="I7" s="2130"/>
      <c r="J7" s="371">
        <f>SUMIF(70:70,YEAR(I7)&amp;"-"&amp;INT((MONTH(I7)+2)/3),71:71)</f>
        <v>100</v>
      </c>
      <c r="K7" s="568"/>
      <c r="L7" s="2916"/>
      <c r="M7" s="2917"/>
      <c r="N7" s="2917"/>
      <c r="O7" s="2917"/>
      <c r="P7" s="3484" t="s">
        <v>2311</v>
      </c>
      <c r="Q7" s="3512"/>
      <c r="R7" s="710" t="s">
        <v>17</v>
      </c>
      <c r="S7" s="711">
        <f t="shared" ref="S7:S15" si="0">F7</f>
        <v>100</v>
      </c>
      <c r="T7" s="710" t="s">
        <v>17</v>
      </c>
      <c r="U7" s="711">
        <f t="shared" ref="U7:U15" si="1">H7</f>
        <v>100</v>
      </c>
      <c r="V7" s="710" t="s">
        <v>17</v>
      </c>
      <c r="W7" s="711">
        <f t="shared" ref="W7:W15" si="2">J7</f>
        <v>100</v>
      </c>
      <c r="X7" s="712"/>
      <c r="Y7" s="3484" t="s">
        <v>2311</v>
      </c>
      <c r="Z7" s="3485"/>
      <c r="AA7" s="713">
        <f>D7/F7</f>
        <v>1</v>
      </c>
      <c r="AB7" s="713">
        <f>D7/H7</f>
        <v>1</v>
      </c>
      <c r="AC7" s="713">
        <f>D7/J7</f>
        <v>1</v>
      </c>
    </row>
    <row r="8" spans="1:30" s="113" customFormat="1" ht="15.75" thickBot="1">
      <c r="A8" s="368" t="s">
        <v>2312</v>
      </c>
      <c r="B8" s="369"/>
      <c r="C8" s="374" t="s">
        <v>2313</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84" t="s">
        <v>2314</v>
      </c>
      <c r="Q8" s="3485"/>
      <c r="R8" s="710" t="s">
        <v>17</v>
      </c>
      <c r="S8" s="711">
        <f t="shared" si="0"/>
        <v>0</v>
      </c>
      <c r="T8" s="710" t="s">
        <v>17</v>
      </c>
      <c r="U8" s="711">
        <f t="shared" si="1"/>
        <v>0</v>
      </c>
      <c r="V8" s="710" t="s">
        <v>17</v>
      </c>
      <c r="W8" s="711">
        <f t="shared" si="2"/>
        <v>0</v>
      </c>
      <c r="X8" s="712"/>
      <c r="Y8" s="3484" t="s">
        <v>2314</v>
      </c>
      <c r="Z8" s="3485"/>
      <c r="AA8" s="713" t="e">
        <f t="shared" ref="AA8:AA45" si="3">D8/F8</f>
        <v>#DIV/0!</v>
      </c>
      <c r="AB8" s="713" t="e">
        <f t="shared" ref="AB8:AB45" si="4">D8/H8</f>
        <v>#DIV/0!</v>
      </c>
      <c r="AC8" s="713" t="e">
        <f t="shared" ref="AC8:AC45" si="5">D8/J8</f>
        <v>#DIV/0!</v>
      </c>
    </row>
    <row r="9" spans="1:30" s="113" customFormat="1">
      <c r="A9" s="375" t="s">
        <v>2315</v>
      </c>
      <c r="B9" s="67" t="s">
        <v>2316</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516" t="s">
        <v>2317</v>
      </c>
      <c r="Q9" s="1497" t="str">
        <f t="shared" ref="Q9:Q15" si="6">B9</f>
        <v>用途</v>
      </c>
      <c r="R9" s="710" t="s">
        <v>17</v>
      </c>
      <c r="S9" s="711">
        <f t="shared" si="0"/>
        <v>100</v>
      </c>
      <c r="T9" s="710" t="s">
        <v>17</v>
      </c>
      <c r="U9" s="711">
        <f t="shared" si="1"/>
        <v>100</v>
      </c>
      <c r="V9" s="710" t="s">
        <v>17</v>
      </c>
      <c r="W9" s="711">
        <f t="shared" si="2"/>
        <v>100</v>
      </c>
      <c r="X9" s="712"/>
      <c r="Y9" s="3428" t="s">
        <v>2318</v>
      </c>
      <c r="Z9" s="55" t="str">
        <f t="shared" ref="Z9:Z15" si="7">Q9</f>
        <v>用途</v>
      </c>
      <c r="AA9" s="713">
        <f t="shared" si="3"/>
        <v>1</v>
      </c>
      <c r="AB9" s="713">
        <f t="shared" si="4"/>
        <v>1</v>
      </c>
      <c r="AC9" s="713">
        <f t="shared" si="5"/>
        <v>1</v>
      </c>
    </row>
    <row r="10" spans="1:30" s="386" customFormat="1" ht="27">
      <c r="A10" s="380"/>
      <c r="B10" s="381" t="s">
        <v>2319</v>
      </c>
      <c r="C10" s="391"/>
      <c r="D10" s="132">
        <v>100</v>
      </c>
      <c r="E10" s="424"/>
      <c r="F10" s="132" t="e">
        <f>ROUND(100/'数据-取费表'!G16,0)</f>
        <v>#DIV/0!</v>
      </c>
      <c r="G10" s="422"/>
      <c r="H10" s="132" t="e">
        <f>ROUND(100/'数据-取费表'!G16,0)</f>
        <v>#DIV/0!</v>
      </c>
      <c r="I10" s="422"/>
      <c r="J10" s="132" t="e">
        <f>ROUND(100/'数据-取费表'!G16,0)</f>
        <v>#DIV/0!</v>
      </c>
      <c r="K10" s="628"/>
      <c r="L10" s="2918"/>
      <c r="M10" s="2919"/>
      <c r="N10" s="2919"/>
      <c r="O10" s="2972"/>
      <c r="P10" s="3516"/>
      <c r="Q10" s="1497" t="str">
        <f t="shared" si="6"/>
        <v>土地使用年限（年）</v>
      </c>
      <c r="R10" s="710" t="s">
        <v>17</v>
      </c>
      <c r="S10" s="711" t="e">
        <f t="shared" si="0"/>
        <v>#DIV/0!</v>
      </c>
      <c r="T10" s="710" t="s">
        <v>17</v>
      </c>
      <c r="U10" s="711" t="e">
        <f t="shared" si="1"/>
        <v>#DIV/0!</v>
      </c>
      <c r="V10" s="710" t="s">
        <v>17</v>
      </c>
      <c r="W10" s="711" t="e">
        <f t="shared" si="2"/>
        <v>#DIV/0!</v>
      </c>
      <c r="X10" s="712"/>
      <c r="Y10" s="3428"/>
      <c r="Z10" s="55" t="str">
        <f t="shared" si="7"/>
        <v>土地使用年限（年）</v>
      </c>
      <c r="AA10" s="713" t="e">
        <f t="shared" si="3"/>
        <v>#DIV/0!</v>
      </c>
      <c r="AB10" s="713" t="e">
        <f t="shared" si="4"/>
        <v>#DIV/0!</v>
      </c>
      <c r="AC10" s="713" t="e">
        <f t="shared" si="5"/>
        <v>#DIV/0!</v>
      </c>
    </row>
    <row r="11" spans="1:30" ht="15">
      <c r="A11" s="387"/>
      <c r="B11" s="381" t="s">
        <v>2320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516"/>
      <c r="Q11" s="1497"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713" t="e">
        <f t="shared" si="5"/>
        <v>#N/A</v>
      </c>
    </row>
    <row r="12" spans="1:30" s="113" customFormat="1" ht="15">
      <c r="A12" s="390"/>
      <c r="B12" s="2049" t="s">
        <v>2509</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516"/>
      <c r="Q12" s="1497" t="str">
        <f t="shared" si="6"/>
        <v>配建</v>
      </c>
      <c r="R12" s="710" t="s">
        <v>17</v>
      </c>
      <c r="S12" s="711">
        <f t="shared" si="0"/>
        <v>100</v>
      </c>
      <c r="T12" s="710" t="s">
        <v>17</v>
      </c>
      <c r="U12" s="711">
        <f t="shared" si="1"/>
        <v>100</v>
      </c>
      <c r="V12" s="710" t="s">
        <v>17</v>
      </c>
      <c r="W12" s="711">
        <f t="shared" si="2"/>
        <v>100</v>
      </c>
      <c r="X12" s="712"/>
      <c r="Y12" s="3428"/>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516"/>
      <c r="Q13" s="1497">
        <f t="shared" si="6"/>
        <v>111</v>
      </c>
      <c r="R13" s="710" t="s">
        <v>17</v>
      </c>
      <c r="S13" s="711">
        <f t="shared" si="0"/>
        <v>100</v>
      </c>
      <c r="T13" s="710" t="s">
        <v>17</v>
      </c>
      <c r="U13" s="711">
        <f t="shared" si="1"/>
        <v>100</v>
      </c>
      <c r="V13" s="710" t="s">
        <v>17</v>
      </c>
      <c r="W13" s="711">
        <f t="shared" si="2"/>
        <v>100</v>
      </c>
      <c r="X13" s="712"/>
      <c r="Y13" s="3428"/>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516"/>
      <c r="Q14" s="1497">
        <f t="shared" si="6"/>
        <v>111</v>
      </c>
      <c r="R14" s="710" t="s">
        <v>17</v>
      </c>
      <c r="S14" s="711">
        <f t="shared" si="0"/>
        <v>100</v>
      </c>
      <c r="T14" s="710" t="s">
        <v>17</v>
      </c>
      <c r="U14" s="711">
        <f t="shared" si="1"/>
        <v>100</v>
      </c>
      <c r="V14" s="710" t="s">
        <v>17</v>
      </c>
      <c r="W14" s="711">
        <f t="shared" si="2"/>
        <v>100</v>
      </c>
      <c r="X14" s="712"/>
      <c r="Y14" s="3428"/>
      <c r="Z14" s="55">
        <f t="shared" si="7"/>
        <v>111</v>
      </c>
      <c r="AA14" s="713">
        <f>D14/F14</f>
        <v>1</v>
      </c>
      <c r="AB14" s="713">
        <f>D14/H14</f>
        <v>1</v>
      </c>
      <c r="AC14" s="713">
        <f>D14/J14</f>
        <v>1</v>
      </c>
    </row>
    <row r="15" spans="1:30" ht="99.75">
      <c r="A15" s="399" t="s">
        <v>2321</v>
      </c>
      <c r="B15" s="65" t="s">
        <v>1884</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518" t="s">
        <v>2322</v>
      </c>
      <c r="Q15" s="1506" t="str">
        <f t="shared" si="6"/>
        <v>居住社区成熟度</v>
      </c>
      <c r="R15" s="714" t="s">
        <v>17</v>
      </c>
      <c r="S15" s="715">
        <f t="shared" si="0"/>
        <v>100</v>
      </c>
      <c r="T15" s="714" t="s">
        <v>17</v>
      </c>
      <c r="U15" s="715">
        <f t="shared" si="1"/>
        <v>100</v>
      </c>
      <c r="V15" s="714" t="s">
        <v>17</v>
      </c>
      <c r="W15" s="715">
        <f t="shared" si="2"/>
        <v>100</v>
      </c>
      <c r="X15" s="1509"/>
      <c r="Y15" s="3518" t="s">
        <v>2322</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519"/>
      <c r="Q16" s="1506"/>
      <c r="R16" s="714"/>
      <c r="S16" s="715"/>
      <c r="T16" s="714"/>
      <c r="U16" s="715"/>
      <c r="V16" s="714"/>
      <c r="W16" s="715"/>
      <c r="X16" s="1509"/>
      <c r="Y16" s="3519"/>
      <c r="Z16" s="1510"/>
      <c r="AA16" s="1507">
        <v>1</v>
      </c>
      <c r="AB16" s="1507">
        <v>1</v>
      </c>
      <c r="AC16" s="1507">
        <v>1</v>
      </c>
    </row>
    <row r="17" spans="1:29" ht="71.25">
      <c r="A17" s="387"/>
      <c r="B17" s="410" t="s">
        <v>2415</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519"/>
      <c r="Q17" s="1506" t="str">
        <f>B17</f>
        <v>商业繁华度</v>
      </c>
      <c r="R17" s="714" t="s">
        <v>17</v>
      </c>
      <c r="S17" s="715">
        <f>F17</f>
        <v>100</v>
      </c>
      <c r="T17" s="714" t="s">
        <v>17</v>
      </c>
      <c r="U17" s="715">
        <f>H17</f>
        <v>100</v>
      </c>
      <c r="V17" s="714" t="s">
        <v>17</v>
      </c>
      <c r="W17" s="715">
        <f>J17</f>
        <v>100</v>
      </c>
      <c r="X17" s="1509"/>
      <c r="Y17" s="3519"/>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519"/>
      <c r="Q18" s="1506"/>
      <c r="R18" s="714"/>
      <c r="S18" s="715"/>
      <c r="T18" s="714"/>
      <c r="U18" s="715"/>
      <c r="V18" s="714"/>
      <c r="W18" s="715"/>
      <c r="X18" s="1509"/>
      <c r="Y18" s="3519"/>
      <c r="Z18" s="1510"/>
      <c r="AA18" s="1507">
        <v>1</v>
      </c>
      <c r="AB18" s="1507">
        <v>1</v>
      </c>
      <c r="AC18" s="1507">
        <v>1</v>
      </c>
    </row>
    <row r="19" spans="1:29" ht="71.25">
      <c r="A19" s="387"/>
      <c r="B19" s="410" t="s">
        <v>2449</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519"/>
      <c r="Q19" s="1506" t="str">
        <f>B19</f>
        <v>办公集聚程度</v>
      </c>
      <c r="R19" s="714" t="s">
        <v>17</v>
      </c>
      <c r="S19" s="715">
        <f>F19</f>
        <v>100</v>
      </c>
      <c r="T19" s="714" t="s">
        <v>17</v>
      </c>
      <c r="U19" s="715">
        <f>H19</f>
        <v>100</v>
      </c>
      <c r="V19" s="714" t="s">
        <v>17</v>
      </c>
      <c r="W19" s="715">
        <f>J19</f>
        <v>100</v>
      </c>
      <c r="X19" s="1509"/>
      <c r="Y19" s="3519"/>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519"/>
      <c r="Q20" s="1506"/>
      <c r="R20" s="714"/>
      <c r="S20" s="715"/>
      <c r="T20" s="714"/>
      <c r="U20" s="715"/>
      <c r="V20" s="714"/>
      <c r="W20" s="715"/>
      <c r="X20" s="1509"/>
      <c r="Y20" s="3519"/>
      <c r="Z20" s="1510"/>
      <c r="AA20" s="1507">
        <v>1</v>
      </c>
      <c r="AB20" s="1507">
        <v>1</v>
      </c>
      <c r="AC20" s="1507">
        <v>1</v>
      </c>
    </row>
    <row r="21" spans="1:29" ht="85.5">
      <c r="A21" s="387"/>
      <c r="B21" s="410" t="s">
        <v>2471</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519"/>
      <c r="Q21" s="1506" t="str">
        <f>B21</f>
        <v>交通便捷度</v>
      </c>
      <c r="R21" s="714" t="s">
        <v>17</v>
      </c>
      <c r="S21" s="715">
        <f>F21</f>
        <v>100</v>
      </c>
      <c r="T21" s="714" t="s">
        <v>17</v>
      </c>
      <c r="U21" s="715">
        <f>H21</f>
        <v>100</v>
      </c>
      <c r="V21" s="714" t="s">
        <v>17</v>
      </c>
      <c r="W21" s="715">
        <f>J21</f>
        <v>100</v>
      </c>
      <c r="X21" s="1509"/>
      <c r="Y21" s="3519"/>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519"/>
      <c r="Q22" s="1506"/>
      <c r="R22" s="714"/>
      <c r="S22" s="715"/>
      <c r="T22" s="714"/>
      <c r="U22" s="715"/>
      <c r="V22" s="714"/>
      <c r="W22" s="715"/>
      <c r="X22" s="1509"/>
      <c r="Y22" s="3519"/>
      <c r="Z22" s="1510"/>
      <c r="AA22" s="1507">
        <v>1</v>
      </c>
      <c r="AB22" s="1507">
        <v>1</v>
      </c>
      <c r="AC22" s="1507">
        <v>1</v>
      </c>
    </row>
    <row r="23" spans="1:29" ht="15">
      <c r="A23" s="364"/>
      <c r="B23" s="410" t="s">
        <v>2510</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519"/>
      <c r="Q23" s="1506" t="str">
        <f t="shared" ref="Q23:Q37" si="8">B23</f>
        <v>区域土地利用方向</v>
      </c>
      <c r="R23" s="714" t="s">
        <v>17</v>
      </c>
      <c r="S23" s="715">
        <f>F23</f>
        <v>100</v>
      </c>
      <c r="T23" s="714" t="s">
        <v>17</v>
      </c>
      <c r="U23" s="715">
        <f>H23</f>
        <v>100</v>
      </c>
      <c r="V23" s="714" t="s">
        <v>17</v>
      </c>
      <c r="W23" s="715">
        <f>J23</f>
        <v>100</v>
      </c>
      <c r="X23" s="1509"/>
      <c r="Y23" s="3519"/>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519"/>
      <c r="Q24" s="1506"/>
      <c r="R24" s="714"/>
      <c r="S24" s="715"/>
      <c r="T24" s="714"/>
      <c r="U24" s="715"/>
      <c r="V24" s="714"/>
      <c r="W24" s="715"/>
      <c r="X24" s="1509"/>
      <c r="Y24" s="3519"/>
      <c r="Z24" s="1510"/>
      <c r="AA24" s="1507"/>
      <c r="AB24" s="1507"/>
      <c r="AC24" s="1507"/>
    </row>
    <row r="25" spans="1:29" ht="57">
      <c r="A25" s="364"/>
      <c r="B25" s="1265" t="s">
        <v>2511</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519"/>
      <c r="Q25" s="1506" t="str">
        <f t="shared" si="8"/>
        <v>自然及人文环境状况</v>
      </c>
      <c r="R25" s="714" t="s">
        <v>17</v>
      </c>
      <c r="S25" s="715">
        <f>F25</f>
        <v>100</v>
      </c>
      <c r="T25" s="714" t="s">
        <v>17</v>
      </c>
      <c r="U25" s="715">
        <f>H25</f>
        <v>100</v>
      </c>
      <c r="V25" s="714" t="s">
        <v>17</v>
      </c>
      <c r="W25" s="715">
        <f>J25</f>
        <v>100</v>
      </c>
      <c r="X25" s="1509"/>
      <c r="Y25" s="3519"/>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519"/>
      <c r="Q26" s="1506"/>
      <c r="R26" s="714"/>
      <c r="S26" s="715"/>
      <c r="T26" s="714"/>
      <c r="U26" s="715"/>
      <c r="V26" s="714"/>
      <c r="W26" s="715"/>
      <c r="X26" s="1509"/>
      <c r="Y26" s="3519"/>
      <c r="Z26" s="1510"/>
      <c r="AA26" s="1507">
        <v>1</v>
      </c>
      <c r="AB26" s="1507">
        <v>1</v>
      </c>
      <c r="AC26" s="1507">
        <v>1</v>
      </c>
    </row>
    <row r="27" spans="1:29" s="113" customFormat="1" ht="42.75">
      <c r="A27" s="605"/>
      <c r="B27" s="1265" t="s">
        <v>2416</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519"/>
      <c r="Q27" s="1497" t="str">
        <f t="shared" si="8"/>
        <v>公共配套设施</v>
      </c>
      <c r="R27" s="710" t="s">
        <v>17</v>
      </c>
      <c r="S27" s="711">
        <f>F27</f>
        <v>100</v>
      </c>
      <c r="T27" s="710" t="s">
        <v>17</v>
      </c>
      <c r="U27" s="711">
        <f>H27</f>
        <v>100</v>
      </c>
      <c r="V27" s="710" t="s">
        <v>17</v>
      </c>
      <c r="W27" s="711">
        <f>J27</f>
        <v>100</v>
      </c>
      <c r="X27" s="712"/>
      <c r="Y27" s="3519"/>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519"/>
      <c r="Q28" s="1497"/>
      <c r="R28" s="710"/>
      <c r="S28" s="711"/>
      <c r="T28" s="710"/>
      <c r="U28" s="711"/>
      <c r="V28" s="710"/>
      <c r="W28" s="711"/>
      <c r="X28" s="712"/>
      <c r="Y28" s="3519"/>
      <c r="Z28" s="55"/>
      <c r="AA28" s="1507">
        <v>1</v>
      </c>
      <c r="AB28" s="1507">
        <v>1</v>
      </c>
      <c r="AC28" s="1507">
        <v>1</v>
      </c>
    </row>
    <row r="29" spans="1:29" s="113" customFormat="1" ht="28.5">
      <c r="A29" s="605"/>
      <c r="B29" s="1265" t="s">
        <v>2417</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519"/>
      <c r="Q29" s="1497" t="str">
        <f t="shared" ref="Q29" si="9">B29</f>
        <v>基础设施水平</v>
      </c>
      <c r="R29" s="710" t="s">
        <v>17</v>
      </c>
      <c r="S29" s="711">
        <f>F29</f>
        <v>100</v>
      </c>
      <c r="T29" s="710" t="s">
        <v>17</v>
      </c>
      <c r="U29" s="711">
        <f>H29</f>
        <v>100</v>
      </c>
      <c r="V29" s="710" t="s">
        <v>17</v>
      </c>
      <c r="W29" s="711">
        <f>J29</f>
        <v>100</v>
      </c>
      <c r="X29" s="712"/>
      <c r="Y29" s="3519"/>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519"/>
      <c r="Q30" s="1497"/>
      <c r="R30" s="710"/>
      <c r="S30" s="711"/>
      <c r="T30" s="710"/>
      <c r="U30" s="711"/>
      <c r="V30" s="710"/>
      <c r="W30" s="711"/>
      <c r="X30" s="712"/>
      <c r="Y30" s="3519"/>
      <c r="Z30" s="55"/>
      <c r="AA30" s="1507">
        <v>1</v>
      </c>
      <c r="AB30" s="1507">
        <v>1</v>
      </c>
      <c r="AC30" s="1507">
        <v>1</v>
      </c>
    </row>
    <row r="31" spans="1:29" ht="15">
      <c r="A31" s="387"/>
      <c r="B31" s="415" t="s">
        <v>2418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519"/>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519"/>
      <c r="Z31" s="1510" t="str">
        <f t="shared" ref="Z31:Z45" si="13">Q31</f>
        <v>临街状况</v>
      </c>
      <c r="AA31" s="1507">
        <f t="shared" si="3"/>
        <v>1</v>
      </c>
      <c r="AB31" s="1507">
        <f t="shared" si="4"/>
        <v>1</v>
      </c>
      <c r="AC31" s="1507">
        <f t="shared" si="5"/>
        <v>1</v>
      </c>
    </row>
    <row r="32" spans="1:29" ht="27">
      <c r="A32" s="387"/>
      <c r="B32" s="1265" t="s">
        <v>2453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519"/>
      <c r="Q32" s="1506" t="str">
        <f t="shared" si="8"/>
        <v>毗邻道路的类型与等级</v>
      </c>
      <c r="R32" s="714" t="s">
        <v>17</v>
      </c>
      <c r="S32" s="715">
        <f t="shared" si="10"/>
        <v>100</v>
      </c>
      <c r="T32" s="714" t="s">
        <v>17</v>
      </c>
      <c r="U32" s="715">
        <f t="shared" si="11"/>
        <v>100</v>
      </c>
      <c r="V32" s="714" t="s">
        <v>17</v>
      </c>
      <c r="W32" s="715">
        <f t="shared" si="12"/>
        <v>100</v>
      </c>
      <c r="X32" s="1509"/>
      <c r="Y32" s="3519"/>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519"/>
      <c r="Q33" s="1506"/>
      <c r="R33" s="714"/>
      <c r="S33" s="715"/>
      <c r="T33" s="714"/>
      <c r="U33" s="715"/>
      <c r="V33" s="714"/>
      <c r="W33" s="715"/>
      <c r="X33" s="1509"/>
      <c r="Y33" s="3519"/>
      <c r="Z33" s="1510"/>
      <c r="AA33" s="1507">
        <v>1</v>
      </c>
      <c r="AB33" s="1507">
        <v>1</v>
      </c>
      <c r="AC33" s="1507">
        <v>1</v>
      </c>
    </row>
    <row r="34" spans="1:29" ht="15">
      <c r="A34" s="387"/>
      <c r="B34" s="381" t="s">
        <v>2512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519"/>
      <c r="Q34" s="1506" t="str">
        <f t="shared" si="8"/>
        <v>土地级别</v>
      </c>
      <c r="R34" s="714" t="s">
        <v>17</v>
      </c>
      <c r="S34" s="715">
        <f t="shared" si="10"/>
        <v>100</v>
      </c>
      <c r="T34" s="714" t="s">
        <v>17</v>
      </c>
      <c r="U34" s="715">
        <f t="shared" si="11"/>
        <v>100</v>
      </c>
      <c r="V34" s="714" t="s">
        <v>17</v>
      </c>
      <c r="W34" s="715">
        <f t="shared" si="12"/>
        <v>100</v>
      </c>
      <c r="X34" s="1509"/>
      <c r="Y34" s="3519"/>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519"/>
      <c r="Q35" s="1506">
        <f t="shared" si="8"/>
        <v>111</v>
      </c>
      <c r="R35" s="714" t="s">
        <v>17</v>
      </c>
      <c r="S35" s="715">
        <f t="shared" si="10"/>
        <v>100</v>
      </c>
      <c r="T35" s="714" t="s">
        <v>17</v>
      </c>
      <c r="U35" s="715">
        <f t="shared" si="11"/>
        <v>100</v>
      </c>
      <c r="V35" s="714" t="s">
        <v>17</v>
      </c>
      <c r="W35" s="715">
        <f t="shared" si="12"/>
        <v>100</v>
      </c>
      <c r="X35" s="1509"/>
      <c r="Y35" s="3519"/>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42" t="s">
        <v>2327</v>
      </c>
      <c r="Q36" s="1506">
        <f t="shared" si="8"/>
        <v>111</v>
      </c>
      <c r="R36" s="714" t="s">
        <v>17</v>
      </c>
      <c r="S36" s="715">
        <f t="shared" si="10"/>
        <v>100</v>
      </c>
      <c r="T36" s="714" t="s">
        <v>17</v>
      </c>
      <c r="U36" s="715">
        <f t="shared" si="11"/>
        <v>100</v>
      </c>
      <c r="V36" s="714" t="s">
        <v>17</v>
      </c>
      <c r="W36" s="715">
        <f t="shared" si="12"/>
        <v>100</v>
      </c>
      <c r="X36" s="1509"/>
      <c r="Y36" s="3523" t="s">
        <v>2327</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523"/>
      <c r="Q37" s="1506">
        <f t="shared" si="8"/>
        <v>111</v>
      </c>
      <c r="R37" s="717" t="s">
        <v>17</v>
      </c>
      <c r="S37" s="718">
        <f t="shared" si="10"/>
        <v>100</v>
      </c>
      <c r="T37" s="717" t="s">
        <v>17</v>
      </c>
      <c r="U37" s="718">
        <f t="shared" si="11"/>
        <v>100</v>
      </c>
      <c r="V37" s="717" t="s">
        <v>17</v>
      </c>
      <c r="W37" s="718">
        <f t="shared" si="12"/>
        <v>100</v>
      </c>
      <c r="X37" s="719"/>
      <c r="Y37" s="3523"/>
      <c r="Z37" s="720">
        <f t="shared" si="13"/>
        <v>111</v>
      </c>
      <c r="AA37" s="1507">
        <f t="shared" si="3"/>
        <v>1</v>
      </c>
      <c r="AB37" s="1507">
        <f t="shared" si="4"/>
        <v>1</v>
      </c>
      <c r="AC37" s="1507">
        <f t="shared" si="5"/>
        <v>1</v>
      </c>
    </row>
    <row r="38" spans="1:29" ht="15">
      <c r="A38" s="431" t="s">
        <v>2325</v>
      </c>
      <c r="B38" s="415" t="s">
        <v>2513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523"/>
      <c r="Q38" s="1506" t="str">
        <f>B38</f>
        <v>宗地面积</v>
      </c>
      <c r="R38" s="714" t="s">
        <v>17</v>
      </c>
      <c r="S38" s="715" t="e">
        <f t="shared" si="10"/>
        <v>#N/A</v>
      </c>
      <c r="T38" s="714" t="s">
        <v>17</v>
      </c>
      <c r="U38" s="715" t="e">
        <f t="shared" si="11"/>
        <v>#N/A</v>
      </c>
      <c r="V38" s="714" t="s">
        <v>17</v>
      </c>
      <c r="W38" s="715" t="e">
        <f t="shared" si="12"/>
        <v>#N/A</v>
      </c>
      <c r="X38" s="1509"/>
      <c r="Y38" s="3523"/>
      <c r="Z38" s="1510" t="str">
        <f t="shared" si="13"/>
        <v>宗地面积</v>
      </c>
      <c r="AA38" s="1507" t="e">
        <f t="shared" si="3"/>
        <v>#N/A</v>
      </c>
      <c r="AB38" s="1507" t="e">
        <f t="shared" si="4"/>
        <v>#N/A</v>
      </c>
      <c r="AC38" s="1507" t="e">
        <f t="shared" si="5"/>
        <v>#N/A</v>
      </c>
    </row>
    <row r="39" spans="1:29" ht="15">
      <c r="A39" s="431"/>
      <c r="B39" s="381" t="s">
        <v>2514</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523"/>
      <c r="Q39" s="1506" t="str">
        <f t="shared" ref="Q39:Q45" si="14">B39</f>
        <v>宗地形状</v>
      </c>
      <c r="R39" s="714" t="s">
        <v>17</v>
      </c>
      <c r="S39" s="715">
        <f t="shared" si="10"/>
        <v>100</v>
      </c>
      <c r="T39" s="714" t="s">
        <v>17</v>
      </c>
      <c r="U39" s="715">
        <f t="shared" si="11"/>
        <v>100</v>
      </c>
      <c r="V39" s="714" t="s">
        <v>17</v>
      </c>
      <c r="W39" s="715">
        <f t="shared" si="12"/>
        <v>100</v>
      </c>
      <c r="X39" s="1509"/>
      <c r="Y39" s="3523"/>
      <c r="Z39" s="1510" t="str">
        <f t="shared" si="13"/>
        <v>宗地形状</v>
      </c>
      <c r="AA39" s="1507">
        <f t="shared" si="3"/>
        <v>1</v>
      </c>
      <c r="AB39" s="1507">
        <f t="shared" si="4"/>
        <v>1</v>
      </c>
      <c r="AC39" s="1507">
        <f t="shared" si="5"/>
        <v>1</v>
      </c>
    </row>
    <row r="40" spans="1:29" ht="15">
      <c r="A40" s="431"/>
      <c r="B40" s="381" t="s">
        <v>2515</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523"/>
      <c r="Q40" s="1506" t="str">
        <f t="shared" si="14"/>
        <v>临街宽度及深度</v>
      </c>
      <c r="R40" s="714" t="s">
        <v>17</v>
      </c>
      <c r="S40" s="715">
        <f t="shared" si="10"/>
        <v>100</v>
      </c>
      <c r="T40" s="714" t="s">
        <v>17</v>
      </c>
      <c r="U40" s="715">
        <f t="shared" si="11"/>
        <v>100</v>
      </c>
      <c r="V40" s="714" t="s">
        <v>17</v>
      </c>
      <c r="W40" s="715">
        <f t="shared" si="12"/>
        <v>100</v>
      </c>
      <c r="X40" s="1509"/>
      <c r="Y40" s="3523"/>
      <c r="Z40" s="1510" t="str">
        <f t="shared" si="13"/>
        <v>临街宽度及深度</v>
      </c>
      <c r="AA40" s="1507">
        <f t="shared" si="3"/>
        <v>1</v>
      </c>
      <c r="AB40" s="1507">
        <f t="shared" si="4"/>
        <v>1</v>
      </c>
      <c r="AC40" s="1507">
        <f t="shared" si="5"/>
        <v>1</v>
      </c>
    </row>
    <row r="41" spans="1:29" s="113" customFormat="1" ht="15">
      <c r="A41" s="432"/>
      <c r="B41" s="381" t="s">
        <v>2516</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523"/>
      <c r="Q41" s="1506" t="str">
        <f t="shared" si="14"/>
        <v>宗地开发程度</v>
      </c>
      <c r="R41" s="710" t="s">
        <v>17</v>
      </c>
      <c r="S41" s="711">
        <f t="shared" si="10"/>
        <v>100</v>
      </c>
      <c r="T41" s="710" t="s">
        <v>17</v>
      </c>
      <c r="U41" s="711">
        <f t="shared" si="11"/>
        <v>100</v>
      </c>
      <c r="V41" s="710" t="s">
        <v>17</v>
      </c>
      <c r="W41" s="711">
        <f t="shared" si="12"/>
        <v>100</v>
      </c>
      <c r="X41" s="712"/>
      <c r="Y41" s="3523"/>
      <c r="Z41" s="55" t="str">
        <f t="shared" si="13"/>
        <v>宗地开发程度</v>
      </c>
      <c r="AA41" s="713">
        <f t="shared" si="3"/>
        <v>1</v>
      </c>
      <c r="AB41" s="713">
        <f t="shared" si="4"/>
        <v>1</v>
      </c>
      <c r="AC41" s="713">
        <f t="shared" si="5"/>
        <v>1</v>
      </c>
    </row>
    <row r="42" spans="1:29" ht="15">
      <c r="A42" s="431"/>
      <c r="B42" s="381" t="s">
        <v>2517</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523" t="s">
        <v>2327</v>
      </c>
      <c r="Q42" s="1506" t="str">
        <f t="shared" si="14"/>
        <v>工程地质条件</v>
      </c>
      <c r="R42" s="714" t="s">
        <v>17</v>
      </c>
      <c r="S42" s="715">
        <f t="shared" si="10"/>
        <v>100</v>
      </c>
      <c r="T42" s="714" t="s">
        <v>17</v>
      </c>
      <c r="U42" s="715">
        <f t="shared" si="11"/>
        <v>100</v>
      </c>
      <c r="V42" s="714" t="s">
        <v>17</v>
      </c>
      <c r="W42" s="715">
        <f t="shared" si="12"/>
        <v>100</v>
      </c>
      <c r="X42" s="1509"/>
      <c r="Y42" s="3523" t="s">
        <v>2327</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523"/>
      <c r="Q43" s="1506">
        <f t="shared" si="14"/>
        <v>111</v>
      </c>
      <c r="R43" s="714" t="s">
        <v>17</v>
      </c>
      <c r="S43" s="715">
        <f t="shared" si="10"/>
        <v>100</v>
      </c>
      <c r="T43" s="714" t="s">
        <v>17</v>
      </c>
      <c r="U43" s="715">
        <f t="shared" si="11"/>
        <v>100</v>
      </c>
      <c r="V43" s="714" t="s">
        <v>17</v>
      </c>
      <c r="W43" s="715">
        <f t="shared" si="12"/>
        <v>100</v>
      </c>
      <c r="X43" s="1509"/>
      <c r="Y43" s="3523"/>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523"/>
      <c r="Q44" s="1506">
        <f t="shared" si="14"/>
        <v>111</v>
      </c>
      <c r="R44" s="714" t="s">
        <v>17</v>
      </c>
      <c r="S44" s="715">
        <f t="shared" si="10"/>
        <v>100</v>
      </c>
      <c r="T44" s="714" t="s">
        <v>17</v>
      </c>
      <c r="U44" s="715">
        <f t="shared" si="11"/>
        <v>100</v>
      </c>
      <c r="V44" s="714" t="s">
        <v>17</v>
      </c>
      <c r="W44" s="715">
        <f t="shared" si="12"/>
        <v>100</v>
      </c>
      <c r="X44" s="1509"/>
      <c r="Y44" s="3523"/>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523"/>
      <c r="Q45" s="1506">
        <f t="shared" si="14"/>
        <v>111</v>
      </c>
      <c r="R45" s="717" t="s">
        <v>17</v>
      </c>
      <c r="S45" s="718">
        <f t="shared" si="10"/>
        <v>100</v>
      </c>
      <c r="T45" s="717" t="s">
        <v>17</v>
      </c>
      <c r="U45" s="718">
        <f t="shared" si="11"/>
        <v>100</v>
      </c>
      <c r="V45" s="717" t="s">
        <v>17</v>
      </c>
      <c r="W45" s="718">
        <f t="shared" si="12"/>
        <v>100</v>
      </c>
      <c r="X45" s="719"/>
      <c r="Y45" s="3523"/>
      <c r="Z45" s="720">
        <f t="shared" si="13"/>
        <v>111</v>
      </c>
      <c r="AA45" s="1507">
        <f t="shared" si="3"/>
        <v>1</v>
      </c>
      <c r="AB45" s="1507">
        <f t="shared" si="4"/>
        <v>1</v>
      </c>
      <c r="AC45" s="1507">
        <f t="shared" si="5"/>
        <v>1</v>
      </c>
    </row>
    <row r="46" spans="1:29" ht="15">
      <c r="A46" s="438" t="s">
        <v>2482</v>
      </c>
      <c r="B46" s="2138" t="s">
        <v>2518</v>
      </c>
      <c r="C46" s="638" t="s">
        <v>1</v>
      </c>
      <c r="D46" s="440"/>
      <c r="E46" s="441"/>
      <c r="F46" s="442"/>
      <c r="G46" s="443"/>
      <c r="H46" s="444"/>
      <c r="I46" s="441"/>
      <c r="J46" s="444"/>
      <c r="K46" s="723"/>
      <c r="L46" s="2923"/>
      <c r="M46" s="2924"/>
      <c r="N46" s="2915"/>
      <c r="O46" s="2924"/>
      <c r="P46" s="3516" t="str">
        <f>A46</f>
        <v>成交单价</v>
      </c>
      <c r="Q46" s="3516"/>
      <c r="R46" s="3511">
        <f>E46</f>
        <v>0</v>
      </c>
      <c r="S46" s="3511"/>
      <c r="T46" s="3511">
        <f>G46</f>
        <v>0</v>
      </c>
      <c r="U46" s="3511"/>
      <c r="V46" s="3511">
        <f>I46</f>
        <v>0</v>
      </c>
      <c r="W46" s="3511"/>
      <c r="X46" s="699"/>
      <c r="Y46" s="721"/>
      <c r="Z46" s="699"/>
      <c r="AA46" s="699"/>
      <c r="AB46" s="699"/>
      <c r="AC46" s="699"/>
    </row>
    <row r="47" spans="1:29" ht="15.75" thickBot="1">
      <c r="A47" s="445" t="s">
        <v>2431</v>
      </c>
      <c r="B47" s="639"/>
      <c r="C47" s="448" t="e">
        <f>R48</f>
        <v>#DIV/0!</v>
      </c>
      <c r="D47" s="2508" t="s">
        <v>2822</v>
      </c>
      <c r="E47" s="448" t="e">
        <f>R47</f>
        <v>#DIV/0!</v>
      </c>
      <c r="F47" s="2509"/>
      <c r="G47" s="447" t="e">
        <f>T47</f>
        <v>#DIV/0!</v>
      </c>
      <c r="H47" s="2509"/>
      <c r="I47" s="448" t="e">
        <f>V47</f>
        <v>#DIV/0!</v>
      </c>
      <c r="J47" s="2509"/>
      <c r="K47" s="2511">
        <f>F47+H47+J47</f>
        <v>0</v>
      </c>
      <c r="L47" s="2923"/>
      <c r="M47" s="2924"/>
      <c r="N47" s="2924"/>
      <c r="O47" s="2924"/>
      <c r="P47" s="3516" t="str">
        <f>A47</f>
        <v>比较价值（元/平方米）</v>
      </c>
      <c r="Q47" s="3516"/>
      <c r="R47" s="3544" t="e">
        <f>ROUND(PRODUCT(R46,AA7:AA45),0)</f>
        <v>#DIV/0!</v>
      </c>
      <c r="S47" s="3544"/>
      <c r="T47" s="3544" t="e">
        <f>ROUND(PRODUCT(T46,AB7:AB45),0)</f>
        <v>#DIV/0!</v>
      </c>
      <c r="U47" s="3544"/>
      <c r="V47" s="3544" t="e">
        <f>ROUND(PRODUCT(V46,AC7:AC45),0)</f>
        <v>#DIV/0!</v>
      </c>
      <c r="W47" s="3544"/>
      <c r="X47" s="699"/>
      <c r="Y47" s="699"/>
      <c r="Z47" s="699"/>
      <c r="AA47" s="699"/>
      <c r="AB47" s="699"/>
      <c r="AC47" s="699"/>
    </row>
    <row r="48" spans="1:29" ht="15.75" thickBot="1">
      <c r="A48" s="449" t="s">
        <v>2519</v>
      </c>
      <c r="B48" s="450"/>
      <c r="C48" s="451" t="e">
        <f>R48</f>
        <v>#DIV/0!</v>
      </c>
      <c r="D48" s="451"/>
      <c r="E48" s="451"/>
      <c r="F48" s="451"/>
      <c r="G48" s="451"/>
      <c r="H48" s="451"/>
      <c r="I48" s="451"/>
      <c r="J48" s="451"/>
      <c r="K48" s="724"/>
      <c r="L48" s="2923"/>
      <c r="M48" s="2924"/>
      <c r="N48" s="2924"/>
      <c r="O48" s="2924"/>
      <c r="P48" s="3513" t="str">
        <f>A48</f>
        <v>估价对象XX用房的比较价值（楼面单价，元/平方米）</v>
      </c>
      <c r="Q48" s="3514"/>
      <c r="R48" s="3545" t="e">
        <f>ROUND(IF(D47="简单平均",AVERAGE(R47:W47),R47*F47+T47*H47+V47*J47),0)</f>
        <v>#DIV/0!</v>
      </c>
      <c r="S48" s="3545"/>
      <c r="T48" s="3545"/>
      <c r="U48" s="3545"/>
      <c r="V48" s="3545"/>
      <c r="W48" s="3545"/>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2520</v>
      </c>
      <c r="B55" s="641" t="s">
        <v>2521</v>
      </c>
      <c r="C55" s="2139" t="s">
        <v>2522</v>
      </c>
      <c r="D55" s="2140" t="s">
        <v>2523</v>
      </c>
      <c r="E55" s="642" t="s">
        <v>2524</v>
      </c>
      <c r="F55" s="1021" t="s">
        <v>2525</v>
      </c>
      <c r="G55" s="3499" t="s">
        <v>2526</v>
      </c>
      <c r="H55" s="3546"/>
      <c r="I55" s="140" t="s">
        <v>2527</v>
      </c>
      <c r="J55" s="2141">
        <f>项目基本情况!F35</f>
        <v>0</v>
      </c>
      <c r="K55" s="2142" t="s">
        <v>2528</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2529</v>
      </c>
      <c r="B56" s="645" t="e">
        <f>C48</f>
        <v>#DIV/0!</v>
      </c>
      <c r="C56" s="646">
        <v>1</v>
      </c>
      <c r="D56" s="1075">
        <v>1</v>
      </c>
      <c r="E56" s="646">
        <f>'数据-汇总表'!E8+'数据-汇总表'!E9</f>
        <v>0</v>
      </c>
      <c r="F56" s="1017" t="e">
        <f t="shared" ref="F56:F65" si="15">ROUND(B56*E56/10000,0)</f>
        <v>#DIV/0!</v>
      </c>
      <c r="G56" s="3498"/>
      <c r="H56" s="3516"/>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2530</v>
      </c>
      <c r="B57" s="224" t="e">
        <f>ROUND($C$48*C57*D57,0)</f>
        <v>#DIV/0!</v>
      </c>
      <c r="C57" s="176">
        <f t="shared" ref="C57:C65" si="16">IF($C$55="北京市系数",I57,J57)</f>
        <v>0</v>
      </c>
      <c r="D57" s="1076">
        <v>0.25</v>
      </c>
      <c r="E57" s="650"/>
      <c r="F57" s="1017" t="e">
        <f t="shared" si="15"/>
        <v>#DIV/0!</v>
      </c>
      <c r="G57" s="3547" t="s">
        <v>2531</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2532</v>
      </c>
      <c r="B58" s="224" t="e">
        <f t="shared" ref="B58:B65" si="17">ROUND($C$48*C58*D58,0)</f>
        <v>#DIV/0!</v>
      </c>
      <c r="C58" s="176">
        <f t="shared" si="16"/>
        <v>0</v>
      </c>
      <c r="D58" s="1076">
        <v>0.25</v>
      </c>
      <c r="E58" s="650"/>
      <c r="F58" s="1017" t="e">
        <f t="shared" si="15"/>
        <v>#DIV/0!</v>
      </c>
      <c r="G58" s="3547"/>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2533</v>
      </c>
      <c r="B59" s="224" t="e">
        <f t="shared" si="17"/>
        <v>#DIV/0!</v>
      </c>
      <c r="C59" s="176">
        <f t="shared" si="16"/>
        <v>0</v>
      </c>
      <c r="D59" s="1076">
        <v>0.25</v>
      </c>
      <c r="E59" s="650"/>
      <c r="F59" s="1017" t="e">
        <f t="shared" si="15"/>
        <v>#DIV/0!</v>
      </c>
      <c r="G59" s="3547"/>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2534</v>
      </c>
      <c r="B60" s="224" t="e">
        <f t="shared" si="17"/>
        <v>#DIV/0!</v>
      </c>
      <c r="C60" s="176">
        <f t="shared" si="16"/>
        <v>0</v>
      </c>
      <c r="D60" s="1076">
        <v>0.25</v>
      </c>
      <c r="E60" s="650"/>
      <c r="F60" s="1017" t="e">
        <f t="shared" si="15"/>
        <v>#DIV/0!</v>
      </c>
      <c r="G60" s="3547"/>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2535</v>
      </c>
      <c r="B61" s="224" t="e">
        <f t="shared" si="17"/>
        <v>#DIV/0!</v>
      </c>
      <c r="C61" s="176">
        <f t="shared" si="16"/>
        <v>0</v>
      </c>
      <c r="D61" s="1076">
        <v>0.25</v>
      </c>
      <c r="E61" s="223">
        <f>'数据-汇总表'!E11</f>
        <v>0</v>
      </c>
      <c r="F61" s="1017" t="e">
        <f t="shared" si="15"/>
        <v>#DIV/0!</v>
      </c>
      <c r="G61" s="2143" t="s">
        <v>2536</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2537</v>
      </c>
      <c r="B62" s="224" t="e">
        <f t="shared" si="17"/>
        <v>#DIV/0!</v>
      </c>
      <c r="C62" s="176">
        <f t="shared" si="16"/>
        <v>0</v>
      </c>
      <c r="D62" s="1076">
        <v>0.25</v>
      </c>
      <c r="E62" s="223">
        <f>'数据-汇总表'!E12</f>
        <v>0</v>
      </c>
      <c r="F62" s="1017" t="e">
        <f t="shared" si="15"/>
        <v>#DIV/0!</v>
      </c>
      <c r="G62" s="1023" t="s">
        <v>2538</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2539</v>
      </c>
      <c r="B63" s="224" t="e">
        <f t="shared" si="17"/>
        <v>#DIV/0!</v>
      </c>
      <c r="C63" s="176">
        <f t="shared" si="16"/>
        <v>0</v>
      </c>
      <c r="D63" s="1076">
        <v>0.25</v>
      </c>
      <c r="E63" s="223">
        <f>'数据-汇总表'!E13</f>
        <v>0</v>
      </c>
      <c r="F63" s="1017" t="e">
        <f t="shared" si="15"/>
        <v>#DIV/0!</v>
      </c>
      <c r="G63" s="1023" t="s">
        <v>2540</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2541</v>
      </c>
      <c r="B64" s="224" t="e">
        <f t="shared" si="17"/>
        <v>#DIV/0!</v>
      </c>
      <c r="C64" s="176">
        <f t="shared" si="16"/>
        <v>0</v>
      </c>
      <c r="D64" s="1076">
        <v>0.25</v>
      </c>
      <c r="E64" s="223">
        <f>'数据-汇总表'!E14</f>
        <v>0</v>
      </c>
      <c r="F64" s="1017" t="e">
        <f t="shared" si="15"/>
        <v>#DIV/0!</v>
      </c>
      <c r="G64" s="2143" t="s">
        <v>2531</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2542</v>
      </c>
      <c r="B65" s="224" t="e">
        <f t="shared" si="17"/>
        <v>#DIV/0!</v>
      </c>
      <c r="C65" s="176">
        <f t="shared" si="16"/>
        <v>0</v>
      </c>
      <c r="D65" s="1076">
        <v>0.25</v>
      </c>
      <c r="E65" s="223">
        <f>'数据-汇总表'!E15</f>
        <v>0</v>
      </c>
      <c r="F65" s="1017" t="e">
        <f t="shared" si="15"/>
        <v>#DIV/0!</v>
      </c>
      <c r="G65" s="2144" t="s">
        <v>2536</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2543</v>
      </c>
      <c r="B66" s="652" t="s">
        <v>28</v>
      </c>
      <c r="C66" s="652" t="s">
        <v>29</v>
      </c>
      <c r="D66" s="652" t="s">
        <v>997</v>
      </c>
      <c r="E66" s="652">
        <f>IF(B46="楼面地价",SUM(E56:E65),'数据-汇总表'!D3)</f>
        <v>0</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1900-1-1</v>
      </c>
      <c r="D68" s="701" t="e">
        <f>EDATE(C68,-3)</f>
        <v>#NUM!</v>
      </c>
      <c r="E68" s="701" t="e">
        <f>EDATE(D68,-3)</f>
        <v>#NUM!</v>
      </c>
      <c r="F68" s="701" t="e">
        <f t="shared" ref="F68:O68" si="18">EDATE(E68,-3)</f>
        <v>#NUM!</v>
      </c>
      <c r="G68" s="701" t="e">
        <f t="shared" si="18"/>
        <v>#NUM!</v>
      </c>
      <c r="H68" s="701" t="e">
        <f t="shared" si="18"/>
        <v>#NUM!</v>
      </c>
      <c r="I68" s="701" t="e">
        <f t="shared" si="18"/>
        <v>#NUM!</v>
      </c>
      <c r="J68" s="701" t="e">
        <f t="shared" si="18"/>
        <v>#NUM!</v>
      </c>
      <c r="K68" s="701" t="e">
        <f t="shared" si="18"/>
        <v>#NUM!</v>
      </c>
      <c r="L68" s="701" t="e">
        <f t="shared" si="18"/>
        <v>#NUM!</v>
      </c>
      <c r="M68" s="701" t="e">
        <f t="shared" si="18"/>
        <v>#NUM!</v>
      </c>
      <c r="N68" s="701" t="e">
        <f t="shared" si="18"/>
        <v>#NUM!</v>
      </c>
      <c r="O68" s="701" t="e">
        <f t="shared" si="18"/>
        <v>#NUM!</v>
      </c>
      <c r="P68" s="2924"/>
      <c r="Q68" s="2924"/>
      <c r="R68" s="2924"/>
      <c r="S68" s="2924"/>
      <c r="T68" s="2924"/>
      <c r="U68" s="2924"/>
      <c r="V68" s="2924"/>
      <c r="W68" s="2924"/>
      <c r="X68" s="2924"/>
      <c r="Y68" s="2924"/>
      <c r="Z68" s="2924"/>
      <c r="AA68" s="2924"/>
      <c r="AB68" s="2924"/>
      <c r="AC68" s="2924"/>
    </row>
    <row r="69" spans="1:29" ht="21.75" thickBot="1">
      <c r="A69" s="703" t="s">
        <v>2436</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2544</v>
      </c>
      <c r="B70" s="1241"/>
      <c r="C70" s="1316" t="str">
        <f>YEAR(C68)&amp;"-"&amp;ROUNDUP(MONTH(C68)/3,0)</f>
        <v>1900-1</v>
      </c>
      <c r="D70" s="1316" t="e">
        <f>YEAR(D68)&amp;"-"&amp;ROUNDUP(MONTH(D68)/3,0)</f>
        <v>#NUM!</v>
      </c>
      <c r="E70" s="1316" t="e">
        <f t="shared" ref="E70:O70" si="19">YEAR(E68)&amp;"-"&amp;ROUNDUP(MONTH(E68)/3,0)</f>
        <v>#NUM!</v>
      </c>
      <c r="F70" s="1316" t="e">
        <f t="shared" si="19"/>
        <v>#NUM!</v>
      </c>
      <c r="G70" s="1316" t="e">
        <f t="shared" si="19"/>
        <v>#NUM!</v>
      </c>
      <c r="H70" s="1316" t="e">
        <f t="shared" si="19"/>
        <v>#NUM!</v>
      </c>
      <c r="I70" s="1316" t="e">
        <f t="shared" si="19"/>
        <v>#NUM!</v>
      </c>
      <c r="J70" s="1316" t="e">
        <f t="shared" si="19"/>
        <v>#NUM!</v>
      </c>
      <c r="K70" s="1316" t="e">
        <f t="shared" si="19"/>
        <v>#NUM!</v>
      </c>
      <c r="L70" s="1316" t="e">
        <f t="shared" si="19"/>
        <v>#NUM!</v>
      </c>
      <c r="M70" s="1316" t="e">
        <f t="shared" si="19"/>
        <v>#NUM!</v>
      </c>
      <c r="N70" s="1316" t="e">
        <f t="shared" si="19"/>
        <v>#NUM!</v>
      </c>
      <c r="O70" s="1316" t="e">
        <f t="shared" si="19"/>
        <v>#NUM!</v>
      </c>
      <c r="P70" s="2975"/>
      <c r="Q70" s="2940"/>
      <c r="R70" s="2940"/>
      <c r="S70" s="2940"/>
      <c r="T70" s="2940"/>
      <c r="U70" s="2940"/>
      <c r="V70" s="2940"/>
      <c r="W70" s="2940"/>
      <c r="X70" s="2940"/>
      <c r="Y70" s="2940"/>
      <c r="Z70" s="2940"/>
      <c r="AA70" s="2940"/>
      <c r="AB70" s="2940"/>
      <c r="AC70" s="2940"/>
    </row>
    <row r="71" spans="1:29" s="113" customFormat="1" ht="30" customHeight="1">
      <c r="A71" s="2146" t="s">
        <v>2545</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2347</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2312</v>
      </c>
      <c r="B73" s="467"/>
      <c r="C73" s="479" t="s">
        <v>2414</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2350</v>
      </c>
      <c r="B75" s="485" t="s">
        <v>2316</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2319</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2320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2321</v>
      </c>
      <c r="B88" s="485" t="s">
        <v>2358</v>
      </c>
      <c r="C88" s="530" t="s">
        <v>2359</v>
      </c>
      <c r="D88" s="530" t="s">
        <v>2360</v>
      </c>
      <c r="E88" s="530" t="s">
        <v>2361</v>
      </c>
      <c r="F88" s="530" t="s">
        <v>2362</v>
      </c>
      <c r="G88" s="530" t="s">
        <v>2363</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2546</v>
      </c>
      <c r="C90" s="535" t="s">
        <v>2359</v>
      </c>
      <c r="D90" s="535" t="s">
        <v>2360</v>
      </c>
      <c r="E90" s="535" t="s">
        <v>2361</v>
      </c>
      <c r="F90" s="535" t="s">
        <v>2362</v>
      </c>
      <c r="G90" s="535" t="s">
        <v>2363</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2459</v>
      </c>
      <c r="C92" s="535" t="s">
        <v>2359</v>
      </c>
      <c r="D92" s="535" t="s">
        <v>2360</v>
      </c>
      <c r="E92" s="535" t="s">
        <v>2361</v>
      </c>
      <c r="F92" s="535" t="s">
        <v>2362</v>
      </c>
      <c r="G92" s="535" t="s">
        <v>2363</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2364</v>
      </c>
      <c r="C94" s="535" t="s">
        <v>2359</v>
      </c>
      <c r="D94" s="535" t="s">
        <v>2360</v>
      </c>
      <c r="E94" s="535" t="s">
        <v>2361</v>
      </c>
      <c r="F94" s="535" t="s">
        <v>2362</v>
      </c>
      <c r="G94" s="535" t="s">
        <v>2363</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2547</v>
      </c>
      <c r="C96" s="535" t="s">
        <v>2359</v>
      </c>
      <c r="D96" s="535" t="s">
        <v>2360</v>
      </c>
      <c r="E96" s="535" t="s">
        <v>2361</v>
      </c>
      <c r="F96" s="535" t="s">
        <v>2362</v>
      </c>
      <c r="G96" s="535" t="s">
        <v>2363</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2548</v>
      </c>
      <c r="C98" s="530" t="s">
        <v>2359</v>
      </c>
      <c r="D98" s="530" t="s">
        <v>2360</v>
      </c>
      <c r="E98" s="530" t="s">
        <v>2361</v>
      </c>
      <c r="F98" s="530" t="s">
        <v>2362</v>
      </c>
      <c r="G98" s="530" t="s">
        <v>2363</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2416</v>
      </c>
      <c r="C100" s="530" t="s">
        <v>2359</v>
      </c>
      <c r="D100" s="530" t="s">
        <v>2360</v>
      </c>
      <c r="E100" s="530" t="s">
        <v>2361</v>
      </c>
      <c r="F100" s="530" t="s">
        <v>2362</v>
      </c>
      <c r="G100" s="530" t="s">
        <v>2363</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2417</v>
      </c>
      <c r="C102" s="616" t="s">
        <v>2437</v>
      </c>
      <c r="D102" s="616" t="s">
        <v>2438</v>
      </c>
      <c r="E102" s="616" t="s">
        <v>2439</v>
      </c>
      <c r="F102" s="616" t="s">
        <v>2440</v>
      </c>
      <c r="G102" s="616" t="s">
        <v>2441</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2549</v>
      </c>
      <c r="D104" s="496" t="s">
        <v>2550</v>
      </c>
      <c r="E104" s="496" t="s">
        <v>2551</v>
      </c>
      <c r="F104" s="496" t="s">
        <v>2552</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2453</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2512</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2325</v>
      </c>
      <c r="B116" s="485" t="s">
        <v>2553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2554</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2555</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2556</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2557</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2506</v>
      </c>
      <c r="B1" s="355"/>
      <c r="C1" s="356" t="s">
        <v>2558</v>
      </c>
      <c r="D1" s="695"/>
      <c r="E1" s="695"/>
      <c r="F1" s="694" t="s">
        <v>2405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2089</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2091</v>
      </c>
      <c r="B3" s="566" t="e">
        <f>ROUND(IF(D3="",B2*10000/'数据-汇总表'!E3,B2*10000/D3),0)</f>
        <v>#DIV/0!</v>
      </c>
      <c r="C3" s="209" t="s">
        <v>2508</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2407</v>
      </c>
      <c r="B4" s="362"/>
      <c r="C4" s="3499" t="s">
        <v>2408</v>
      </c>
      <c r="D4" s="3500"/>
      <c r="E4" s="3501" t="s">
        <v>2409</v>
      </c>
      <c r="F4" s="3502"/>
      <c r="G4" s="3499" t="s">
        <v>2410</v>
      </c>
      <c r="H4" s="3500"/>
      <c r="I4" s="3499" t="s">
        <v>2411</v>
      </c>
      <c r="J4" s="3500"/>
      <c r="K4" s="567" t="s">
        <v>2412</v>
      </c>
      <c r="L4" s="2914"/>
      <c r="M4" s="2915"/>
      <c r="N4" s="2915"/>
      <c r="O4" s="2915"/>
      <c r="P4" s="3503" t="s">
        <v>2413</v>
      </c>
      <c r="Q4" s="3504"/>
      <c r="R4" s="3486" t="s">
        <v>2409</v>
      </c>
      <c r="S4" s="3487"/>
      <c r="T4" s="3486" t="s">
        <v>2410</v>
      </c>
      <c r="U4" s="3487"/>
      <c r="V4" s="3511" t="s">
        <v>2411</v>
      </c>
      <c r="W4" s="3511"/>
      <c r="X4" s="1509"/>
      <c r="Y4" s="3486" t="s">
        <v>2413</v>
      </c>
      <c r="Z4" s="3487"/>
      <c r="AA4" s="3481" t="s">
        <v>2409</v>
      </c>
      <c r="AB4" s="3482" t="s">
        <v>2410</v>
      </c>
      <c r="AC4" s="3481" t="s">
        <v>2411</v>
      </c>
    </row>
    <row r="5" spans="1:29" ht="15">
      <c r="A5" s="364"/>
      <c r="B5" s="365"/>
      <c r="C5" s="3492" t="s">
        <v>2304</v>
      </c>
      <c r="D5" s="3493"/>
      <c r="E5" s="3490" t="s">
        <v>2305</v>
      </c>
      <c r="F5" s="3491"/>
      <c r="G5" s="3492" t="s">
        <v>2306</v>
      </c>
      <c r="H5" s="3493"/>
      <c r="I5" s="3492" t="s">
        <v>2307</v>
      </c>
      <c r="J5" s="3493"/>
      <c r="K5" s="567"/>
      <c r="L5" s="2914"/>
      <c r="M5" s="2915"/>
      <c r="N5" s="2915"/>
      <c r="O5" s="2915"/>
      <c r="P5" s="3505"/>
      <c r="Q5" s="3506"/>
      <c r="R5" s="3488"/>
      <c r="S5" s="3489"/>
      <c r="T5" s="3488"/>
      <c r="U5" s="3489"/>
      <c r="V5" s="3511"/>
      <c r="W5" s="3511"/>
      <c r="X5" s="1509"/>
      <c r="Y5" s="3488"/>
      <c r="Z5" s="3489"/>
      <c r="AA5" s="3482"/>
      <c r="AB5" s="3482"/>
      <c r="AC5" s="3482"/>
    </row>
    <row r="6" spans="1:29" ht="15.75" thickBot="1">
      <c r="A6" s="366"/>
      <c r="B6" s="367"/>
      <c r="C6" s="3548" t="s">
        <v>2559</v>
      </c>
      <c r="D6" s="3549"/>
      <c r="E6" s="3550" t="s">
        <v>2559</v>
      </c>
      <c r="F6" s="3551"/>
      <c r="G6" s="3548" t="s">
        <v>2559</v>
      </c>
      <c r="H6" s="3549"/>
      <c r="I6" s="3548" t="s">
        <v>2559</v>
      </c>
      <c r="J6" s="3549"/>
      <c r="K6" s="567" t="s">
        <v>2309</v>
      </c>
      <c r="L6" s="2914"/>
      <c r="M6" s="2915"/>
      <c r="N6" s="2915"/>
      <c r="O6" s="2915"/>
      <c r="P6" s="3507"/>
      <c r="Q6" s="3508"/>
      <c r="R6" s="3488"/>
      <c r="S6" s="3489"/>
      <c r="T6" s="3509"/>
      <c r="U6" s="3510"/>
      <c r="V6" s="3511"/>
      <c r="W6" s="3511"/>
      <c r="X6" s="1509"/>
      <c r="Y6" s="3509"/>
      <c r="Z6" s="3510"/>
      <c r="AA6" s="3483"/>
      <c r="AB6" s="3483"/>
      <c r="AC6" s="3483"/>
    </row>
    <row r="7" spans="1:29" s="113" customFormat="1" ht="15.75" thickBot="1">
      <c r="A7" s="368" t="s">
        <v>2310</v>
      </c>
      <c r="B7" s="369"/>
      <c r="C7" s="370">
        <f>'数据-取费表'!B2</f>
        <v>0</v>
      </c>
      <c r="D7" s="371">
        <v>100</v>
      </c>
      <c r="E7" s="372"/>
      <c r="F7" s="373">
        <f>SUMIF(65:65,YEAR(E7)&amp;"-"&amp;INT((MONTH(E7)+2)/3),66:66)</f>
        <v>100</v>
      </c>
      <c r="G7" s="2130"/>
      <c r="H7" s="371">
        <f>SUMIF(65:65,YEAR(G7)&amp;"-"&amp;INT((MONTH(G7)+2)/3),66:66)</f>
        <v>100</v>
      </c>
      <c r="I7" s="2130"/>
      <c r="J7" s="371">
        <f>SUMIF(65:65,YEAR(I7)&amp;"-"&amp;INT((MONTH(I7)+2)/3),66:66)</f>
        <v>100</v>
      </c>
      <c r="K7" s="568"/>
      <c r="L7" s="2916"/>
      <c r="M7" s="2917"/>
      <c r="N7" s="2917"/>
      <c r="O7" s="2917"/>
      <c r="P7" s="3484" t="s">
        <v>2311</v>
      </c>
      <c r="Q7" s="3512"/>
      <c r="R7" s="710" t="s">
        <v>17</v>
      </c>
      <c r="S7" s="711">
        <f t="shared" ref="S7:S15" si="0">F7</f>
        <v>100</v>
      </c>
      <c r="T7" s="710" t="s">
        <v>17</v>
      </c>
      <c r="U7" s="711">
        <f t="shared" ref="U7:U15" si="1">H7</f>
        <v>100</v>
      </c>
      <c r="V7" s="710" t="s">
        <v>17</v>
      </c>
      <c r="W7" s="711">
        <f t="shared" ref="W7:W15" si="2">J7</f>
        <v>100</v>
      </c>
      <c r="X7" s="712"/>
      <c r="Y7" s="3484" t="s">
        <v>2311</v>
      </c>
      <c r="Z7" s="3485"/>
      <c r="AA7" s="713">
        <f>D7/F7</f>
        <v>1</v>
      </c>
      <c r="AB7" s="713">
        <f>D7/H7</f>
        <v>1</v>
      </c>
      <c r="AC7" s="713">
        <f>D7/J7</f>
        <v>1</v>
      </c>
    </row>
    <row r="8" spans="1:29" s="113" customFormat="1" ht="15.75" thickBot="1">
      <c r="A8" s="368" t="s">
        <v>2312</v>
      </c>
      <c r="B8" s="369"/>
      <c r="C8" s="374" t="s">
        <v>2313</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84" t="s">
        <v>2314</v>
      </c>
      <c r="Q8" s="3485"/>
      <c r="R8" s="710" t="s">
        <v>17</v>
      </c>
      <c r="S8" s="711">
        <f t="shared" si="0"/>
        <v>0</v>
      </c>
      <c r="T8" s="710" t="s">
        <v>17</v>
      </c>
      <c r="U8" s="711">
        <f t="shared" si="1"/>
        <v>0</v>
      </c>
      <c r="V8" s="710" t="s">
        <v>17</v>
      </c>
      <c r="W8" s="711">
        <f t="shared" si="2"/>
        <v>0</v>
      </c>
      <c r="X8" s="712"/>
      <c r="Y8" s="3484" t="s">
        <v>2314</v>
      </c>
      <c r="Z8" s="3485"/>
      <c r="AA8" s="713" t="e">
        <f t="shared" ref="AA8:AA40" si="3">D8/F8</f>
        <v>#DIV/0!</v>
      </c>
      <c r="AB8" s="713" t="e">
        <f t="shared" ref="AB8:AB40" si="4">D8/H8</f>
        <v>#DIV/0!</v>
      </c>
      <c r="AC8" s="713" t="e">
        <f t="shared" ref="AC8:AC40" si="5">D8/J8</f>
        <v>#DIV/0!</v>
      </c>
    </row>
    <row r="9" spans="1:29" s="113" customFormat="1">
      <c r="A9" s="375" t="s">
        <v>2315</v>
      </c>
      <c r="B9" s="67" t="s">
        <v>2316</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516" t="s">
        <v>2317</v>
      </c>
      <c r="Q9" s="1497" t="str">
        <f t="shared" ref="Q9:Q15" si="6">B9</f>
        <v>用途</v>
      </c>
      <c r="R9" s="710" t="s">
        <v>17</v>
      </c>
      <c r="S9" s="711">
        <f t="shared" si="0"/>
        <v>100</v>
      </c>
      <c r="T9" s="710" t="s">
        <v>17</v>
      </c>
      <c r="U9" s="711">
        <f t="shared" si="1"/>
        <v>100</v>
      </c>
      <c r="V9" s="710" t="s">
        <v>17</v>
      </c>
      <c r="W9" s="711">
        <f t="shared" si="2"/>
        <v>100</v>
      </c>
      <c r="X9" s="712"/>
      <c r="Y9" s="3428" t="s">
        <v>2318</v>
      </c>
      <c r="Z9" s="55" t="str">
        <f t="shared" ref="Z9:Z15" si="7">Q9</f>
        <v>用途</v>
      </c>
      <c r="AA9" s="713">
        <f t="shared" si="3"/>
        <v>1</v>
      </c>
      <c r="AB9" s="713">
        <f t="shared" si="4"/>
        <v>1</v>
      </c>
      <c r="AC9" s="713">
        <f t="shared" si="5"/>
        <v>1</v>
      </c>
    </row>
    <row r="10" spans="1:29" s="386" customFormat="1" ht="27">
      <c r="A10" s="380"/>
      <c r="B10" s="381" t="s">
        <v>2319</v>
      </c>
      <c r="C10" s="391"/>
      <c r="D10" s="132">
        <v>100</v>
      </c>
      <c r="E10" s="391"/>
      <c r="F10" s="132" t="e">
        <f>ROUND(100/'数据-取费表'!G16,0)</f>
        <v>#DIV/0!</v>
      </c>
      <c r="G10" s="391"/>
      <c r="H10" s="132" t="e">
        <f>ROUND(100/'数据-取费表'!G16,0)</f>
        <v>#DIV/0!</v>
      </c>
      <c r="I10" s="391"/>
      <c r="J10" s="132" t="e">
        <f>ROUND(100/'数据-取费表'!G16,0)</f>
        <v>#DIV/0!</v>
      </c>
      <c r="K10" s="628"/>
      <c r="L10" s="2918"/>
      <c r="M10" s="2919"/>
      <c r="N10" s="2919"/>
      <c r="O10" s="2972"/>
      <c r="P10" s="3516"/>
      <c r="Q10" s="1497" t="str">
        <f t="shared" si="6"/>
        <v>土地使用年限（年）</v>
      </c>
      <c r="R10" s="710" t="s">
        <v>17</v>
      </c>
      <c r="S10" s="711" t="e">
        <f t="shared" si="0"/>
        <v>#DIV/0!</v>
      </c>
      <c r="T10" s="710" t="s">
        <v>17</v>
      </c>
      <c r="U10" s="711" t="e">
        <f t="shared" si="1"/>
        <v>#DIV/0!</v>
      </c>
      <c r="V10" s="710" t="s">
        <v>17</v>
      </c>
      <c r="W10" s="711" t="e">
        <f t="shared" si="2"/>
        <v>#DIV/0!</v>
      </c>
      <c r="X10" s="712"/>
      <c r="Y10" s="3428"/>
      <c r="Z10" s="55" t="str">
        <f t="shared" si="7"/>
        <v>土地使用年限（年）</v>
      </c>
      <c r="AA10" s="713" t="e">
        <f t="shared" si="3"/>
        <v>#DIV/0!</v>
      </c>
      <c r="AB10" s="713" t="e">
        <f t="shared" si="4"/>
        <v>#DIV/0!</v>
      </c>
      <c r="AC10" s="713" t="e">
        <f t="shared" si="5"/>
        <v>#DIV/0!</v>
      </c>
    </row>
    <row r="11" spans="1:29" ht="15">
      <c r="A11" s="387"/>
      <c r="B11" s="381" t="s">
        <v>2320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516"/>
      <c r="Q11" s="1497"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516"/>
      <c r="Q12" s="149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516"/>
      <c r="Q13" s="149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516"/>
      <c r="Q14" s="1497">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713">
        <f t="shared" si="5"/>
        <v>1</v>
      </c>
    </row>
    <row r="15" spans="1:29" ht="57">
      <c r="A15" s="399" t="s">
        <v>2321</v>
      </c>
      <c r="B15" s="585" t="s">
        <v>2560</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518" t="s">
        <v>2322</v>
      </c>
      <c r="Q15" s="1506" t="str">
        <f t="shared" si="6"/>
        <v>产业集聚程度</v>
      </c>
      <c r="R15" s="714" t="s">
        <v>17</v>
      </c>
      <c r="S15" s="715">
        <f t="shared" si="0"/>
        <v>100</v>
      </c>
      <c r="T15" s="714" t="s">
        <v>17</v>
      </c>
      <c r="U15" s="715">
        <f t="shared" si="1"/>
        <v>100</v>
      </c>
      <c r="V15" s="714" t="s">
        <v>17</v>
      </c>
      <c r="W15" s="715">
        <f t="shared" si="2"/>
        <v>100</v>
      </c>
      <c r="X15" s="1509"/>
      <c r="Y15" s="3518" t="s">
        <v>2322</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519"/>
      <c r="Q16" s="1506"/>
      <c r="R16" s="714"/>
      <c r="S16" s="715"/>
      <c r="T16" s="714"/>
      <c r="U16" s="715"/>
      <c r="V16" s="714"/>
      <c r="W16" s="715"/>
      <c r="X16" s="1509"/>
      <c r="Y16" s="3519"/>
      <c r="Z16" s="1510"/>
      <c r="AA16" s="1507">
        <v>1</v>
      </c>
      <c r="AB16" s="1507">
        <v>1</v>
      </c>
      <c r="AC16" s="1507">
        <v>1</v>
      </c>
    </row>
    <row r="17" spans="1:29" ht="85.5">
      <c r="A17" s="387"/>
      <c r="B17" s="587" t="s">
        <v>2471</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519"/>
      <c r="Q17" s="1506" t="str">
        <f>B17</f>
        <v>交通便捷度</v>
      </c>
      <c r="R17" s="714" t="s">
        <v>17</v>
      </c>
      <c r="S17" s="715">
        <f>F17</f>
        <v>100</v>
      </c>
      <c r="T17" s="714" t="s">
        <v>17</v>
      </c>
      <c r="U17" s="715">
        <f>H17</f>
        <v>100</v>
      </c>
      <c r="V17" s="714" t="s">
        <v>17</v>
      </c>
      <c r="W17" s="715">
        <f>J17</f>
        <v>100</v>
      </c>
      <c r="X17" s="1509"/>
      <c r="Y17" s="3519"/>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519"/>
      <c r="Q18" s="1506"/>
      <c r="R18" s="714"/>
      <c r="S18" s="715"/>
      <c r="T18" s="714"/>
      <c r="U18" s="715"/>
      <c r="V18" s="714"/>
      <c r="W18" s="715"/>
      <c r="X18" s="1509"/>
      <c r="Y18" s="3519"/>
      <c r="Z18" s="1510"/>
      <c r="AA18" s="1507">
        <v>1</v>
      </c>
      <c r="AB18" s="1507">
        <v>1</v>
      </c>
      <c r="AC18" s="1507">
        <v>1</v>
      </c>
    </row>
    <row r="19" spans="1:29" ht="15">
      <c r="A19" s="387"/>
      <c r="B19" s="587" t="s">
        <v>2510</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519"/>
      <c r="Q19" s="1506" t="str">
        <f t="shared" ref="Q19:Q33" si="8">B19</f>
        <v>区域土地利用方向</v>
      </c>
      <c r="R19" s="714" t="s">
        <v>17</v>
      </c>
      <c r="S19" s="715">
        <f>F19</f>
        <v>100</v>
      </c>
      <c r="T19" s="714" t="s">
        <v>17</v>
      </c>
      <c r="U19" s="715">
        <f>H19</f>
        <v>100</v>
      </c>
      <c r="V19" s="714" t="s">
        <v>17</v>
      </c>
      <c r="W19" s="715">
        <f>J19</f>
        <v>100</v>
      </c>
      <c r="X19" s="1509"/>
      <c r="Y19" s="3519"/>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519"/>
      <c r="Q20" s="1506"/>
      <c r="R20" s="714"/>
      <c r="S20" s="715"/>
      <c r="T20" s="714"/>
      <c r="U20" s="715"/>
      <c r="V20" s="714"/>
      <c r="W20" s="715"/>
      <c r="X20" s="1509"/>
      <c r="Y20" s="3519"/>
      <c r="Z20" s="1510"/>
      <c r="AA20" s="1507"/>
      <c r="AB20" s="1507"/>
      <c r="AC20" s="1507"/>
    </row>
    <row r="21" spans="1:29" ht="71.25">
      <c r="A21" s="364"/>
      <c r="B21" s="587" t="s">
        <v>2561</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519"/>
      <c r="Q21" s="1506" t="str">
        <f t="shared" si="8"/>
        <v>环境状况</v>
      </c>
      <c r="R21" s="714" t="s">
        <v>17</v>
      </c>
      <c r="S21" s="715">
        <f>F21</f>
        <v>100</v>
      </c>
      <c r="T21" s="714" t="s">
        <v>17</v>
      </c>
      <c r="U21" s="715">
        <f>H21</f>
        <v>100</v>
      </c>
      <c r="V21" s="714" t="s">
        <v>17</v>
      </c>
      <c r="W21" s="715">
        <f>J21</f>
        <v>100</v>
      </c>
      <c r="X21" s="1509"/>
      <c r="Y21" s="3519"/>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519"/>
      <c r="Q22" s="1506"/>
      <c r="R22" s="714"/>
      <c r="S22" s="715"/>
      <c r="T22" s="714"/>
      <c r="U22" s="715"/>
      <c r="V22" s="714"/>
      <c r="W22" s="715"/>
      <c r="X22" s="1509"/>
      <c r="Y22" s="3519"/>
      <c r="Z22" s="1510"/>
      <c r="AA22" s="1507">
        <v>1</v>
      </c>
      <c r="AB22" s="1507">
        <v>1</v>
      </c>
      <c r="AC22" s="1507">
        <v>1</v>
      </c>
    </row>
    <row r="23" spans="1:29" s="113" customFormat="1" ht="42.75">
      <c r="A23" s="605"/>
      <c r="B23" s="589" t="s">
        <v>2416</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519"/>
      <c r="Q23" s="1497" t="str">
        <f t="shared" si="8"/>
        <v>公共配套设施</v>
      </c>
      <c r="R23" s="710" t="s">
        <v>17</v>
      </c>
      <c r="S23" s="711">
        <f>F23</f>
        <v>100</v>
      </c>
      <c r="T23" s="710" t="s">
        <v>17</v>
      </c>
      <c r="U23" s="711">
        <f>H23</f>
        <v>100</v>
      </c>
      <c r="V23" s="710" t="s">
        <v>17</v>
      </c>
      <c r="W23" s="711">
        <f>J23</f>
        <v>100</v>
      </c>
      <c r="X23" s="712"/>
      <c r="Y23" s="3519"/>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519"/>
      <c r="Q24" s="1497"/>
      <c r="R24" s="710"/>
      <c r="S24" s="711"/>
      <c r="T24" s="710"/>
      <c r="U24" s="711"/>
      <c r="V24" s="710"/>
      <c r="W24" s="711"/>
      <c r="X24" s="712"/>
      <c r="Y24" s="3519"/>
      <c r="Z24" s="55"/>
      <c r="AA24" s="713">
        <v>1</v>
      </c>
      <c r="AB24" s="713">
        <v>1</v>
      </c>
      <c r="AC24" s="713">
        <v>1</v>
      </c>
    </row>
    <row r="25" spans="1:29" s="113" customFormat="1" ht="28.5">
      <c r="A25" s="605"/>
      <c r="B25" s="589" t="s">
        <v>2417</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519"/>
      <c r="Q25" s="1497" t="str">
        <f t="shared" ref="Q25" si="9">B25</f>
        <v>基础设施水平</v>
      </c>
      <c r="R25" s="710" t="s">
        <v>17</v>
      </c>
      <c r="S25" s="711">
        <f>F25</f>
        <v>100</v>
      </c>
      <c r="T25" s="710" t="s">
        <v>17</v>
      </c>
      <c r="U25" s="711">
        <f>H25</f>
        <v>100</v>
      </c>
      <c r="V25" s="710" t="s">
        <v>17</v>
      </c>
      <c r="W25" s="711">
        <f>J25</f>
        <v>100</v>
      </c>
      <c r="X25" s="712"/>
      <c r="Y25" s="3519"/>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519"/>
      <c r="Q26" s="1497"/>
      <c r="R26" s="710"/>
      <c r="S26" s="711"/>
      <c r="T26" s="710"/>
      <c r="U26" s="711"/>
      <c r="V26" s="710"/>
      <c r="W26" s="711"/>
      <c r="X26" s="712"/>
      <c r="Y26" s="3519"/>
      <c r="Z26" s="55"/>
      <c r="AA26" s="713">
        <v>1</v>
      </c>
      <c r="AB26" s="713">
        <v>1</v>
      </c>
      <c r="AC26" s="713">
        <v>1</v>
      </c>
    </row>
    <row r="27" spans="1:29" ht="15">
      <c r="A27" s="387"/>
      <c r="B27" s="588" t="s">
        <v>2418</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519"/>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519"/>
      <c r="Z27" s="1510" t="str">
        <f t="shared" ref="Z27:Z40" si="13">Q27</f>
        <v>临街状况</v>
      </c>
      <c r="AA27" s="1507">
        <f t="shared" si="3"/>
        <v>1</v>
      </c>
      <c r="AB27" s="1507">
        <f t="shared" si="4"/>
        <v>1</v>
      </c>
      <c r="AC27" s="1507">
        <f t="shared" si="5"/>
        <v>1</v>
      </c>
    </row>
    <row r="28" spans="1:29" ht="27">
      <c r="A28" s="387"/>
      <c r="B28" s="589" t="s">
        <v>2453</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519"/>
      <c r="Q28" s="1506" t="str">
        <f t="shared" si="8"/>
        <v>毗邻道路的类型与等级</v>
      </c>
      <c r="R28" s="714" t="s">
        <v>17</v>
      </c>
      <c r="S28" s="715">
        <f t="shared" si="10"/>
        <v>100</v>
      </c>
      <c r="T28" s="714" t="s">
        <v>17</v>
      </c>
      <c r="U28" s="715">
        <f t="shared" si="11"/>
        <v>100</v>
      </c>
      <c r="V28" s="714" t="s">
        <v>17</v>
      </c>
      <c r="W28" s="715">
        <f t="shared" si="12"/>
        <v>100</v>
      </c>
      <c r="X28" s="1509"/>
      <c r="Y28" s="3519"/>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519"/>
      <c r="Q29" s="1506"/>
      <c r="R29" s="714"/>
      <c r="S29" s="715"/>
      <c r="T29" s="714"/>
      <c r="U29" s="715"/>
      <c r="V29" s="714"/>
      <c r="W29" s="715"/>
      <c r="X29" s="1509"/>
      <c r="Y29" s="3519"/>
      <c r="Z29" s="1510"/>
      <c r="AA29" s="1507">
        <v>1</v>
      </c>
      <c r="AB29" s="1507">
        <v>1</v>
      </c>
      <c r="AC29" s="1507">
        <v>1</v>
      </c>
    </row>
    <row r="30" spans="1:29" ht="15">
      <c r="A30" s="387"/>
      <c r="B30" s="610" t="s">
        <v>2512</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519"/>
      <c r="Q30" s="1506" t="str">
        <f t="shared" si="8"/>
        <v>土地级别</v>
      </c>
      <c r="R30" s="714" t="s">
        <v>17</v>
      </c>
      <c r="S30" s="715">
        <f t="shared" si="10"/>
        <v>100</v>
      </c>
      <c r="T30" s="714" t="s">
        <v>17</v>
      </c>
      <c r="U30" s="715">
        <f t="shared" si="11"/>
        <v>100</v>
      </c>
      <c r="V30" s="714" t="s">
        <v>17</v>
      </c>
      <c r="W30" s="715">
        <f t="shared" si="12"/>
        <v>100</v>
      </c>
      <c r="X30" s="1509"/>
      <c r="Y30" s="3519"/>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519"/>
      <c r="Q31" s="1506">
        <f t="shared" si="8"/>
        <v>111</v>
      </c>
      <c r="R31" s="714" t="s">
        <v>17</v>
      </c>
      <c r="S31" s="715">
        <f t="shared" si="10"/>
        <v>100</v>
      </c>
      <c r="T31" s="714" t="s">
        <v>17</v>
      </c>
      <c r="U31" s="715">
        <f t="shared" si="11"/>
        <v>100</v>
      </c>
      <c r="V31" s="714" t="s">
        <v>17</v>
      </c>
      <c r="W31" s="715">
        <f t="shared" si="12"/>
        <v>100</v>
      </c>
      <c r="X31" s="1509"/>
      <c r="Y31" s="3519"/>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42" t="s">
        <v>2327</v>
      </c>
      <c r="Q32" s="1506">
        <f t="shared" si="8"/>
        <v>111</v>
      </c>
      <c r="R32" s="714" t="s">
        <v>17</v>
      </c>
      <c r="S32" s="715">
        <f t="shared" si="10"/>
        <v>100</v>
      </c>
      <c r="T32" s="714" t="s">
        <v>17</v>
      </c>
      <c r="U32" s="715">
        <f t="shared" si="11"/>
        <v>100</v>
      </c>
      <c r="V32" s="714" t="s">
        <v>17</v>
      </c>
      <c r="W32" s="715">
        <f t="shared" si="12"/>
        <v>100</v>
      </c>
      <c r="X32" s="1509"/>
      <c r="Y32" s="3523" t="s">
        <v>2327</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523"/>
      <c r="Q33" s="1506">
        <f t="shared" si="8"/>
        <v>111</v>
      </c>
      <c r="R33" s="717" t="s">
        <v>17</v>
      </c>
      <c r="S33" s="718">
        <f t="shared" si="10"/>
        <v>100</v>
      </c>
      <c r="T33" s="717" t="s">
        <v>17</v>
      </c>
      <c r="U33" s="718">
        <f t="shared" si="11"/>
        <v>100</v>
      </c>
      <c r="V33" s="717" t="s">
        <v>17</v>
      </c>
      <c r="W33" s="718">
        <f t="shared" si="12"/>
        <v>100</v>
      </c>
      <c r="X33" s="719"/>
      <c r="Y33" s="3523"/>
      <c r="Z33" s="720">
        <f t="shared" si="13"/>
        <v>111</v>
      </c>
      <c r="AA33" s="1507">
        <f t="shared" si="3"/>
        <v>1</v>
      </c>
      <c r="AB33" s="1507">
        <f t="shared" si="4"/>
        <v>1</v>
      </c>
      <c r="AC33" s="1507">
        <f t="shared" si="5"/>
        <v>1</v>
      </c>
    </row>
    <row r="34" spans="1:31" ht="15">
      <c r="A34" s="399" t="s">
        <v>2325</v>
      </c>
      <c r="B34" s="415" t="s">
        <v>2513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523"/>
      <c r="Q34" s="1506" t="str">
        <f>B34</f>
        <v>宗地面积</v>
      </c>
      <c r="R34" s="714" t="s">
        <v>17</v>
      </c>
      <c r="S34" s="715" t="e">
        <f t="shared" si="10"/>
        <v>#N/A</v>
      </c>
      <c r="T34" s="714" t="s">
        <v>17</v>
      </c>
      <c r="U34" s="715" t="e">
        <f t="shared" si="11"/>
        <v>#N/A</v>
      </c>
      <c r="V34" s="714" t="s">
        <v>17</v>
      </c>
      <c r="W34" s="715" t="e">
        <f t="shared" si="12"/>
        <v>#N/A</v>
      </c>
      <c r="X34" s="1509"/>
      <c r="Y34" s="3523"/>
      <c r="Z34" s="1510" t="str">
        <f t="shared" si="13"/>
        <v>宗地面积</v>
      </c>
      <c r="AA34" s="1507" t="e">
        <f t="shared" si="3"/>
        <v>#N/A</v>
      </c>
      <c r="AB34" s="1507" t="e">
        <f t="shared" si="4"/>
        <v>#N/A</v>
      </c>
      <c r="AC34" s="1507" t="e">
        <f t="shared" si="5"/>
        <v>#N/A</v>
      </c>
    </row>
    <row r="35" spans="1:31" ht="15">
      <c r="A35" s="431"/>
      <c r="B35" s="381" t="s">
        <v>2514</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523"/>
      <c r="Q35" s="1506" t="str">
        <f t="shared" ref="Q35:Q40" si="14">B35</f>
        <v>宗地形状</v>
      </c>
      <c r="R35" s="714" t="s">
        <v>17</v>
      </c>
      <c r="S35" s="715">
        <f t="shared" si="10"/>
        <v>100</v>
      </c>
      <c r="T35" s="714" t="s">
        <v>17</v>
      </c>
      <c r="U35" s="715">
        <f t="shared" si="11"/>
        <v>100</v>
      </c>
      <c r="V35" s="714" t="s">
        <v>17</v>
      </c>
      <c r="W35" s="715">
        <f t="shared" si="12"/>
        <v>100</v>
      </c>
      <c r="X35" s="1509"/>
      <c r="Y35" s="3523"/>
      <c r="Z35" s="1510" t="str">
        <f t="shared" si="13"/>
        <v>宗地形状</v>
      </c>
      <c r="AA35" s="1507">
        <f t="shared" si="3"/>
        <v>1</v>
      </c>
      <c r="AB35" s="1507">
        <f t="shared" si="4"/>
        <v>1</v>
      </c>
      <c r="AC35" s="1507">
        <f t="shared" si="5"/>
        <v>1</v>
      </c>
    </row>
    <row r="36" spans="1:31" s="113" customFormat="1" ht="15">
      <c r="A36" s="432"/>
      <c r="B36" s="381" t="s">
        <v>2516</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523"/>
      <c r="Q36" s="1506" t="str">
        <f t="shared" si="14"/>
        <v>宗地开发程度</v>
      </c>
      <c r="R36" s="710" t="s">
        <v>17</v>
      </c>
      <c r="S36" s="711">
        <f t="shared" si="10"/>
        <v>100</v>
      </c>
      <c r="T36" s="710" t="s">
        <v>17</v>
      </c>
      <c r="U36" s="711">
        <f t="shared" si="11"/>
        <v>100</v>
      </c>
      <c r="V36" s="710" t="s">
        <v>17</v>
      </c>
      <c r="W36" s="711">
        <f t="shared" si="12"/>
        <v>100</v>
      </c>
      <c r="X36" s="712"/>
      <c r="Y36" s="3523"/>
      <c r="Z36" s="55" t="str">
        <f t="shared" si="13"/>
        <v>宗地开发程度</v>
      </c>
      <c r="AA36" s="713">
        <f t="shared" si="3"/>
        <v>1</v>
      </c>
      <c r="AB36" s="713">
        <f t="shared" si="4"/>
        <v>1</v>
      </c>
      <c r="AC36" s="713">
        <f t="shared" si="5"/>
        <v>1</v>
      </c>
    </row>
    <row r="37" spans="1:31" ht="15">
      <c r="A37" s="431"/>
      <c r="B37" s="381" t="s">
        <v>2517</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523" t="s">
        <v>2327</v>
      </c>
      <c r="Q37" s="1506" t="str">
        <f t="shared" si="14"/>
        <v>工程地质条件</v>
      </c>
      <c r="R37" s="714" t="s">
        <v>17</v>
      </c>
      <c r="S37" s="715">
        <f t="shared" si="10"/>
        <v>100</v>
      </c>
      <c r="T37" s="714" t="s">
        <v>17</v>
      </c>
      <c r="U37" s="715">
        <f t="shared" si="11"/>
        <v>100</v>
      </c>
      <c r="V37" s="714" t="s">
        <v>17</v>
      </c>
      <c r="W37" s="715">
        <f t="shared" si="12"/>
        <v>100</v>
      </c>
      <c r="X37" s="1509"/>
      <c r="Y37" s="3523" t="s">
        <v>2327</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523"/>
      <c r="Q38" s="1506">
        <f t="shared" si="14"/>
        <v>111</v>
      </c>
      <c r="R38" s="714" t="s">
        <v>17</v>
      </c>
      <c r="S38" s="715">
        <f t="shared" si="10"/>
        <v>100</v>
      </c>
      <c r="T38" s="714" t="s">
        <v>17</v>
      </c>
      <c r="U38" s="715">
        <f t="shared" si="11"/>
        <v>100</v>
      </c>
      <c r="V38" s="714" t="s">
        <v>17</v>
      </c>
      <c r="W38" s="715">
        <f t="shared" si="12"/>
        <v>100</v>
      </c>
      <c r="X38" s="1509"/>
      <c r="Y38" s="3523"/>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523"/>
      <c r="Q39" s="1506">
        <f t="shared" si="14"/>
        <v>111</v>
      </c>
      <c r="R39" s="714" t="s">
        <v>17</v>
      </c>
      <c r="S39" s="715">
        <f t="shared" si="10"/>
        <v>100</v>
      </c>
      <c r="T39" s="714" t="s">
        <v>17</v>
      </c>
      <c r="U39" s="715">
        <f t="shared" si="11"/>
        <v>100</v>
      </c>
      <c r="V39" s="714" t="s">
        <v>17</v>
      </c>
      <c r="W39" s="715">
        <f t="shared" si="12"/>
        <v>100</v>
      </c>
      <c r="X39" s="1509"/>
      <c r="Y39" s="3523"/>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523"/>
      <c r="Q40" s="1506">
        <f t="shared" si="14"/>
        <v>111</v>
      </c>
      <c r="R40" s="717" t="s">
        <v>17</v>
      </c>
      <c r="S40" s="718">
        <f t="shared" si="10"/>
        <v>100</v>
      </c>
      <c r="T40" s="717" t="s">
        <v>17</v>
      </c>
      <c r="U40" s="718">
        <f t="shared" si="11"/>
        <v>100</v>
      </c>
      <c r="V40" s="717" t="s">
        <v>17</v>
      </c>
      <c r="W40" s="718">
        <f t="shared" si="12"/>
        <v>100</v>
      </c>
      <c r="X40" s="719"/>
      <c r="Y40" s="3523"/>
      <c r="Z40" s="720">
        <f t="shared" si="13"/>
        <v>111</v>
      </c>
      <c r="AA40" s="1507">
        <f t="shared" si="3"/>
        <v>1</v>
      </c>
      <c r="AB40" s="1507">
        <f t="shared" si="4"/>
        <v>1</v>
      </c>
      <c r="AC40" s="1507">
        <f t="shared" si="5"/>
        <v>1</v>
      </c>
    </row>
    <row r="41" spans="1:31" ht="15">
      <c r="A41" s="438" t="s">
        <v>2482</v>
      </c>
      <c r="B41" s="2138" t="s">
        <v>2562</v>
      </c>
      <c r="C41" s="638" t="s">
        <v>1</v>
      </c>
      <c r="D41" s="440"/>
      <c r="E41" s="441"/>
      <c r="F41" s="442"/>
      <c r="G41" s="443"/>
      <c r="H41" s="444"/>
      <c r="I41" s="441"/>
      <c r="J41" s="444"/>
      <c r="K41" s="723"/>
      <c r="L41" s="2923"/>
      <c r="M41" s="2915"/>
      <c r="N41" s="2915"/>
      <c r="O41" s="2924"/>
      <c r="P41" s="3516" t="str">
        <f>A41</f>
        <v>成交单价</v>
      </c>
      <c r="Q41" s="3516"/>
      <c r="R41" s="3511">
        <f>E41</f>
        <v>0</v>
      </c>
      <c r="S41" s="3511"/>
      <c r="T41" s="3511">
        <f>G41</f>
        <v>0</v>
      </c>
      <c r="U41" s="3511"/>
      <c r="V41" s="3511">
        <f>I41</f>
        <v>0</v>
      </c>
      <c r="W41" s="3511"/>
      <c r="X41" s="699"/>
      <c r="Y41" s="721"/>
      <c r="Z41" s="699"/>
      <c r="AA41" s="699"/>
      <c r="AB41" s="699"/>
      <c r="AC41" s="699"/>
    </row>
    <row r="42" spans="1:31" ht="15.75" thickBot="1">
      <c r="A42" s="445" t="s">
        <v>2431</v>
      </c>
      <c r="B42" s="639"/>
      <c r="C42" s="448" t="e">
        <f>R43</f>
        <v>#DIV/0!</v>
      </c>
      <c r="D42" s="2508" t="s">
        <v>2822</v>
      </c>
      <c r="E42" s="448" t="e">
        <f>R42</f>
        <v>#DIV/0!</v>
      </c>
      <c r="F42" s="2509"/>
      <c r="G42" s="447" t="e">
        <f>T42</f>
        <v>#DIV/0!</v>
      </c>
      <c r="H42" s="2509"/>
      <c r="I42" s="448" t="e">
        <f>V42</f>
        <v>#DIV/0!</v>
      </c>
      <c r="J42" s="2509"/>
      <c r="K42" s="2511">
        <f>F42+H42+J42</f>
        <v>0</v>
      </c>
      <c r="L42" s="2923"/>
      <c r="M42" s="2915"/>
      <c r="N42" s="2915"/>
      <c r="O42" s="2924"/>
      <c r="P42" s="3516" t="str">
        <f>A42</f>
        <v>比较价值（元/平方米）</v>
      </c>
      <c r="Q42" s="3516"/>
      <c r="R42" s="3544" t="e">
        <f>ROUND(PRODUCT(R41,AA7:AA40),0)</f>
        <v>#DIV/0!</v>
      </c>
      <c r="S42" s="3544"/>
      <c r="T42" s="3544" t="e">
        <f>ROUND(PRODUCT(T41,AB7:AB40),0)</f>
        <v>#DIV/0!</v>
      </c>
      <c r="U42" s="3544"/>
      <c r="V42" s="3544" t="e">
        <f>ROUND(PRODUCT(V41,AC7:AC40),0)</f>
        <v>#DIV/0!</v>
      </c>
      <c r="W42" s="3544"/>
      <c r="X42" s="699"/>
      <c r="Y42" s="699"/>
      <c r="Z42" s="699"/>
      <c r="AA42" s="699"/>
      <c r="AB42" s="699"/>
      <c r="AC42" s="699"/>
    </row>
    <row r="43" spans="1:31" ht="15.75" thickBot="1">
      <c r="A43" s="449" t="s">
        <v>2432</v>
      </c>
      <c r="B43" s="450"/>
      <c r="C43" s="451" t="e">
        <f>R43</f>
        <v>#DIV/0!</v>
      </c>
      <c r="D43" s="451"/>
      <c r="E43" s="451"/>
      <c r="F43" s="451"/>
      <c r="G43" s="451"/>
      <c r="H43" s="451"/>
      <c r="I43" s="451"/>
      <c r="J43" s="451"/>
      <c r="K43" s="724"/>
      <c r="L43" s="2923"/>
      <c r="M43" s="2915"/>
      <c r="N43" s="2915"/>
      <c r="O43" s="2924"/>
      <c r="P43" s="3513" t="str">
        <f>A43</f>
        <v>估价对象XX用房的比较价值（楼面单价，元/平方米）</v>
      </c>
      <c r="Q43" s="3514"/>
      <c r="R43" s="3545" t="e">
        <f>ROUND(IF(D42="简单平均",AVERAGE(R42:W42),R42*F42+T42*H42+V42*J42),0)</f>
        <v>#DIV/0!</v>
      </c>
      <c r="S43" s="3545"/>
      <c r="T43" s="3545"/>
      <c r="U43" s="3545"/>
      <c r="V43" s="3545"/>
      <c r="W43" s="3545"/>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2520</v>
      </c>
      <c r="B50" s="641" t="s">
        <v>2521</v>
      </c>
      <c r="C50" s="2139" t="s">
        <v>2522</v>
      </c>
      <c r="D50" s="2140" t="s">
        <v>2523</v>
      </c>
      <c r="E50" s="642" t="s">
        <v>2524</v>
      </c>
      <c r="F50" s="643" t="s">
        <v>2525</v>
      </c>
      <c r="G50" s="3499" t="s">
        <v>2526</v>
      </c>
      <c r="H50" s="3546"/>
      <c r="I50" s="1510" t="s">
        <v>2563</v>
      </c>
      <c r="J50" s="1510">
        <f>项目基本情况!F35</f>
        <v>0</v>
      </c>
      <c r="K50" s="2142" t="s">
        <v>2528</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2529</v>
      </c>
      <c r="B51" s="645" t="e">
        <f>C43</f>
        <v>#DIV/0!</v>
      </c>
      <c r="C51" s="646">
        <v>1</v>
      </c>
      <c r="D51" s="1075">
        <v>1</v>
      </c>
      <c r="E51" s="646">
        <f>'数据-汇总表'!E8+'数据-汇总表'!E9</f>
        <v>0</v>
      </c>
      <c r="F51" s="647" t="e">
        <f t="shared" ref="F51:F60" si="15">ROUND(B51*E51/10000,0)</f>
        <v>#DIV/0!</v>
      </c>
      <c r="G51" s="3498"/>
      <c r="H51" s="3516"/>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2530</v>
      </c>
      <c r="B52" s="224" t="e">
        <f>ROUND($C$43*C52*D52,0)</f>
        <v>#DIV/0!</v>
      </c>
      <c r="C52" s="176">
        <f t="shared" ref="C52:C60" si="16">IF($C$50="北京市系数",I52,J52)</f>
        <v>0</v>
      </c>
      <c r="D52" s="1076">
        <v>0.25</v>
      </c>
      <c r="E52" s="650"/>
      <c r="F52" s="647" t="e">
        <f t="shared" si="15"/>
        <v>#DIV/0!</v>
      </c>
      <c r="G52" s="3547" t="s">
        <v>2531</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2532</v>
      </c>
      <c r="B53" s="224" t="e">
        <f t="shared" ref="B53:B60" si="17">ROUND($C$43*C53*D53,0)</f>
        <v>#DIV/0!</v>
      </c>
      <c r="C53" s="176">
        <f t="shared" si="16"/>
        <v>0</v>
      </c>
      <c r="D53" s="1076">
        <v>0.25</v>
      </c>
      <c r="E53" s="650"/>
      <c r="F53" s="647" t="e">
        <f t="shared" si="15"/>
        <v>#DIV/0!</v>
      </c>
      <c r="G53" s="3547"/>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2533</v>
      </c>
      <c r="B54" s="224" t="e">
        <f t="shared" si="17"/>
        <v>#DIV/0!</v>
      </c>
      <c r="C54" s="176">
        <f t="shared" si="16"/>
        <v>0</v>
      </c>
      <c r="D54" s="1076">
        <v>0.25</v>
      </c>
      <c r="E54" s="650"/>
      <c r="F54" s="647" t="e">
        <f t="shared" si="15"/>
        <v>#DIV/0!</v>
      </c>
      <c r="G54" s="3547"/>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2534</v>
      </c>
      <c r="B55" s="224" t="e">
        <f t="shared" si="17"/>
        <v>#DIV/0!</v>
      </c>
      <c r="C55" s="176">
        <f t="shared" si="16"/>
        <v>0</v>
      </c>
      <c r="D55" s="1076">
        <v>0.25</v>
      </c>
      <c r="E55" s="650"/>
      <c r="F55" s="647" t="e">
        <f t="shared" si="15"/>
        <v>#DIV/0!</v>
      </c>
      <c r="G55" s="3547"/>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2535</v>
      </c>
      <c r="B56" s="224" t="e">
        <f t="shared" si="17"/>
        <v>#DIV/0!</v>
      </c>
      <c r="C56" s="176">
        <f t="shared" si="16"/>
        <v>0</v>
      </c>
      <c r="D56" s="1076">
        <v>0.25</v>
      </c>
      <c r="E56" s="223">
        <f>'数据-汇总表'!E11</f>
        <v>0</v>
      </c>
      <c r="F56" s="647" t="e">
        <f t="shared" si="15"/>
        <v>#DIV/0!</v>
      </c>
      <c r="G56" s="2143" t="s">
        <v>2536</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2537</v>
      </c>
      <c r="B57" s="224" t="e">
        <f t="shared" si="17"/>
        <v>#DIV/0!</v>
      </c>
      <c r="C57" s="176">
        <f t="shared" si="16"/>
        <v>0</v>
      </c>
      <c r="D57" s="1076">
        <v>0.25</v>
      </c>
      <c r="E57" s="223">
        <f>'数据-汇总表'!E12</f>
        <v>0</v>
      </c>
      <c r="F57" s="647" t="e">
        <f t="shared" si="15"/>
        <v>#DIV/0!</v>
      </c>
      <c r="G57" s="1023" t="s">
        <v>2538</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2539</v>
      </c>
      <c r="B58" s="224" t="e">
        <f t="shared" si="17"/>
        <v>#DIV/0!</v>
      </c>
      <c r="C58" s="176">
        <f t="shared" si="16"/>
        <v>0</v>
      </c>
      <c r="D58" s="1076">
        <v>0.25</v>
      </c>
      <c r="E58" s="223">
        <f>'数据-汇总表'!E13</f>
        <v>0</v>
      </c>
      <c r="F58" s="647" t="e">
        <f t="shared" si="15"/>
        <v>#DIV/0!</v>
      </c>
      <c r="G58" s="1023" t="s">
        <v>2540</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2541</v>
      </c>
      <c r="B59" s="224" t="e">
        <f t="shared" si="17"/>
        <v>#DIV/0!</v>
      </c>
      <c r="C59" s="176">
        <f t="shared" si="16"/>
        <v>0</v>
      </c>
      <c r="D59" s="1076">
        <v>0.25</v>
      </c>
      <c r="E59" s="223">
        <f>'数据-汇总表'!E14</f>
        <v>0</v>
      </c>
      <c r="F59" s="647" t="e">
        <f t="shared" si="15"/>
        <v>#DIV/0!</v>
      </c>
      <c r="G59" s="2143" t="s">
        <v>2531</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2542</v>
      </c>
      <c r="B60" s="224" t="e">
        <f t="shared" si="17"/>
        <v>#DIV/0!</v>
      </c>
      <c r="C60" s="176">
        <f t="shared" si="16"/>
        <v>0</v>
      </c>
      <c r="D60" s="1076">
        <v>0.25</v>
      </c>
      <c r="E60" s="223">
        <f>'数据-汇总表'!E15</f>
        <v>0</v>
      </c>
      <c r="F60" s="647" t="e">
        <f t="shared" si="15"/>
        <v>#DIV/0!</v>
      </c>
      <c r="G60" s="2144" t="s">
        <v>2536</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2543</v>
      </c>
      <c r="B61" s="652" t="s">
        <v>28</v>
      </c>
      <c r="C61" s="652" t="s">
        <v>29</v>
      </c>
      <c r="D61" s="652" t="s">
        <v>997</v>
      </c>
      <c r="E61" s="652" t="e">
        <f>IF(B41="楼面地价",SUM(E51:E60),'数据-汇总表'!D3)</f>
        <v>#DIV/0!</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1900-1-1</v>
      </c>
      <c r="D63" s="701" t="e">
        <f>EDATE(C63,-3)</f>
        <v>#NUM!</v>
      </c>
      <c r="E63" s="701" t="e">
        <f>EDATE(D63,-3)</f>
        <v>#NUM!</v>
      </c>
      <c r="F63" s="701" t="e">
        <f t="shared" ref="F63:O63" si="18">EDATE(E63,-3)</f>
        <v>#NUM!</v>
      </c>
      <c r="G63" s="701" t="e">
        <f t="shared" si="18"/>
        <v>#NUM!</v>
      </c>
      <c r="H63" s="701" t="e">
        <f t="shared" si="18"/>
        <v>#NUM!</v>
      </c>
      <c r="I63" s="701" t="e">
        <f t="shared" si="18"/>
        <v>#NUM!</v>
      </c>
      <c r="J63" s="701" t="e">
        <f t="shared" si="18"/>
        <v>#NUM!</v>
      </c>
      <c r="K63" s="701" t="e">
        <f t="shared" si="18"/>
        <v>#NUM!</v>
      </c>
      <c r="L63" s="701" t="e">
        <f t="shared" si="18"/>
        <v>#NUM!</v>
      </c>
      <c r="M63" s="701" t="e">
        <f t="shared" si="18"/>
        <v>#NUM!</v>
      </c>
      <c r="N63" s="701" t="e">
        <f t="shared" si="18"/>
        <v>#NUM!</v>
      </c>
      <c r="O63" s="701" t="e">
        <f t="shared" si="18"/>
        <v>#NUM!</v>
      </c>
      <c r="P63" s="2924"/>
      <c r="Q63" s="2924"/>
      <c r="R63" s="2924"/>
      <c r="S63" s="2924"/>
      <c r="T63" s="2924"/>
      <c r="U63" s="2924"/>
      <c r="V63" s="2924"/>
      <c r="W63" s="2924"/>
      <c r="X63" s="2924"/>
      <c r="Y63" s="2924"/>
      <c r="Z63" s="2924"/>
      <c r="AA63" s="2924"/>
      <c r="AB63" s="2924"/>
      <c r="AC63" s="2924"/>
      <c r="AD63" s="2924"/>
      <c r="AE63" s="2924"/>
    </row>
    <row r="64" spans="1:31" ht="21.75" thickBot="1">
      <c r="A64" s="703" t="s">
        <v>2436</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2544</v>
      </c>
      <c r="B65" s="1241"/>
      <c r="C65" s="1316" t="str">
        <f>YEAR(C63)&amp;"-"&amp;ROUNDUP(MONTH(C63)/3,0)</f>
        <v>1900-1</v>
      </c>
      <c r="D65" s="1316" t="e">
        <f t="shared" ref="D65:O65" si="19">YEAR(D63)&amp;"-"&amp;ROUNDUP(MONTH(D63)/3,0)</f>
        <v>#NUM!</v>
      </c>
      <c r="E65" s="1316" t="e">
        <f t="shared" si="19"/>
        <v>#NUM!</v>
      </c>
      <c r="F65" s="1316" t="e">
        <f t="shared" si="19"/>
        <v>#NUM!</v>
      </c>
      <c r="G65" s="1316" t="e">
        <f t="shared" si="19"/>
        <v>#NUM!</v>
      </c>
      <c r="H65" s="1316" t="e">
        <f t="shared" si="19"/>
        <v>#NUM!</v>
      </c>
      <c r="I65" s="1316" t="e">
        <f t="shared" si="19"/>
        <v>#NUM!</v>
      </c>
      <c r="J65" s="1316" t="e">
        <f t="shared" si="19"/>
        <v>#NUM!</v>
      </c>
      <c r="K65" s="1316" t="e">
        <f t="shared" si="19"/>
        <v>#NUM!</v>
      </c>
      <c r="L65" s="1316" t="e">
        <f t="shared" si="19"/>
        <v>#NUM!</v>
      </c>
      <c r="M65" s="1316" t="e">
        <f t="shared" si="19"/>
        <v>#NUM!</v>
      </c>
      <c r="N65" s="1316" t="e">
        <f t="shared" si="19"/>
        <v>#NUM!</v>
      </c>
      <c r="O65" s="1316" t="e">
        <f t="shared" si="19"/>
        <v>#NUM!</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2564</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2347</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2312</v>
      </c>
      <c r="B68" s="467"/>
      <c r="C68" s="479" t="s">
        <v>2414</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2350</v>
      </c>
      <c r="B70" s="485" t="s">
        <v>2316</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2319</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2320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2321</v>
      </c>
      <c r="B83" s="485" t="s">
        <v>2467</v>
      </c>
      <c r="C83" s="530" t="s">
        <v>2359</v>
      </c>
      <c r="D83" s="530" t="s">
        <v>2360</v>
      </c>
      <c r="E83" s="530" t="s">
        <v>2361</v>
      </c>
      <c r="F83" s="530" t="s">
        <v>2362</v>
      </c>
      <c r="G83" s="530" t="s">
        <v>2363</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2364</v>
      </c>
      <c r="C85" s="535" t="s">
        <v>2359</v>
      </c>
      <c r="D85" s="535" t="s">
        <v>2360</v>
      </c>
      <c r="E85" s="535" t="s">
        <v>2361</v>
      </c>
      <c r="F85" s="535" t="s">
        <v>2362</v>
      </c>
      <c r="G85" s="535" t="s">
        <v>2363</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2547</v>
      </c>
      <c r="C87" s="530" t="s">
        <v>2359</v>
      </c>
      <c r="D87" s="530" t="s">
        <v>2360</v>
      </c>
      <c r="E87" s="530" t="s">
        <v>2361</v>
      </c>
      <c r="F87" s="530" t="s">
        <v>2362</v>
      </c>
      <c r="G87" s="530" t="s">
        <v>2363</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2548</v>
      </c>
      <c r="C89" s="530" t="s">
        <v>2359</v>
      </c>
      <c r="D89" s="530" t="s">
        <v>2360</v>
      </c>
      <c r="E89" s="530" t="s">
        <v>2361</v>
      </c>
      <c r="F89" s="530" t="s">
        <v>2362</v>
      </c>
      <c r="G89" s="530" t="s">
        <v>2363</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2416</v>
      </c>
      <c r="C91" s="530" t="s">
        <v>2359</v>
      </c>
      <c r="D91" s="530" t="s">
        <v>2360</v>
      </c>
      <c r="E91" s="530" t="s">
        <v>2361</v>
      </c>
      <c r="F91" s="530" t="s">
        <v>2362</v>
      </c>
      <c r="G91" s="530" t="s">
        <v>2363</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2565</v>
      </c>
      <c r="C93" s="616" t="s">
        <v>2437</v>
      </c>
      <c r="D93" s="616" t="s">
        <v>2438</v>
      </c>
      <c r="E93" s="616" t="s">
        <v>2439</v>
      </c>
      <c r="F93" s="616" t="s">
        <v>2440</v>
      </c>
      <c r="G93" s="616" t="s">
        <v>2441</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2549</v>
      </c>
      <c r="D95" s="496" t="s">
        <v>2550</v>
      </c>
      <c r="E95" s="496" t="s">
        <v>2551</v>
      </c>
      <c r="F95" s="496" t="s">
        <v>2552</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2453</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2512</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2325</v>
      </c>
      <c r="B107" s="485" t="s">
        <v>2553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2554</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2556</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2557</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2566</v>
      </c>
      <c r="B1" s="203"/>
      <c r="C1" s="207" t="s">
        <v>2567</v>
      </c>
      <c r="D1" s="348">
        <f>SUM(D29:D30,D33:D39)</f>
        <v>0</v>
      </c>
      <c r="E1" s="2151"/>
      <c r="F1" s="2151"/>
      <c r="G1" s="2151"/>
      <c r="H1" s="2151"/>
      <c r="I1" s="2151"/>
      <c r="J1" s="2151"/>
      <c r="K1" s="1252"/>
      <c r="L1" s="2152" t="s">
        <v>2568</v>
      </c>
      <c r="M1" s="994">
        <f>SUMPRODUCT((区片价!B5:B9=I2)*(区片价!C3:F3=E2)*(区片价!C5:F9))</f>
        <v>0</v>
      </c>
      <c r="N1" s="997">
        <f>SUMPRODUCT((因素修正幅度!B5:B9=I2)*(因素修正幅度!C3:F3=E2)*(因素修正幅度!C5:F9))</f>
        <v>0</v>
      </c>
      <c r="O1" s="2153"/>
      <c r="P1" s="2153"/>
      <c r="Q1" s="1252"/>
      <c r="R1" s="1346" t="s">
        <v>2569</v>
      </c>
      <c r="S1" s="1346" t="s">
        <v>2570</v>
      </c>
      <c r="T1" s="1346" t="s">
        <v>2571</v>
      </c>
      <c r="U1" s="1346" t="s">
        <v>2572</v>
      </c>
      <c r="V1" s="1346" t="s">
        <v>2573</v>
      </c>
      <c r="W1" s="1350"/>
      <c r="X1" s="1350"/>
      <c r="Y1" s="1350"/>
      <c r="Z1" s="1350"/>
      <c r="AA1" s="1350"/>
      <c r="AB1" s="1350"/>
      <c r="AC1" s="1351"/>
      <c r="AD1" s="1352"/>
      <c r="AE1" s="1352"/>
      <c r="AF1" s="1352"/>
      <c r="AG1" s="1352"/>
      <c r="AH1" s="1352"/>
      <c r="AI1" s="1352"/>
      <c r="AJ1" s="1353"/>
    </row>
    <row r="2" spans="1:36" ht="15.75">
      <c r="A2" s="207" t="s">
        <v>2574</v>
      </c>
      <c r="B2" s="210" t="e">
        <f>C26</f>
        <v>#DIV/0!</v>
      </c>
      <c r="C2" s="2155" t="s">
        <v>2575</v>
      </c>
      <c r="D2" s="2156" t="s">
        <v>2576</v>
      </c>
      <c r="E2" s="2157"/>
      <c r="F2" s="2156" t="s">
        <v>2577</v>
      </c>
      <c r="G2" s="2158">
        <f>IF(E2="商业",项目基本情况!B37,IF(E2="办公",项目基本情况!C37,IF(E2="住宅",项目基本情况!D37,项目基本情况!E37)))</f>
        <v>0</v>
      </c>
      <c r="H2" s="2156" t="s">
        <v>2578</v>
      </c>
      <c r="I2" s="2158">
        <f>IF(E2="商业",项目基本情况!B38,IF(E2="办公",项目基本情况!C38,IF(E2="住宅",项目基本情况!D38,项目基本情况!E38)))</f>
        <v>0</v>
      </c>
      <c r="J2" s="2159"/>
      <c r="K2" s="1252"/>
      <c r="L2" s="2160" t="s">
        <v>2579</v>
      </c>
      <c r="M2" s="995">
        <f>SUMPRODUCT((区片价!B10:B28=I2)*(区片价!C3:F3=E2)*(区片价!C10:F28))</f>
        <v>0</v>
      </c>
      <c r="N2" s="997">
        <f>SUMPRODUCT((因素修正幅度!B10:B28=I2)*(因素修正幅度!C3:F3=E2)*(因素修正幅度!C10:F28))</f>
        <v>0</v>
      </c>
      <c r="O2" s="1252"/>
      <c r="P2" s="1252"/>
      <c r="Q2" s="1252"/>
      <c r="R2" s="1346">
        <v>1</v>
      </c>
      <c r="S2" s="1346" t="e">
        <f>ROUND(IF(G3&gt;1,IF(R2&lt;7,SUMPRODUCT((B93:B98=R2)*(C92:N92=G2)*(C93:N98)),SUMIF(C92:N92,G2,C100:N100)),IF(R2&lt;7,SUMPRODUCT((B102:B107=R2)*(C92:N92=G2)*(C102:N107)),SUMIF(C92:N92,G2,C109:N109))),4)</f>
        <v>#DIV/0!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2580</v>
      </c>
      <c r="B3" s="210" t="e">
        <f>ROUND(B2*10000/D1,0)</f>
        <v>#DIV/0!</v>
      </c>
      <c r="C3" s="2155" t="s">
        <v>2581</v>
      </c>
      <c r="D3" s="2156" t="s">
        <v>2582</v>
      </c>
      <c r="E3" s="2161"/>
      <c r="F3" s="2162" t="s">
        <v>2583</v>
      </c>
      <c r="G3" s="855" t="e">
        <f>IF(F3="宗地容积率",'数据-汇总表'!I4,IF(F3="估价对象容积率",'数据-汇总表'!I6,'数据-汇总表'!I7))</f>
        <v>#DIV/0!</v>
      </c>
      <c r="H3" s="175" t="s">
        <v>2584</v>
      </c>
      <c r="I3" s="881"/>
      <c r="J3" s="2159" t="s">
        <v>2585</v>
      </c>
      <c r="K3" s="1252"/>
      <c r="L3" s="2160" t="s">
        <v>2586</v>
      </c>
      <c r="M3" s="995">
        <f>SUMPRODUCT((区片价!B29:B48=I2)*(区片价!C3:F3=E2)*(区片价!C29:F48))</f>
        <v>0</v>
      </c>
      <c r="N3" s="997">
        <f>SUMPRODUCT((因素修正幅度!B29:B48=I2)*(因素修正幅度!C3:F3=E2)*(因素修正幅度!C29:F48))</f>
        <v>0</v>
      </c>
      <c r="O3" s="1252"/>
      <c r="P3" s="1252"/>
      <c r="Q3" s="1252"/>
      <c r="R3" s="1346">
        <v>2</v>
      </c>
      <c r="S3" s="1346" t="e">
        <f>ROUND(IF(G3&gt;1,IF(R3&lt;7,SUMPRODUCT((B93:B98=R3)*(C92:N92=G2)*(C93:N98)),SUMIF(C92:N92,G2,C100:N100)),IF(R3&lt;7,SUMPRODUCT((B102:B107=R3)*(C92:N92=G2)*(C102:N107)),SUMIF(C92:N92,G2,C109:N109))),4)</f>
        <v>#DIV/0!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71"/>
      <c r="B4" s="3572"/>
      <c r="C4" s="3572"/>
      <c r="D4" s="3573"/>
      <c r="E4" s="3573"/>
      <c r="F4" s="3573"/>
      <c r="G4" s="3573"/>
      <c r="H4" s="3573"/>
      <c r="I4" s="3573"/>
      <c r="J4" s="3574"/>
      <c r="K4" s="1252"/>
      <c r="L4" s="2160" t="s">
        <v>2587</v>
      </c>
      <c r="M4" s="995">
        <f>SUMPRODUCT((区片价!B49:B75=I2)*(区片价!C3:F3=E2)*(区片价!C49:F75))</f>
        <v>0</v>
      </c>
      <c r="N4" s="997">
        <f>SUMPRODUCT((因素修正幅度!B49:B75=I2)*(因素修正幅度!C3:F3=E2)*(因素修正幅度!C49:F75))</f>
        <v>0</v>
      </c>
      <c r="O4" s="1252"/>
      <c r="P4" s="1252"/>
      <c r="Q4" s="1252"/>
      <c r="R4" s="1346">
        <v>3</v>
      </c>
      <c r="S4" s="1346" t="e">
        <f>ROUND(IF(G3&gt;1,IF(R4&lt;7,SUMPRODUCT((B93:B98=R4)*(C92:N92=G2)*(C93:N98)),SUMIF(C92:N92,G2,C100:N100)),IF(R4&lt;7,SUMPRODUCT((B102:B107=R4)*(C92:N92=G2)*(C102:N107)),SUMIF(C92:N92,G2,C109:N109))),4)</f>
        <v>#DIV/0!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2588</v>
      </c>
      <c r="C5" s="856" t="e">
        <f>ROUND(IF(E2="商业",C6*C7+C16,(IF(E2="住宅",C6*C12+C16,C6+C16))),0)</f>
        <v>#DIV/0!</v>
      </c>
      <c r="D5" s="1493" t="e">
        <f>ROUND(C6+C16,0)</f>
        <v>#DIV/0!</v>
      </c>
      <c r="E5" s="1493"/>
      <c r="F5" s="2165"/>
      <c r="G5" s="2166"/>
      <c r="H5" s="2166"/>
      <c r="I5" s="2166"/>
      <c r="J5" s="2167"/>
      <c r="K5" s="2168"/>
      <c r="L5" s="2160" t="s">
        <v>2589</v>
      </c>
      <c r="M5" s="995">
        <f>SUMPRODUCT((区片价!B76:B109=I2)*(区片价!C3:F3=E2)*(区片价!C76:F109))</f>
        <v>0</v>
      </c>
      <c r="N5" s="997">
        <f>SUMPRODUCT((因素修正幅度!B76:B109=I2)*(因素修正幅度!C3:F3=E2)*(因素修正幅度!C76:F109))</f>
        <v>0</v>
      </c>
      <c r="O5" s="1252"/>
      <c r="P5" s="1252"/>
      <c r="Q5" s="1252"/>
      <c r="R5" s="1346">
        <v>4</v>
      </c>
      <c r="S5" s="1346" t="e">
        <f>ROUND(IF(G3&gt;1,IF(R5&lt;7,SUMPRODUCT((B93:B98=R5)*(C92:N92=G2)*(C93:N98)),SUMIF(C92:N92,G2,C100:N100)),IF(R5&lt;7,SUMPRODUCT((B102:B107=R5)*(C92:N92=G2)*(C102:N107)),SUMIF(C92:N92,G2,C109:N109))),4)</f>
        <v>#DIV/0!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2590</v>
      </c>
      <c r="B6" s="2174" t="s">
        <v>2591</v>
      </c>
      <c r="C6" s="857">
        <f>SUMIF(L1:L12,G2,M1:M12)</f>
        <v>0</v>
      </c>
      <c r="D6" s="2175" t="s">
        <v>2592</v>
      </c>
      <c r="E6" s="2176"/>
      <c r="F6" s="2176"/>
      <c r="G6" s="2177"/>
      <c r="H6" s="2177"/>
      <c r="I6" s="2177"/>
      <c r="J6" s="2178"/>
      <c r="K6" s="1538"/>
      <c r="L6" s="2160" t="s">
        <v>2593</v>
      </c>
      <c r="M6" s="995">
        <f>SUMPRODUCT((区片价!B110:B157=I2)*(区片价!C3:F3=E2)*(区片价!C110:F157))</f>
        <v>0</v>
      </c>
      <c r="N6" s="997">
        <f>SUMPRODUCT((因素修正幅度!B110:B157=I2)*(因素修正幅度!C3:F3=E2)*(因素修正幅度!C110:F157))</f>
        <v>0</v>
      </c>
      <c r="O6" s="1252"/>
      <c r="P6" s="1252"/>
      <c r="Q6" s="1252"/>
      <c r="R6" s="1346">
        <v>5</v>
      </c>
      <c r="S6" s="1346" t="e">
        <f>ROUND(IF(G3&gt;1,IF(R6&lt;7,SUMPRODUCT((B93:B98=R6)*(C92:N92=G2)*(C93:N98)),SUMIF(C92:N92,G2,C100:N100)),IF(R6&lt;7,SUMPRODUCT((B102:B107=R6)*(C92:N92=G2)*(C102:N107)),SUMIF(C92:N92,G2,C109:N109))),4)</f>
        <v>#DIV/0!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52" t="str">
        <f>IF(E2="商业",IF(C8="不临58条商业街","",2),"")</f>
        <v/>
      </c>
      <c r="B7" s="2179" t="s">
        <v>2594</v>
      </c>
      <c r="C7" s="858" t="e">
        <f>IF(C8="不临58条商业街",1,ROUND(1+(1.6*E8+1.2*E9+0.8*E10+0.4*E11)*C9,4))</f>
        <v>#DIV/0!</v>
      </c>
      <c r="D7" s="2180" t="s">
        <v>2595</v>
      </c>
      <c r="E7" s="882"/>
      <c r="F7" s="2181"/>
      <c r="G7" s="2182"/>
      <c r="H7" s="2182"/>
      <c r="I7" s="2182"/>
      <c r="J7" s="2183"/>
      <c r="K7" s="1538"/>
      <c r="L7" s="2160" t="s">
        <v>2596</v>
      </c>
      <c r="M7" s="995">
        <f>SUMPRODUCT((区片价!B158:B205=I2)*(区片价!C3:F3=E2)*(区片价!C158:F205))</f>
        <v>0</v>
      </c>
      <c r="N7" s="997">
        <f>SUMPRODUCT((因素修正幅度!B158:B205=I2)*(因素修正幅度!C3:F3=E2)*(因素修正幅度!C158:F205))</f>
        <v>0</v>
      </c>
      <c r="O7" s="1252"/>
      <c r="P7" s="1252"/>
      <c r="Q7" s="1252"/>
      <c r="R7" s="1346">
        <v>6</v>
      </c>
      <c r="S7" s="1346" t="e">
        <f>ROUND(IF(G3&gt;1,IF(R7&lt;7,SUMPRODUCT((B93:B98=R7)*(C92:N92=G2)*(C93:N98)),SUMIF(C92:N92,G2,C100:N100)),IF(R7&lt;7,SUMPRODUCT((B102:B107=R7)*(C92:N92=G2)*(C102:N107)),SUMIF(C92:N92,G2,C109:N109))),4)</f>
        <v>#DIV/0!</v>
      </c>
      <c r="T7" s="1346" t="e">
        <f t="shared" si="0"/>
        <v>#DIV/0!</v>
      </c>
      <c r="U7" s="1347"/>
      <c r="V7" s="1346" t="e">
        <f t="shared" si="1"/>
        <v>#DIV/0!</v>
      </c>
      <c r="W7" s="1512" t="s">
        <v>2597</v>
      </c>
      <c r="X7" s="1348">
        <f>G2</f>
        <v>0</v>
      </c>
      <c r="Y7" s="1348" t="s">
        <v>2598</v>
      </c>
      <c r="Z7" s="1349" t="e">
        <f>G3</f>
        <v>#DIV/0!</v>
      </c>
      <c r="AA7" s="1350"/>
      <c r="AB7" s="1350"/>
      <c r="AC7" s="1351"/>
      <c r="AD7" s="1352"/>
      <c r="AE7" s="1352"/>
      <c r="AF7" s="1352"/>
      <c r="AG7" s="1352"/>
      <c r="AH7" s="1352"/>
      <c r="AI7" s="1352"/>
      <c r="AJ7" s="1353"/>
    </row>
    <row r="8" spans="1:36" ht="15">
      <c r="A8" s="3575"/>
      <c r="B8" s="175" t="s">
        <v>2599</v>
      </c>
      <c r="C8" s="2184"/>
      <c r="D8" s="859" t="s">
        <v>139</v>
      </c>
      <c r="E8" s="860" t="e">
        <f>ROUND(C11/E7,4)</f>
        <v>#DIV/0!</v>
      </c>
      <c r="F8" s="2185" t="s">
        <v>2600</v>
      </c>
      <c r="G8" s="2186"/>
      <c r="H8" s="2186"/>
      <c r="I8" s="2186"/>
      <c r="J8" s="2187"/>
      <c r="K8" s="1252"/>
      <c r="L8" s="2160" t="s">
        <v>2601</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68" t="s">
        <v>2602</v>
      </c>
      <c r="X8" s="3569"/>
      <c r="Y8" s="1354" t="s">
        <v>2603</v>
      </c>
      <c r="Z8" s="1354" t="s">
        <v>2604</v>
      </c>
      <c r="AA8" s="1354" t="s">
        <v>2605</v>
      </c>
      <c r="AB8" s="1354" t="s">
        <v>2606</v>
      </c>
      <c r="AC8" s="1354" t="s">
        <v>2607</v>
      </c>
      <c r="AD8" s="1354" t="s">
        <v>2608</v>
      </c>
      <c r="AE8" s="1354" t="s">
        <v>2609</v>
      </c>
      <c r="AF8" s="1354" t="s">
        <v>2610</v>
      </c>
      <c r="AG8" s="1354" t="s">
        <v>2611</v>
      </c>
      <c r="AH8" s="1354" t="s">
        <v>2612</v>
      </c>
      <c r="AI8" s="1354" t="s">
        <v>2613</v>
      </c>
      <c r="AJ8" s="1354" t="s">
        <v>2614</v>
      </c>
    </row>
    <row r="9" spans="1:36" ht="15">
      <c r="A9" s="3575"/>
      <c r="B9" s="175" t="s">
        <v>2615</v>
      </c>
      <c r="C9" s="861">
        <f>SUMIF(修正!C59:C119,C8,修正!E59:E119)</f>
        <v>0</v>
      </c>
      <c r="D9" s="176" t="s">
        <v>140</v>
      </c>
      <c r="E9" s="176" t="e">
        <f>ROUND(C11/E7,4)</f>
        <v>#DIV/0!</v>
      </c>
      <c r="F9" s="2185" t="s">
        <v>2616</v>
      </c>
      <c r="G9" s="2186"/>
      <c r="H9" s="2186"/>
      <c r="I9" s="2186"/>
      <c r="J9" s="2187"/>
      <c r="K9" s="1252"/>
      <c r="L9" s="2160" t="s">
        <v>2617</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70" t="s">
        <v>2618</v>
      </c>
      <c r="X9" s="1355" t="s">
        <v>2619</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75"/>
      <c r="B10" s="175" t="s">
        <v>2620</v>
      </c>
      <c r="C10" s="176">
        <f>SUMIF(修正!C59:C119,C8,修正!F59:F119)</f>
        <v>0</v>
      </c>
      <c r="D10" s="176" t="s">
        <v>141</v>
      </c>
      <c r="E10" s="176" t="e">
        <f>ROUND(C11/E7,4)</f>
        <v>#DIV/0!</v>
      </c>
      <c r="F10" s="2185" t="s">
        <v>2621</v>
      </c>
      <c r="G10" s="2186"/>
      <c r="H10" s="2186"/>
      <c r="I10" s="2186"/>
      <c r="J10" s="2187"/>
      <c r="K10" s="1252"/>
      <c r="L10" s="2160" t="s">
        <v>2622</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70"/>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75"/>
      <c r="B11" s="2188" t="s">
        <v>2623</v>
      </c>
      <c r="C11" s="862">
        <f>C10/4</f>
        <v>0</v>
      </c>
      <c r="D11" s="862" t="s">
        <v>142</v>
      </c>
      <c r="E11" s="862" t="e">
        <f>ROUND(C11/E7,4)</f>
        <v>#DIV/0!</v>
      </c>
      <c r="F11" s="2189" t="s">
        <v>2624</v>
      </c>
      <c r="G11" s="2190"/>
      <c r="H11" s="2190"/>
      <c r="I11" s="2190"/>
      <c r="J11" s="2191"/>
      <c r="K11" s="1252"/>
      <c r="L11" s="2160" t="s">
        <v>2625</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70" t="s">
        <v>2626</v>
      </c>
      <c r="X11" s="1358" t="s">
        <v>2627</v>
      </c>
      <c r="Y11" s="1359" t="e">
        <f>$G$3</f>
        <v>#DIV/0!</v>
      </c>
      <c r="Z11" s="1359" t="e">
        <f t="shared" ref="Z11:AJ11" si="3">$G$3</f>
        <v>#DIV/0!</v>
      </c>
      <c r="AA11" s="1359" t="e">
        <f t="shared" si="3"/>
        <v>#DIV/0!</v>
      </c>
      <c r="AB11" s="1359" t="e">
        <f t="shared" si="3"/>
        <v>#DIV/0!</v>
      </c>
      <c r="AC11" s="1359" t="e">
        <f t="shared" si="3"/>
        <v>#DIV/0!</v>
      </c>
      <c r="AD11" s="1359" t="e">
        <f t="shared" si="3"/>
        <v>#DIV/0!</v>
      </c>
      <c r="AE11" s="1359" t="e">
        <f t="shared" si="3"/>
        <v>#DIV/0!</v>
      </c>
      <c r="AF11" s="1359" t="e">
        <f t="shared" si="3"/>
        <v>#DIV/0!</v>
      </c>
      <c r="AG11" s="1359" t="e">
        <f t="shared" si="3"/>
        <v>#DIV/0!</v>
      </c>
      <c r="AH11" s="1359" t="e">
        <f t="shared" si="3"/>
        <v>#DIV/0!</v>
      </c>
      <c r="AI11" s="1359" t="e">
        <f t="shared" si="3"/>
        <v>#DIV/0!</v>
      </c>
      <c r="AJ11" s="1359" t="e">
        <f t="shared" si="3"/>
        <v>#DIV/0!</v>
      </c>
    </row>
    <row r="12" spans="1:36" ht="25.5" thickBot="1">
      <c r="A12" s="3552" t="s">
        <v>2628</v>
      </c>
      <c r="B12" s="2192" t="s">
        <v>2629</v>
      </c>
      <c r="C12" s="858">
        <f>ROUND(C15*D15*E15*F15*G15*H15*I15*J15,4)</f>
        <v>1</v>
      </c>
      <c r="D12" s="2193" t="s">
        <v>2630</v>
      </c>
      <c r="E12" s="2194"/>
      <c r="F12" s="2194"/>
      <c r="G12" s="2195"/>
      <c r="H12" s="2195"/>
      <c r="I12" s="2195"/>
      <c r="J12" s="2196"/>
      <c r="K12" s="1252"/>
      <c r="L12" s="2197" t="s">
        <v>2631</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70"/>
      <c r="X12" s="1360" t="s">
        <v>2632</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76"/>
      <c r="B13" s="2198" t="s">
        <v>2633</v>
      </c>
      <c r="C13" s="2199" t="s">
        <v>2634</v>
      </c>
      <c r="D13" s="1504" t="s">
        <v>2635</v>
      </c>
      <c r="E13" s="1504" t="s">
        <v>2636</v>
      </c>
      <c r="F13" s="30" t="s">
        <v>2637</v>
      </c>
      <c r="G13" s="2200" t="s">
        <v>2638</v>
      </c>
      <c r="H13" s="2200" t="s">
        <v>2638</v>
      </c>
      <c r="I13" s="2200" t="s">
        <v>2638</v>
      </c>
      <c r="J13" s="2201" t="s">
        <v>2638</v>
      </c>
      <c r="K13" s="1252"/>
      <c r="L13" s="1252"/>
      <c r="M13" s="1252"/>
      <c r="N13" s="1252"/>
      <c r="O13" s="1252"/>
      <c r="P13" s="1252"/>
      <c r="Q13" s="1252"/>
      <c r="R13" s="1346">
        <v>12</v>
      </c>
      <c r="S13" s="1347"/>
      <c r="T13" s="1346" t="e">
        <f t="shared" si="0"/>
        <v>#DIV/0!</v>
      </c>
      <c r="U13" s="1347"/>
      <c r="V13" s="1346" t="e">
        <f t="shared" si="1"/>
        <v>#DIV/0!</v>
      </c>
      <c r="W13" s="3570"/>
      <c r="X13" s="1360"/>
      <c r="Y13" s="1357" t="e">
        <f>(-0.163*(Y12^2)-0.59*Y12+7617)*(10^(-4))/Y11</f>
        <v>#DIV/0!</v>
      </c>
      <c r="Z13" s="1357" t="e">
        <f t="shared" ref="Z13:AJ13" si="5">(-0.163*(Z12^2)-0.59*Z12+7617)*(10^(-4))/Z11</f>
        <v>#DIV/0!</v>
      </c>
      <c r="AA13" s="1357" t="e">
        <f t="shared" si="5"/>
        <v>#DIV/0!</v>
      </c>
      <c r="AB13" s="1357" t="e">
        <f t="shared" si="5"/>
        <v>#DIV/0!</v>
      </c>
      <c r="AC13" s="1357" t="e">
        <f t="shared" si="5"/>
        <v>#DIV/0!</v>
      </c>
      <c r="AD13" s="1357" t="e">
        <f t="shared" si="5"/>
        <v>#DIV/0!</v>
      </c>
      <c r="AE13" s="1357" t="e">
        <f t="shared" si="5"/>
        <v>#DIV/0!</v>
      </c>
      <c r="AF13" s="1357" t="e">
        <f t="shared" si="5"/>
        <v>#DIV/0!</v>
      </c>
      <c r="AG13" s="1357" t="e">
        <f t="shared" si="5"/>
        <v>#DIV/0!</v>
      </c>
      <c r="AH13" s="1357" t="e">
        <f t="shared" si="5"/>
        <v>#DIV/0!</v>
      </c>
      <c r="AI13" s="1357" t="e">
        <f t="shared" si="5"/>
        <v>#DIV/0!</v>
      </c>
      <c r="AJ13" s="1357" t="e">
        <f t="shared" si="5"/>
        <v>#DIV/0!</v>
      </c>
    </row>
    <row r="14" spans="1:36" ht="15">
      <c r="A14" s="3576"/>
      <c r="B14" s="2202"/>
      <c r="C14" s="2203"/>
      <c r="D14" s="2204"/>
      <c r="E14" s="2204"/>
      <c r="F14" s="2205"/>
      <c r="G14" s="2206" t="s">
        <v>2639</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90"/>
      <c r="AE14" s="2990"/>
      <c r="AF14" s="2990"/>
      <c r="AG14" s="2990"/>
      <c r="AH14" s="2990"/>
      <c r="AI14" s="2990"/>
      <c r="AJ14" s="2991"/>
    </row>
    <row r="15" spans="1:36" ht="15.75" thickBot="1">
      <c r="A15" s="3577"/>
      <c r="B15" s="2210" t="s">
        <v>2640</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90"/>
      <c r="AE15" s="2990"/>
      <c r="AF15" s="2990"/>
      <c r="AG15" s="2990"/>
      <c r="AH15" s="2990"/>
      <c r="AI15" s="2990"/>
      <c r="AJ15" s="2991"/>
    </row>
    <row r="16" spans="1:36" ht="24.6" customHeight="1">
      <c r="A16" s="3552" t="s">
        <v>2645</v>
      </c>
      <c r="B16" s="2179" t="s">
        <v>2646</v>
      </c>
      <c r="C16" s="2341" t="e">
        <f>ROUND(IF(F17="与级别开发程度一致",0,(G17-E17)/C17),0)</f>
        <v>#DIV/0!</v>
      </c>
      <c r="D16" s="3565" t="s">
        <v>2650</v>
      </c>
      <c r="E16" s="3566"/>
      <c r="F16" s="3565" t="s">
        <v>2647</v>
      </c>
      <c r="G16" s="3566"/>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90"/>
      <c r="AE16" s="2990"/>
      <c r="AF16" s="2990"/>
      <c r="AG16" s="2990"/>
      <c r="AH16" s="2990"/>
      <c r="AI16" s="2990"/>
      <c r="AJ16" s="2991"/>
    </row>
    <row r="17" spans="1:37" ht="13.5" thickBot="1">
      <c r="A17" s="3553"/>
      <c r="B17" s="2352" t="s">
        <v>2649</v>
      </c>
      <c r="C17" s="2353">
        <f>SUMPRODUCT((修正!A2:A5=E2)*(修正!B1:M1=G2)*(修正!B2:M5))</f>
        <v>0</v>
      </c>
      <c r="D17" s="193" t="str">
        <f>IF(OR(G2="八级",G2="九级",G2="十级",G2="十一级",G2="十二级"),"五通一平","七通一平")</f>
        <v>七通一平</v>
      </c>
      <c r="E17" s="2342">
        <f>SUMPRODUCT((修正!B1:M1=G2)*(修正!B15:M15))</f>
        <v>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2652</v>
      </c>
      <c r="C18" s="2348">
        <f>SUMIF(修正!C18:C39,E3,修正!E18:E39)</f>
        <v>0</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7.75" thickBot="1">
      <c r="A19" s="2216" t="s">
        <v>809</v>
      </c>
      <c r="B19" s="2217" t="s">
        <v>2653</v>
      </c>
      <c r="C19" s="863" t="e">
        <f>ROUND(IF(H19="按公示增长率计算",SUMPRODUCT((地价!A3:A37=YEAR(G19)&amp;"-"&amp;ROUNDUP(MONTH(G19)/3,0))*(地价!X2:AB2=E2)*(地价!X3:AB37)),IF(H19="地价指数",M20/M19,(1+I19)^O19)),4)</f>
        <v>#VALUE!</v>
      </c>
      <c r="D19" s="2221" t="s">
        <v>2654</v>
      </c>
      <c r="E19" s="864">
        <v>41640</v>
      </c>
      <c r="F19" s="2221" t="s">
        <v>2655</v>
      </c>
      <c r="G19" s="865">
        <f>'数据-取费表'!B2</f>
        <v>0</v>
      </c>
      <c r="H19" s="2222"/>
      <c r="I19" s="866" t="str">
        <f>IF(H19="季度增幅（自定义）",SUMIF(N21:N24,E2,O21:O24),"")</f>
        <v/>
      </c>
      <c r="J19" s="2219"/>
      <c r="K19" s="1259"/>
      <c r="L19" s="2223" t="s">
        <v>2656</v>
      </c>
      <c r="M19" s="1468">
        <f>ROUND(SUMIF(地价!B2:F2,E2,地价!B37:F37),0)</f>
        <v>0</v>
      </c>
      <c r="N19" s="2224" t="s">
        <v>2657</v>
      </c>
      <c r="O19" s="867" t="e">
        <f>ROUNDDOWN(DATEDIF(E19,G19,"M")/3,0)</f>
        <v>#NUM!</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2658</v>
      </c>
      <c r="C20" s="868" t="e">
        <f>ROUND(POWER(1+G20,J20-I20)*(POWER(1+G20,I20)-1)/(POWER(1+G20,J20)-1),4)</f>
        <v>#DIV/0!</v>
      </c>
      <c r="D20" s="2228" t="s">
        <v>2659</v>
      </c>
      <c r="E20" s="1475">
        <f>存贷款利率!E20/100</f>
        <v>4.3499999999999997E-2</v>
      </c>
      <c r="F20" s="2228" t="s">
        <v>2651</v>
      </c>
      <c r="G20" s="873">
        <f>SUMIF(M26:P26,E2,M28:P28)</f>
        <v>0</v>
      </c>
      <c r="H20" s="2228" t="s">
        <v>2660</v>
      </c>
      <c r="I20" s="874" t="e">
        <f>SUMIF('数据-取费表'!C6:C15,E2,'数据-取费表'!F6:F15)/COUNTIF('数据-取费表'!C6:C15,E2)</f>
        <v>#DIV/0!</v>
      </c>
      <c r="J20" s="875">
        <f>IF(E2="住宅",70,IF(E2="商业",40,50))</f>
        <v>50</v>
      </c>
      <c r="K20" s="1259"/>
      <c r="L20" s="2229" t="s">
        <v>2661</v>
      </c>
      <c r="M20" s="1469">
        <f>ROUND(SUMPRODUCT((地价!A4:A37=YEAR(G19)&amp;"-"&amp;ROUNDUP(MONTH(G19)/3,0))*(地价!B2:F2=E2)*(地价!B4:F37)),0)</f>
        <v>0</v>
      </c>
      <c r="N20" s="2230" t="s">
        <v>2662</v>
      </c>
      <c r="O20" s="2231" t="s">
        <v>2663</v>
      </c>
      <c r="P20" s="2232" t="s">
        <v>2664</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2665</v>
      </c>
      <c r="C21" s="876" t="e">
        <f>IF(B21="容积率修正",IF(G3&lt;=10,D22,J22),C23)</f>
        <v>#DIV/0!</v>
      </c>
      <c r="D21" s="2235"/>
      <c r="E21" s="2235"/>
      <c r="F21" s="2235"/>
      <c r="G21" s="2235"/>
      <c r="H21" s="2235"/>
      <c r="I21" s="2235"/>
      <c r="J21" s="2236"/>
      <c r="K21" s="1259"/>
      <c r="L21" s="2989"/>
      <c r="M21" s="2989"/>
      <c r="N21" s="2237" t="s">
        <v>2666</v>
      </c>
      <c r="O21" s="1307"/>
      <c r="P21" s="1308">
        <f>SUMPRODUCT((地价!A3:A37=YEAR(G19)&amp;"-"&amp;ROUNDUP(MONTH(G19)/3,0))*(地价!AD2:AH2=N21)*(地价!AD3:AH37))</f>
        <v>0</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2667</v>
      </c>
      <c r="B22" s="2238" t="s">
        <v>2668</v>
      </c>
      <c r="C22" s="1506" t="s">
        <v>2669</v>
      </c>
      <c r="D22" s="1506" t="e">
        <f>IF(E22=G22,F22,IF(G3&lt;=10,ROUND(F22+(H22-F22)*(G3-E22)/(G22-E22),4),"——"))</f>
        <v>#DIV/0!</v>
      </c>
      <c r="E22" s="855" t="e">
        <f>ROUNDDOWN(G3,1)</f>
        <v>#DIV/0!</v>
      </c>
      <c r="F22" s="15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6" t="s">
        <v>155</v>
      </c>
      <c r="J22" s="877" t="e">
        <f>IF(G3&gt;10,D113,"——")</f>
        <v>#DIV/0!</v>
      </c>
      <c r="K22" s="1259"/>
      <c r="L22" s="2989"/>
      <c r="M22" s="2989"/>
      <c r="N22" s="2237" t="s">
        <v>2670</v>
      </c>
      <c r="O22" s="1307"/>
      <c r="P22" s="1308">
        <f>SUMPRODUCT((地价!A3:A37=YEAR(G19)&amp;"-"&amp;ROUNDUP(MONTH(G19)/3,0))*(地价!AD2:AH2=N22)*(地价!AD3:AH37))</f>
        <v>0</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2671</v>
      </c>
      <c r="B23" s="2239" t="s">
        <v>2672</v>
      </c>
      <c r="C23" s="950" t="e">
        <f>ROUND(IF(G3&gt;1,IF(I3&lt;7,SUMPRODUCT((B93:B98=I3)*(C92:N92=G2)*(C93:N98)),SUMIF(C92:N92,G2,C100:N100)),IF(I3&lt;7,SUMPRODUCT((B102:B107=I3)*(C92:N92=G2)*(C102:N107)),SUMIF(C92:N92,G2,C109:N109))),4)</f>
        <v>#DIV/0!</v>
      </c>
      <c r="D23" s="2207"/>
      <c r="E23" s="2207"/>
      <c r="F23" s="2240"/>
      <c r="G23" s="2241"/>
      <c r="H23" s="2242"/>
      <c r="I23" s="2243"/>
      <c r="J23" s="2244"/>
      <c r="K23" s="1252"/>
      <c r="L23" s="2153"/>
      <c r="M23" s="2153"/>
      <c r="N23" s="2237" t="s">
        <v>2673</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2674</v>
      </c>
      <c r="C24" s="863">
        <f>SUMIF(A45:A88,E2,B45:B88)</f>
        <v>0</v>
      </c>
      <c r="D24" s="2218"/>
      <c r="E24" s="2245"/>
      <c r="F24" s="2245"/>
      <c r="G24" s="2245"/>
      <c r="H24" s="2245"/>
      <c r="I24" s="2245"/>
      <c r="J24" s="2246"/>
      <c r="K24" s="1259"/>
      <c r="L24" s="2989"/>
      <c r="M24" s="2989"/>
      <c r="N24" s="2247" t="s">
        <v>2675</v>
      </c>
      <c r="O24" s="1309"/>
      <c r="P24" s="1310">
        <f>SUMPRODUCT((地价!A3:A37=YEAR(G19)&amp;"-"&amp;ROUNDUP(MONTH(G19)/3,0))*(地价!AD2:AH2=N24)*(地价!AD3:AH37))</f>
        <v>0</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2676</v>
      </c>
      <c r="C25" s="869"/>
      <c r="D25" s="2182"/>
      <c r="E25" s="2182"/>
      <c r="F25" s="2249"/>
      <c r="G25" s="2182"/>
      <c r="H25" s="2182"/>
      <c r="I25" s="2182"/>
      <c r="J25" s="2183"/>
      <c r="K25" s="1252"/>
      <c r="L25" s="2153"/>
      <c r="M25" s="2153"/>
      <c r="N25" s="2984" t="s">
        <v>2677</v>
      </c>
      <c r="O25" s="2985"/>
      <c r="P25" s="2986">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2678</v>
      </c>
      <c r="C26" s="2512" t="e">
        <f>IF(B21="容积率修正",E29+SUM(E33:E39),SUM(V2:V16)+SUM(E33:E39))</f>
        <v>#DIV/0!</v>
      </c>
      <c r="D26" s="2251"/>
      <c r="E26" s="2207"/>
      <c r="F26" s="2252"/>
      <c r="G26" s="2207"/>
      <c r="H26" s="2207"/>
      <c r="I26" s="2207"/>
      <c r="J26" s="2253"/>
      <c r="K26" s="1252"/>
      <c r="L26" s="2987" t="s">
        <v>2576</v>
      </c>
      <c r="M26" s="2180" t="s">
        <v>2641</v>
      </c>
      <c r="N26" s="2180" t="s">
        <v>2642</v>
      </c>
      <c r="O26" s="2180" t="s">
        <v>2643</v>
      </c>
      <c r="P26" s="2988" t="s">
        <v>2644</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2679</v>
      </c>
      <c r="C27" s="870" t="e">
        <f>E30+SUM(I33:I39)</f>
        <v>#DIV/0!</v>
      </c>
      <c r="D27" s="2255"/>
      <c r="E27" s="2256"/>
      <c r="F27" s="2257"/>
      <c r="G27" s="2256"/>
      <c r="H27" s="2256"/>
      <c r="I27" s="2256"/>
      <c r="J27" s="2258"/>
      <c r="K27" s="1252"/>
      <c r="L27" s="2213" t="s">
        <v>2648</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2680</v>
      </c>
      <c r="C28" s="2261" t="s">
        <v>2681</v>
      </c>
      <c r="D28" s="2261" t="s">
        <v>2682</v>
      </c>
      <c r="E28" s="2262" t="s">
        <v>2683</v>
      </c>
      <c r="F28" s="2263"/>
      <c r="G28" s="2195"/>
      <c r="H28" s="2195"/>
      <c r="I28" s="2195"/>
      <c r="J28" s="2196"/>
      <c r="K28" s="1252"/>
      <c r="L28" s="2214" t="s">
        <v>2651</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2684</v>
      </c>
      <c r="C29" s="180" t="e">
        <f>ROUND(C5*C18*C19*C20*C21*C24,0)</f>
        <v>#DIV/0!</v>
      </c>
      <c r="D29" s="2266"/>
      <c r="E29" s="879" t="e">
        <f>ROUND(C29*D29/10000,0)</f>
        <v>#DIV/0!</v>
      </c>
      <c r="F29" s="2267" t="s">
        <v>2685</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2686</v>
      </c>
      <c r="C30" s="193" t="e">
        <f>ROUND(IF(E2="工业",C29*M39,C29*M38),0)</f>
        <v>#DIV/0!</v>
      </c>
      <c r="D30" s="2272"/>
      <c r="E30" s="879" t="e">
        <f>ROUND(C30*D30/10000,0)</f>
        <v>#DIV/0!</v>
      </c>
      <c r="F30" s="2273" t="s">
        <v>2687</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2688</v>
      </c>
      <c r="C31" s="2278" t="s">
        <v>2689</v>
      </c>
      <c r="D31" s="2195"/>
      <c r="E31" s="2278"/>
      <c r="F31" s="2278"/>
      <c r="G31" s="2193" t="s">
        <v>2690</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2681</v>
      </c>
      <c r="D32" s="455" t="s">
        <v>2682</v>
      </c>
      <c r="E32" s="455" t="s">
        <v>2683</v>
      </c>
      <c r="F32" s="348" t="s">
        <v>2691</v>
      </c>
      <c r="G32" s="2281" t="s">
        <v>2681</v>
      </c>
      <c r="H32" s="2281" t="s">
        <v>2682</v>
      </c>
      <c r="I32" s="2281" t="s">
        <v>2683</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62"/>
      <c r="B33" s="2282" t="s">
        <v>2692</v>
      </c>
      <c r="C33" s="180" t="e">
        <f>ROUND(D5*C19*C20*C24*F33,0)</f>
        <v>#DIV/0!</v>
      </c>
      <c r="D33" s="2266"/>
      <c r="E33" s="176" t="e">
        <f>ROUND(C33*D33/10000,0)</f>
        <v>#DIV/0!</v>
      </c>
      <c r="F33" s="176">
        <f>SUMIF(修正!A45:A56,G2,修正!B45:B56)</f>
        <v>0</v>
      </c>
      <c r="G33" s="176" t="e">
        <f t="shared" ref="G33" si="6">ROUND(IF(E2="工业",C33*$M$39,C33*$M$38),0)</f>
        <v>#DIV/0!</v>
      </c>
      <c r="H33" s="176">
        <f>D33</f>
        <v>0</v>
      </c>
      <c r="I33" s="176" t="e">
        <f>ROUND(G33*H33/10000,0)</f>
        <v>#DIV/0!</v>
      </c>
      <c r="J33" s="3567" t="s">
        <v>2998</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63"/>
      <c r="B34" s="2199" t="s">
        <v>2693</v>
      </c>
      <c r="C34" s="180" t="e">
        <f>ROUND(D5*C19*C20*C24*F34,0)</f>
        <v>#DIV/0!</v>
      </c>
      <c r="D34" s="226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6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63"/>
      <c r="B35" s="2199" t="s">
        <v>2694</v>
      </c>
      <c r="C35" s="180" t="e">
        <f>ROUND(D5*C19*C20*C24*F35,0)</f>
        <v>#DIV/0!</v>
      </c>
      <c r="D35" s="2266"/>
      <c r="E35" s="176" t="e">
        <f t="shared" si="7"/>
        <v>#DIV/0!</v>
      </c>
      <c r="F35" s="176">
        <f>SUMIF(修正!A45:A56,G2,修正!D45:D56)</f>
        <v>0</v>
      </c>
      <c r="G35" s="176" t="e">
        <f>ROUND(IF(E2="工业",C35*$M$39,C35*$M$38),0)</f>
        <v>#DIV/0!</v>
      </c>
      <c r="H35" s="176">
        <f t="shared" si="8"/>
        <v>0</v>
      </c>
      <c r="I35" s="176" t="e">
        <f t="shared" si="9"/>
        <v>#DIV/0!</v>
      </c>
      <c r="J35" s="356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64"/>
      <c r="B36" s="2199" t="s">
        <v>2695</v>
      </c>
      <c r="C36" s="180" t="e">
        <f>ROUND(D5*C19*C20*C24*F36,0)</f>
        <v>#DIV/0!</v>
      </c>
      <c r="D36" s="2266"/>
      <c r="E36" s="176" t="e">
        <f t="shared" si="7"/>
        <v>#DIV/0!</v>
      </c>
      <c r="F36" s="176">
        <f>SUMIF(修正!A45:A56,G2,修正!E45:E56)</f>
        <v>0</v>
      </c>
      <c r="G36" s="176" t="e">
        <f>ROUND(IF(E2="工业",C36*$M$39,C36*$M$38),0)</f>
        <v>#DIV/0!</v>
      </c>
      <c r="H36" s="176">
        <f t="shared" si="8"/>
        <v>0</v>
      </c>
      <c r="I36" s="176" t="e">
        <f t="shared" si="9"/>
        <v>#DIV/0!</v>
      </c>
      <c r="J36" s="3564"/>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2696</v>
      </c>
      <c r="C37" s="176" t="e">
        <f>ROUND(D5*C19*C20*C24*F37,0)</f>
        <v>#DIV/0!</v>
      </c>
      <c r="D37" s="2266"/>
      <c r="E37" s="176" t="e">
        <f t="shared" si="7"/>
        <v>#DIV/0!</v>
      </c>
      <c r="F37" s="180">
        <f>SUMIF(修正!A45:A56,G2,修正!F45:F56)</f>
        <v>0</v>
      </c>
      <c r="G37" s="176" t="e">
        <f>ROUND(IF(E2="工业",C37*$M$39,C37*$M$38),0)</f>
        <v>#DIV/0!</v>
      </c>
      <c r="H37" s="176">
        <f t="shared" si="8"/>
        <v>0</v>
      </c>
      <c r="I37" s="176" t="e">
        <f t="shared" si="9"/>
        <v>#DIV/0!</v>
      </c>
      <c r="J37" s="2283"/>
      <c r="K37" s="1252"/>
      <c r="L37" s="2285" t="s">
        <v>2697</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2698</v>
      </c>
      <c r="C38" s="176" t="e">
        <f>ROUND(D5*C19*C41*C24*F38,0)</f>
        <v>#DIV/0!</v>
      </c>
      <c r="D38" s="2266"/>
      <c r="E38" s="176" t="e">
        <f t="shared" si="7"/>
        <v>#DIV/0!</v>
      </c>
      <c r="F38" s="180">
        <f>SUMIF(修正!A45:A56,G2,修正!G45:G56)</f>
        <v>0</v>
      </c>
      <c r="G38" s="176" t="e">
        <f>ROUND(IF(E2="工业",C38*$M$39,C38*$M$38),0)</f>
        <v>#DIV/0!</v>
      </c>
      <c r="H38" s="176">
        <f t="shared" si="8"/>
        <v>0</v>
      </c>
      <c r="I38" s="176" t="e">
        <f t="shared" si="9"/>
        <v>#DIV/0!</v>
      </c>
      <c r="J38" s="2283"/>
      <c r="K38" s="1252"/>
      <c r="L38" s="1575" t="s">
        <v>2699</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2700</v>
      </c>
      <c r="C39" s="193" t="e">
        <f>ROUND(D5*C19*C41*C24*F39,0)</f>
        <v>#DIV/0!</v>
      </c>
      <c r="D39" s="2272"/>
      <c r="E39" s="193" t="e">
        <f t="shared" si="7"/>
        <v>#DIV/0!</v>
      </c>
      <c r="F39" s="871">
        <f>SUMIF(修正!A45:A56,G2,修正!H45:H56)</f>
        <v>0</v>
      </c>
      <c r="G39" s="193" t="e">
        <f>ROUND(IF(E2="工业",C39*$M$39,C39*$M$38),0)</f>
        <v>#DIV/0!</v>
      </c>
      <c r="H39" s="193">
        <f t="shared" si="8"/>
        <v>0</v>
      </c>
      <c r="I39" s="193" t="e">
        <f t="shared" si="9"/>
        <v>#DIV/0!</v>
      </c>
      <c r="J39" s="2289"/>
      <c r="K39" s="1252"/>
      <c r="L39" s="2290" t="s">
        <v>2644</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2805</v>
      </c>
      <c r="C41" s="348" t="e">
        <f>ROUND(POWER(1+E41,H41-G41)*(POWER(1+E41,G41)-1)/(POWER(1+E41,H41)-1),4)</f>
        <v>#DIV/0!</v>
      </c>
      <c r="D41" s="176" t="s">
        <v>2651</v>
      </c>
      <c r="E41" s="2339">
        <f>G20</f>
        <v>0</v>
      </c>
      <c r="F41" s="176" t="s">
        <v>2660</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2701</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2702</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2703</v>
      </c>
      <c r="B47" s="1505" t="s">
        <v>2704</v>
      </c>
      <c r="C47" s="1505" t="s">
        <v>2705</v>
      </c>
      <c r="D47" s="1505" t="s">
        <v>2706</v>
      </c>
      <c r="E47" s="758" t="s">
        <v>2707</v>
      </c>
      <c r="F47" s="2300" t="s">
        <v>2708</v>
      </c>
      <c r="G47" s="1505" t="s">
        <v>754</v>
      </c>
      <c r="H47" s="2301" t="s">
        <v>2709</v>
      </c>
      <c r="I47" s="1505" t="s">
        <v>2710</v>
      </c>
      <c r="J47" s="560" t="s">
        <v>2359</v>
      </c>
      <c r="K47" s="560" t="s">
        <v>2360</v>
      </c>
      <c r="L47" s="560" t="s">
        <v>2361</v>
      </c>
      <c r="M47" s="560" t="s">
        <v>2362</v>
      </c>
      <c r="N47" s="560" t="s">
        <v>2363</v>
      </c>
      <c r="AA47" s="1253"/>
      <c r="AB47" s="1253"/>
      <c r="AC47" s="1253"/>
      <c r="AD47" s="1253"/>
      <c r="AE47" s="1253"/>
      <c r="AF47" s="1253"/>
      <c r="AG47" s="1253"/>
      <c r="AH47" s="1253"/>
      <c r="AI47" s="1253"/>
      <c r="AJ47" s="1253"/>
      <c r="AK47" s="1253"/>
    </row>
    <row r="48" spans="1:37" s="1252" customFormat="1" ht="38.25">
      <c r="A48" s="2299" t="s">
        <v>2711</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2712</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2713</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2714</v>
      </c>
      <c r="B51" s="2304" t="s">
        <v>2715</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2716</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2717</v>
      </c>
      <c r="B53" s="2305" t="s">
        <v>2718</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2719</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2720</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2721</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2722</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2703</v>
      </c>
      <c r="B58" s="1505"/>
      <c r="C58" s="1505" t="s">
        <v>2705</v>
      </c>
      <c r="D58" s="1505" t="s">
        <v>2706</v>
      </c>
      <c r="E58" s="758" t="s">
        <v>2707</v>
      </c>
      <c r="F58" s="2300" t="s">
        <v>2723</v>
      </c>
      <c r="G58" s="1505" t="s">
        <v>754</v>
      </c>
      <c r="H58" s="2301" t="s">
        <v>2709</v>
      </c>
      <c r="I58" s="1505" t="s">
        <v>2710</v>
      </c>
      <c r="J58" s="560" t="s">
        <v>2359</v>
      </c>
      <c r="K58" s="560" t="s">
        <v>2360</v>
      </c>
      <c r="L58" s="560" t="s">
        <v>2361</v>
      </c>
      <c r="M58" s="560" t="s">
        <v>2362</v>
      </c>
      <c r="N58" s="560" t="s">
        <v>2363</v>
      </c>
      <c r="AA58" s="1253"/>
      <c r="AB58" s="1253"/>
      <c r="AC58" s="1253"/>
      <c r="AD58" s="1253"/>
      <c r="AE58" s="1253"/>
      <c r="AF58" s="1253"/>
      <c r="AG58" s="1253"/>
      <c r="AH58" s="1253"/>
      <c r="AI58" s="1253"/>
      <c r="AJ58" s="1253"/>
      <c r="AK58" s="1253"/>
    </row>
    <row r="59" spans="1:37" s="1252" customFormat="1" ht="38.25">
      <c r="A59" s="2299" t="s">
        <v>2724</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2712</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2713</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2714</v>
      </c>
      <c r="B62" s="2304" t="s">
        <v>2715</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2716</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2717</v>
      </c>
      <c r="B64" s="2305" t="s">
        <v>2718</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2719</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2720</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2721</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2725</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2703</v>
      </c>
      <c r="B69" s="1505"/>
      <c r="C69" s="1505" t="s">
        <v>2705</v>
      </c>
      <c r="D69" s="1505" t="s">
        <v>2706</v>
      </c>
      <c r="E69" s="758" t="s">
        <v>2707</v>
      </c>
      <c r="F69" s="2300" t="s">
        <v>2723</v>
      </c>
      <c r="G69" s="1505" t="s">
        <v>754</v>
      </c>
      <c r="H69" s="2301" t="s">
        <v>2709</v>
      </c>
      <c r="I69" s="1505" t="s">
        <v>2710</v>
      </c>
      <c r="J69" s="560" t="s">
        <v>2359</v>
      </c>
      <c r="K69" s="560" t="s">
        <v>2360</v>
      </c>
      <c r="L69" s="560" t="s">
        <v>2361</v>
      </c>
      <c r="M69" s="560" t="s">
        <v>2362</v>
      </c>
      <c r="N69" s="560" t="s">
        <v>2363</v>
      </c>
      <c r="AA69" s="1253"/>
      <c r="AB69" s="1253"/>
      <c r="AC69" s="1253"/>
      <c r="AD69" s="1253"/>
      <c r="AE69" s="1253"/>
      <c r="AF69" s="1253"/>
      <c r="AG69" s="1253"/>
      <c r="AH69" s="1253"/>
      <c r="AI69" s="1253"/>
      <c r="AJ69" s="1253"/>
      <c r="AK69" s="1253"/>
    </row>
    <row r="70" spans="1:37" s="1252" customFormat="1" ht="51">
      <c r="A70" s="2299" t="s">
        <v>2726</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2712</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2713</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2727</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2719</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2720</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2717</v>
      </c>
      <c r="B76" s="2305" t="s">
        <v>2718</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2721</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2728</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2729</v>
      </c>
      <c r="B79" s="2296">
        <f>1+E81</f>
        <v>1</v>
      </c>
      <c r="C79" s="753"/>
      <c r="D79" s="753"/>
      <c r="E79" s="754"/>
      <c r="F79" s="2298"/>
      <c r="G79" s="6"/>
      <c r="H79" s="6"/>
      <c r="I79" s="6"/>
      <c r="J79" s="7"/>
      <c r="K79" s="7"/>
      <c r="L79" s="7"/>
      <c r="M79" s="7"/>
      <c r="N79" s="7"/>
      <c r="Z79" s="2154"/>
      <c r="AA79" s="2220"/>
      <c r="AG79" s="1254"/>
      <c r="AK79" s="2220"/>
    </row>
    <row r="80" spans="1:37" ht="24.75">
      <c r="A80" s="2299" t="s">
        <v>2703</v>
      </c>
      <c r="B80" s="1505"/>
      <c r="C80" s="1505" t="s">
        <v>2705</v>
      </c>
      <c r="D80" s="1505" t="s">
        <v>2706</v>
      </c>
      <c r="E80" s="758" t="s">
        <v>2707</v>
      </c>
      <c r="F80" s="2300" t="s">
        <v>2723</v>
      </c>
      <c r="G80" s="1505" t="s">
        <v>754</v>
      </c>
      <c r="H80" s="2301" t="s">
        <v>2709</v>
      </c>
      <c r="I80" s="1505" t="s">
        <v>2710</v>
      </c>
      <c r="J80" s="560" t="s">
        <v>2359</v>
      </c>
      <c r="K80" s="560" t="s">
        <v>2360</v>
      </c>
      <c r="L80" s="560" t="s">
        <v>2361</v>
      </c>
      <c r="M80" s="560" t="s">
        <v>2362</v>
      </c>
      <c r="N80" s="560" t="s">
        <v>2363</v>
      </c>
      <c r="Z80" s="2154"/>
      <c r="AA80" s="2220"/>
      <c r="AG80" s="1254"/>
      <c r="AK80" s="2220"/>
    </row>
    <row r="81" spans="1:37" ht="38.25">
      <c r="A81" s="2299" t="s">
        <v>2730</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2712</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2713</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2727</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2719</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2720</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2717</v>
      </c>
      <c r="B87" s="2305" t="s">
        <v>2731</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2732</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54" t="s">
        <v>2733</v>
      </c>
      <c r="B90" s="3554"/>
      <c r="C90" s="3554"/>
      <c r="D90" s="3554"/>
      <c r="E90" s="3554"/>
      <c r="F90" s="3554"/>
      <c r="G90" s="3554"/>
      <c r="H90" s="3554"/>
      <c r="I90" s="3554"/>
      <c r="J90" s="3554"/>
      <c r="K90" s="2313"/>
      <c r="L90" s="2313"/>
      <c r="M90" s="2313"/>
      <c r="N90" s="2313"/>
    </row>
    <row r="91" spans="1:37">
      <c r="A91" s="3556" t="s">
        <v>2734</v>
      </c>
      <c r="B91" s="3556" t="s">
        <v>2735</v>
      </c>
      <c r="C91" s="2267" t="s">
        <v>2736</v>
      </c>
      <c r="D91" s="2268"/>
      <c r="E91" s="2268"/>
      <c r="F91" s="2268"/>
      <c r="G91" s="2268"/>
      <c r="H91" s="2268"/>
      <c r="I91" s="2268"/>
      <c r="J91" s="2314"/>
      <c r="K91" s="2315"/>
      <c r="L91" s="2315"/>
      <c r="M91" s="2315"/>
      <c r="N91" s="2315"/>
    </row>
    <row r="92" spans="1:37">
      <c r="A92" s="3556"/>
      <c r="B92" s="3556"/>
      <c r="C92" s="879" t="s">
        <v>2603</v>
      </c>
      <c r="D92" s="879" t="s">
        <v>2604</v>
      </c>
      <c r="E92" s="879" t="s">
        <v>2605</v>
      </c>
      <c r="F92" s="879" t="s">
        <v>2606</v>
      </c>
      <c r="G92" s="879" t="s">
        <v>2607</v>
      </c>
      <c r="H92" s="879" t="s">
        <v>2608</v>
      </c>
      <c r="I92" s="879" t="s">
        <v>2609</v>
      </c>
      <c r="J92" s="879" t="s">
        <v>2610</v>
      </c>
      <c r="K92" s="879" t="s">
        <v>2611</v>
      </c>
      <c r="L92" s="879" t="s">
        <v>2612</v>
      </c>
      <c r="M92" s="879" t="s">
        <v>2613</v>
      </c>
      <c r="N92" s="879" t="s">
        <v>2614</v>
      </c>
    </row>
    <row r="93" spans="1:37">
      <c r="A93" s="3557" t="s">
        <v>2737</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58"/>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58"/>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58"/>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58"/>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58"/>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58"/>
      <c r="B99" s="2316" t="s">
        <v>2619</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59"/>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57" t="s">
        <v>2738</v>
      </c>
      <c r="B101" s="2320" t="s">
        <v>2739</v>
      </c>
      <c r="C101" s="2321" t="e">
        <f>$G$3</f>
        <v>#DIV/0!</v>
      </c>
      <c r="D101" s="2321" t="e">
        <f t="shared" ref="D101:N101" si="31">$G$3</f>
        <v>#DIV/0!</v>
      </c>
      <c r="E101" s="2321" t="e">
        <f t="shared" si="31"/>
        <v>#DIV/0!</v>
      </c>
      <c r="F101" s="2321" t="e">
        <f t="shared" si="31"/>
        <v>#DIV/0!</v>
      </c>
      <c r="G101" s="2321" t="e">
        <f t="shared" si="31"/>
        <v>#DIV/0!</v>
      </c>
      <c r="H101" s="2321" t="e">
        <f t="shared" si="31"/>
        <v>#DIV/0!</v>
      </c>
      <c r="I101" s="2321" t="e">
        <f t="shared" si="31"/>
        <v>#DIV/0!</v>
      </c>
      <c r="J101" s="2321" t="e">
        <f t="shared" si="31"/>
        <v>#DIV/0!</v>
      </c>
      <c r="K101" s="2321" t="e">
        <f t="shared" si="31"/>
        <v>#DIV/0!</v>
      </c>
      <c r="L101" s="2321" t="e">
        <f t="shared" si="31"/>
        <v>#DIV/0!</v>
      </c>
      <c r="M101" s="2321" t="e">
        <f t="shared" si="31"/>
        <v>#DIV/0!</v>
      </c>
      <c r="N101" s="2321" t="e">
        <f t="shared" si="31"/>
        <v>#DIV/0!</v>
      </c>
    </row>
    <row r="102" spans="1:14">
      <c r="A102" s="3558"/>
      <c r="B102" s="2316">
        <v>1</v>
      </c>
      <c r="C102" s="2317" t="e">
        <f>1.9362/C101</f>
        <v>#DIV/0!</v>
      </c>
      <c r="D102" s="2317" t="e">
        <f>1.9362/D101</f>
        <v>#DIV/0!</v>
      </c>
      <c r="E102" s="2317" t="e">
        <f>1.8629/E101</f>
        <v>#DIV/0!</v>
      </c>
      <c r="F102" s="2317" t="e">
        <f>1.8629/F101</f>
        <v>#DIV/0!</v>
      </c>
      <c r="G102" s="2317" t="e">
        <f>1.8629/G101</f>
        <v>#DIV/0!</v>
      </c>
      <c r="H102" s="2317" t="e">
        <f>1.8629/H101</f>
        <v>#DIV/0!</v>
      </c>
      <c r="I102" s="2317" t="e">
        <f>1.8629/I101</f>
        <v>#DIV/0!</v>
      </c>
      <c r="J102" s="2317" t="e">
        <f>1.942/J101</f>
        <v>#DIV/0!</v>
      </c>
      <c r="K102" s="2317" t="e">
        <f>1.942/K101</f>
        <v>#DIV/0!</v>
      </c>
      <c r="L102" s="2317" t="e">
        <f>1.942/L101</f>
        <v>#DIV/0!</v>
      </c>
      <c r="M102" s="2317" t="e">
        <f>1.942/M101</f>
        <v>#DIV/0!</v>
      </c>
      <c r="N102" s="2317" t="e">
        <f>1.942/N101</f>
        <v>#DIV/0!</v>
      </c>
    </row>
    <row r="103" spans="1:14">
      <c r="A103" s="3558"/>
      <c r="B103" s="2316">
        <v>2</v>
      </c>
      <c r="C103" s="2317" t="e">
        <f>1.4198/C101</f>
        <v>#DIV/0!</v>
      </c>
      <c r="D103" s="2317" t="e">
        <f>1.4198/D101</f>
        <v>#DIV/0!</v>
      </c>
      <c r="E103" s="2317" t="e">
        <f>1.3372/E101</f>
        <v>#DIV/0!</v>
      </c>
      <c r="F103" s="2317" t="e">
        <f>1.3372/F101</f>
        <v>#DIV/0!</v>
      </c>
      <c r="G103" s="2317" t="e">
        <f>1.3372/G101</f>
        <v>#DIV/0!</v>
      </c>
      <c r="H103" s="2317" t="e">
        <f>1.3372/H101</f>
        <v>#DIV/0!</v>
      </c>
      <c r="I103" s="2317" t="e">
        <f>1.3372/I101</f>
        <v>#DIV/0!</v>
      </c>
      <c r="J103" s="2317" t="e">
        <f>1.2799/J101</f>
        <v>#DIV/0!</v>
      </c>
      <c r="K103" s="2317" t="e">
        <f>1.2799/K101</f>
        <v>#DIV/0!</v>
      </c>
      <c r="L103" s="2317" t="e">
        <f>1.2799/L101</f>
        <v>#DIV/0!</v>
      </c>
      <c r="M103" s="2317" t="e">
        <f>1.2799/M101</f>
        <v>#DIV/0!</v>
      </c>
      <c r="N103" s="2317" t="e">
        <f>1.2799/N101</f>
        <v>#DIV/0!</v>
      </c>
    </row>
    <row r="104" spans="1:14">
      <c r="A104" s="3558"/>
      <c r="B104" s="2316">
        <v>3</v>
      </c>
      <c r="C104" s="2317" t="e">
        <f>1.1594/C101</f>
        <v>#DIV/0!</v>
      </c>
      <c r="D104" s="2317" t="e">
        <f>1.1594/D101</f>
        <v>#DIV/0!</v>
      </c>
      <c r="E104" s="2317" t="e">
        <f>1.0788/E101</f>
        <v>#DIV/0!</v>
      </c>
      <c r="F104" s="2317" t="e">
        <f>1.0788/F101</f>
        <v>#DIV/0!</v>
      </c>
      <c r="G104" s="2317" t="e">
        <f>1.0788/G101</f>
        <v>#DIV/0!</v>
      </c>
      <c r="H104" s="2317" t="e">
        <f>1.0788/H101</f>
        <v>#DIV/0!</v>
      </c>
      <c r="I104" s="2317" t="e">
        <f>1.0788/I101</f>
        <v>#DIV/0!</v>
      </c>
      <c r="J104" s="2317" t="e">
        <f>1.0072/J101</f>
        <v>#DIV/0!</v>
      </c>
      <c r="K104" s="2317" t="e">
        <f>1.0072/K101</f>
        <v>#DIV/0!</v>
      </c>
      <c r="L104" s="2317" t="e">
        <f>1.0072/L101</f>
        <v>#DIV/0!</v>
      </c>
      <c r="M104" s="2317" t="e">
        <f>1.0072/M101</f>
        <v>#DIV/0!</v>
      </c>
      <c r="N104" s="2317" t="e">
        <f>1.0072/N101</f>
        <v>#DIV/0!</v>
      </c>
    </row>
    <row r="105" spans="1:14">
      <c r="A105" s="3558"/>
      <c r="B105" s="2316">
        <v>4</v>
      </c>
      <c r="C105" s="2317" t="e">
        <f>0.9622/C101</f>
        <v>#DIV/0!</v>
      </c>
      <c r="D105" s="2317" t="e">
        <f>0.9622/D101</f>
        <v>#DIV/0!</v>
      </c>
      <c r="E105" s="2317" t="e">
        <f>0.8656/E101</f>
        <v>#DIV/0!</v>
      </c>
      <c r="F105" s="2317" t="e">
        <f>0.8656/F101</f>
        <v>#DIV/0!</v>
      </c>
      <c r="G105" s="2317" t="e">
        <f>0.8656/G101</f>
        <v>#DIV/0!</v>
      </c>
      <c r="H105" s="2317" t="e">
        <f>0.8656/H101</f>
        <v>#DIV/0!</v>
      </c>
      <c r="I105" s="2317" t="e">
        <f>0.8656/I101</f>
        <v>#DIV/0!</v>
      </c>
      <c r="J105" s="2317" t="e">
        <f>0.7525/J101</f>
        <v>#DIV/0!</v>
      </c>
      <c r="K105" s="2317" t="e">
        <f>0.7525/K101</f>
        <v>#DIV/0!</v>
      </c>
      <c r="L105" s="2317" t="e">
        <f>0.7525/L101</f>
        <v>#DIV/0!</v>
      </c>
      <c r="M105" s="2317" t="e">
        <f>0.7525/M101</f>
        <v>#DIV/0!</v>
      </c>
      <c r="N105" s="2317" t="e">
        <f>0.7525/N101</f>
        <v>#DIV/0!</v>
      </c>
    </row>
    <row r="106" spans="1:14">
      <c r="A106" s="3558"/>
      <c r="B106" s="2316">
        <v>5</v>
      </c>
      <c r="C106" s="2317" t="e">
        <f>0.8417/C101</f>
        <v>#DIV/0!</v>
      </c>
      <c r="D106" s="2317" t="e">
        <f>0.8417/D101</f>
        <v>#DIV/0!</v>
      </c>
      <c r="E106" s="2317" t="e">
        <f>0.7371/E101</f>
        <v>#DIV/0!</v>
      </c>
      <c r="F106" s="2317" t="e">
        <f>0.7371/F101</f>
        <v>#DIV/0!</v>
      </c>
      <c r="G106" s="2317" t="e">
        <f>0.7371/G101</f>
        <v>#DIV/0!</v>
      </c>
      <c r="H106" s="2317" t="e">
        <f>0.7371/H101</f>
        <v>#DIV/0!</v>
      </c>
      <c r="I106" s="2317" t="e">
        <f>0.7371/I101</f>
        <v>#DIV/0!</v>
      </c>
      <c r="J106" s="2317" t="e">
        <f>0.5659/J101</f>
        <v>#DIV/0!</v>
      </c>
      <c r="K106" s="2317" t="e">
        <f>0.5659/K101</f>
        <v>#DIV/0!</v>
      </c>
      <c r="L106" s="2317" t="e">
        <f>0.5659/L101</f>
        <v>#DIV/0!</v>
      </c>
      <c r="M106" s="2317" t="e">
        <f>0.5659/M101</f>
        <v>#DIV/0!</v>
      </c>
      <c r="N106" s="2317" t="e">
        <f>0.5659/N101</f>
        <v>#DIV/0!</v>
      </c>
    </row>
    <row r="107" spans="1:14">
      <c r="A107" s="3558"/>
      <c r="B107" s="2316">
        <v>6</v>
      </c>
      <c r="C107" s="2317" t="e">
        <f>0.7608/C101</f>
        <v>#DIV/0!</v>
      </c>
      <c r="D107" s="2317" t="e">
        <f>0.7608/D101</f>
        <v>#DIV/0!</v>
      </c>
      <c r="E107" s="2317" t="e">
        <f>0.6482/E101</f>
        <v>#DIV/0!</v>
      </c>
      <c r="F107" s="2317" t="e">
        <f>0.6482/F101</f>
        <v>#DIV/0!</v>
      </c>
      <c r="G107" s="2317" t="e">
        <f>0.6482/G101</f>
        <v>#DIV/0!</v>
      </c>
      <c r="H107" s="2317" t="e">
        <f>0.6482/H101</f>
        <v>#DIV/0!</v>
      </c>
      <c r="I107" s="2317" t="e">
        <f>0.6482/I101</f>
        <v>#DIV/0!</v>
      </c>
      <c r="J107" s="2317" t="e">
        <f>0.4525/J101</f>
        <v>#DIV/0!</v>
      </c>
      <c r="K107" s="2317" t="e">
        <f>0.4525/K101</f>
        <v>#DIV/0!</v>
      </c>
      <c r="L107" s="2317" t="e">
        <f>0.4525/L101</f>
        <v>#DIV/0!</v>
      </c>
      <c r="M107" s="2317" t="e">
        <f>0.4525/M101</f>
        <v>#DIV/0!</v>
      </c>
      <c r="N107" s="2317" t="e">
        <f>0.4525/N101</f>
        <v>#DIV/0!</v>
      </c>
    </row>
    <row r="108" spans="1:14">
      <c r="A108" s="3558"/>
      <c r="B108" s="3560" t="s">
        <v>2740</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59"/>
      <c r="B109" s="3561"/>
      <c r="C109" s="2319" t="e">
        <f>(-0.163*(C108^2)-0.59*C108+7617)*(10^(-4))/C101</f>
        <v>#DIV/0!</v>
      </c>
      <c r="D109" s="2319" t="e">
        <f>(-0.163*(D108^2)-0.59*D108+7617)*(10^(-4))/D101</f>
        <v>#DIV/0!</v>
      </c>
      <c r="E109" s="2319" t="e">
        <f>(-0.161*(E108^2)-7.509*E108+6533)*(10^(-4))/E101</f>
        <v>#DIV/0!</v>
      </c>
      <c r="F109" s="2319" t="e">
        <f>(-0.161*(F108^2)-7.509*F108+6533)*(10^(-4))/F101</f>
        <v>#DIV/0!</v>
      </c>
      <c r="G109" s="2319" t="e">
        <f>(-0.161*(G108^2)-7.509*G108+6533)*(10^(-4))/G101</f>
        <v>#DIV/0!</v>
      </c>
      <c r="H109" s="2319" t="e">
        <f>(-0.161*(H108^2)-7.509*H108+6533)*(10^(-4))/H101</f>
        <v>#DIV/0!</v>
      </c>
      <c r="I109" s="2319" t="e">
        <f>(-0.161*(I108^2)-7.509*I108+6533)*(10^(-4))/I101</f>
        <v>#DIV/0!</v>
      </c>
      <c r="J109" s="2319" t="e">
        <f>(-0.214*(J108^2)-21.991*J108+4665)*(10^(-4))/J101</f>
        <v>#DIV/0!</v>
      </c>
      <c r="K109" s="2319" t="e">
        <f>(-0.214*(K108^2)-21.991*K108+4665)*(10^(-4))/K101</f>
        <v>#DIV/0!</v>
      </c>
      <c r="L109" s="2319" t="e">
        <f>(-0.214*(L108^2)-21.991*L108+4665)*(10^(-4))/L101</f>
        <v>#DIV/0!</v>
      </c>
      <c r="M109" s="2319" t="e">
        <f>(-0.214*(M108^2)-21.991*M108+4665)*(10^(-4))/M101</f>
        <v>#DIV/0!</v>
      </c>
      <c r="N109" s="2319" t="e">
        <f>(-0.214*(N108^2)-21.991*N108+4665)*(10^(-4))/N101</f>
        <v>#DIV/0!</v>
      </c>
    </row>
    <row r="110" spans="1:14">
      <c r="A110" s="3555" t="s">
        <v>2741</v>
      </c>
      <c r="B110" s="3555"/>
      <c r="C110" s="3555"/>
      <c r="D110" s="3555"/>
      <c r="E110" s="3555"/>
      <c r="F110" s="3555"/>
      <c r="G110" s="3555"/>
      <c r="H110" s="3555"/>
      <c r="I110" s="3555"/>
      <c r="J110" s="3555"/>
      <c r="K110" s="2322"/>
      <c r="L110" s="2322"/>
      <c r="M110" s="2322"/>
      <c r="N110" s="2322"/>
    </row>
    <row r="112" spans="1:14" ht="13.5" thickBot="1"/>
    <row r="113" spans="1:13" ht="25.5" thickBot="1">
      <c r="A113" s="842" t="s">
        <v>2742</v>
      </c>
      <c r="B113" s="1197" t="e">
        <f>G3</f>
        <v>#DIV/0!</v>
      </c>
      <c r="C113" s="843" t="s">
        <v>2743</v>
      </c>
      <c r="D113" s="844" t="e">
        <f>SUMPRODUCT((A115:A118=F113)*(B114:M114=H113)*B115:M118)</f>
        <v>#DIV/0!</v>
      </c>
      <c r="E113" s="2158" t="s">
        <v>2576</v>
      </c>
      <c r="F113" s="2324">
        <f>E2</f>
        <v>0</v>
      </c>
      <c r="G113" s="2158" t="s">
        <v>2577</v>
      </c>
      <c r="H113" s="2324">
        <f>G2</f>
        <v>0</v>
      </c>
      <c r="I113" s="2158"/>
      <c r="J113" s="2325"/>
      <c r="K113" s="2325"/>
      <c r="L113" s="2325"/>
      <c r="M113" s="2325"/>
    </row>
    <row r="114" spans="1:13">
      <c r="A114" s="847"/>
      <c r="B114" s="2326" t="s">
        <v>2744</v>
      </c>
      <c r="C114" s="2326" t="s">
        <v>2745</v>
      </c>
      <c r="D114" s="2326" t="s">
        <v>2746</v>
      </c>
      <c r="E114" s="2327" t="s">
        <v>2747</v>
      </c>
      <c r="F114" s="2327" t="s">
        <v>2748</v>
      </c>
      <c r="G114" s="2327" t="s">
        <v>2749</v>
      </c>
      <c r="H114" s="2328" t="s">
        <v>2750</v>
      </c>
      <c r="I114" s="2328" t="s">
        <v>2751</v>
      </c>
      <c r="J114" s="2329" t="s">
        <v>2752</v>
      </c>
      <c r="K114" s="2329" t="s">
        <v>2753</v>
      </c>
      <c r="L114" s="2329" t="s">
        <v>2754</v>
      </c>
      <c r="M114" s="2330" t="s">
        <v>2755</v>
      </c>
    </row>
    <row r="115" spans="1:13">
      <c r="A115" s="848" t="s">
        <v>2641</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2642</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2643</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2644</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2807</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78" t="s">
        <v>183</v>
      </c>
      <c r="B18" s="821" t="s">
        <v>560</v>
      </c>
      <c r="C18" s="822" t="s">
        <v>561</v>
      </c>
      <c r="D18" s="823"/>
      <c r="E18" s="821">
        <v>1</v>
      </c>
      <c r="F18" s="824" t="s">
        <v>562</v>
      </c>
      <c r="G18" s="825"/>
      <c r="H18" s="817"/>
      <c r="I18" s="817"/>
    </row>
    <row r="19" spans="1:9" s="826" customFormat="1" ht="19.5" customHeight="1">
      <c r="A19" s="3578"/>
      <c r="B19" s="3578" t="s">
        <v>563</v>
      </c>
      <c r="C19" s="822" t="s">
        <v>564</v>
      </c>
      <c r="D19" s="823"/>
      <c r="E19" s="821">
        <v>0.9</v>
      </c>
      <c r="F19" s="824" t="s">
        <v>565</v>
      </c>
      <c r="G19" s="825"/>
      <c r="H19" s="817"/>
      <c r="I19" s="817"/>
    </row>
    <row r="20" spans="1:9" s="826" customFormat="1" ht="19.5" customHeight="1">
      <c r="A20" s="3578"/>
      <c r="B20" s="3578"/>
      <c r="C20" s="822" t="s">
        <v>566</v>
      </c>
      <c r="D20" s="823"/>
      <c r="E20" s="821">
        <v>1.1000000000000001</v>
      </c>
      <c r="F20" s="824" t="s">
        <v>567</v>
      </c>
      <c r="G20" s="825"/>
      <c r="H20" s="817"/>
      <c r="I20" s="817"/>
    </row>
    <row r="21" spans="1:9" s="826" customFormat="1" ht="19.5" customHeight="1">
      <c r="A21" s="3578"/>
      <c r="B21" s="3578"/>
      <c r="C21" s="822" t="s">
        <v>568</v>
      </c>
      <c r="D21" s="823"/>
      <c r="E21" s="821">
        <v>0.8</v>
      </c>
      <c r="F21" s="824" t="s">
        <v>569</v>
      </c>
      <c r="G21" s="825"/>
      <c r="H21" s="817"/>
      <c r="I21" s="817"/>
    </row>
    <row r="22" spans="1:9" s="826" customFormat="1" ht="19.5" customHeight="1">
      <c r="A22" s="3578"/>
      <c r="B22" s="3578"/>
      <c r="C22" s="822" t="s">
        <v>570</v>
      </c>
      <c r="D22" s="823"/>
      <c r="E22" s="821">
        <v>0.5</v>
      </c>
      <c r="F22" s="824"/>
      <c r="G22" s="825"/>
      <c r="H22" s="817"/>
      <c r="I22" s="817"/>
    </row>
    <row r="23" spans="1:9" s="826" customFormat="1" ht="19.5" customHeight="1">
      <c r="A23" s="3578" t="s">
        <v>184</v>
      </c>
      <c r="B23" s="821" t="s">
        <v>560</v>
      </c>
      <c r="C23" s="822" t="s">
        <v>571</v>
      </c>
      <c r="D23" s="823"/>
      <c r="E23" s="821">
        <v>1</v>
      </c>
      <c r="F23" s="824" t="s">
        <v>572</v>
      </c>
      <c r="G23" s="825"/>
      <c r="H23" s="817"/>
      <c r="I23" s="817"/>
    </row>
    <row r="24" spans="1:9" s="826" customFormat="1" ht="19.5" customHeight="1">
      <c r="A24" s="3578"/>
      <c r="B24" s="3578" t="s">
        <v>563</v>
      </c>
      <c r="C24" s="822" t="s">
        <v>573</v>
      </c>
      <c r="D24" s="823"/>
      <c r="E24" s="821">
        <v>0.5</v>
      </c>
      <c r="F24" s="824"/>
      <c r="G24" s="825"/>
      <c r="H24" s="817"/>
      <c r="I24" s="817"/>
    </row>
    <row r="25" spans="1:9" s="826" customFormat="1" ht="19.5" customHeight="1">
      <c r="A25" s="3578"/>
      <c r="B25" s="3578"/>
      <c r="C25" s="822" t="s">
        <v>574</v>
      </c>
      <c r="D25" s="823"/>
      <c r="E25" s="821">
        <v>1.1000000000000001</v>
      </c>
      <c r="F25" s="824"/>
      <c r="G25" s="825"/>
      <c r="H25" s="817"/>
      <c r="I25" s="817"/>
    </row>
    <row r="26" spans="1:9" s="826" customFormat="1" ht="19.5" customHeight="1">
      <c r="A26" s="3578"/>
      <c r="B26" s="3578"/>
      <c r="C26" s="822" t="s">
        <v>575</v>
      </c>
      <c r="D26" s="823"/>
      <c r="E26" s="821">
        <v>1.1000000000000001</v>
      </c>
      <c r="F26" s="824"/>
      <c r="G26" s="825"/>
      <c r="H26" s="817"/>
      <c r="I26" s="817"/>
    </row>
    <row r="27" spans="1:9" s="826" customFormat="1" ht="19.5" customHeight="1">
      <c r="A27" s="3578"/>
      <c r="B27" s="3578"/>
      <c r="C27" s="822" t="s">
        <v>576</v>
      </c>
      <c r="D27" s="823"/>
      <c r="E27" s="821">
        <v>0.9</v>
      </c>
      <c r="F27" s="824" t="s">
        <v>577</v>
      </c>
      <c r="G27" s="825"/>
      <c r="H27" s="817"/>
      <c r="I27" s="817"/>
    </row>
    <row r="28" spans="1:9" s="826" customFormat="1" ht="19.5" customHeight="1">
      <c r="A28" s="3578"/>
      <c r="B28" s="3578"/>
      <c r="C28" s="822" t="s">
        <v>578</v>
      </c>
      <c r="D28" s="823"/>
      <c r="E28" s="821">
        <v>0.9</v>
      </c>
      <c r="F28" s="824" t="s">
        <v>579</v>
      </c>
      <c r="G28" s="825"/>
      <c r="H28" s="817"/>
      <c r="I28" s="817"/>
    </row>
    <row r="29" spans="1:9" s="826" customFormat="1" ht="19.5" customHeight="1">
      <c r="A29" s="3578"/>
      <c r="B29" s="3578"/>
      <c r="C29" s="822" t="s">
        <v>580</v>
      </c>
      <c r="D29" s="823"/>
      <c r="E29" s="821">
        <v>0.9</v>
      </c>
      <c r="F29" s="824" t="s">
        <v>581</v>
      </c>
      <c r="G29" s="825"/>
      <c r="H29" s="817"/>
      <c r="I29" s="817"/>
    </row>
    <row r="30" spans="1:9" s="826" customFormat="1" ht="19.5" customHeight="1">
      <c r="A30" s="3578"/>
      <c r="B30" s="3578"/>
      <c r="C30" s="822" t="s">
        <v>582</v>
      </c>
      <c r="D30" s="823"/>
      <c r="E30" s="821">
        <v>0.9</v>
      </c>
      <c r="F30" s="824" t="s">
        <v>583</v>
      </c>
      <c r="G30" s="825"/>
      <c r="H30" s="817"/>
      <c r="I30" s="817"/>
    </row>
    <row r="31" spans="1:9" s="826" customFormat="1" ht="19.5" customHeight="1">
      <c r="A31" s="3578"/>
      <c r="B31" s="3578"/>
      <c r="C31" s="822" t="s">
        <v>584</v>
      </c>
      <c r="D31" s="823"/>
      <c r="E31" s="821">
        <v>0.8</v>
      </c>
      <c r="F31" s="824" t="s">
        <v>585</v>
      </c>
      <c r="G31" s="825"/>
      <c r="H31" s="817"/>
      <c r="I31" s="817"/>
    </row>
    <row r="32" spans="1:9" s="826" customFormat="1" ht="19.5" customHeight="1">
      <c r="A32" s="3578"/>
      <c r="B32" s="3578"/>
      <c r="C32" s="822" t="s">
        <v>586</v>
      </c>
      <c r="D32" s="823"/>
      <c r="E32" s="821">
        <v>0.8</v>
      </c>
      <c r="F32" s="824" t="s">
        <v>587</v>
      </c>
      <c r="G32" s="825"/>
      <c r="H32" s="817"/>
      <c r="I32" s="817"/>
    </row>
    <row r="33" spans="1:9" s="826" customFormat="1" ht="19.5" customHeight="1">
      <c r="A33" s="3578" t="s">
        <v>185</v>
      </c>
      <c r="B33" s="821" t="s">
        <v>560</v>
      </c>
      <c r="C33" s="822" t="s">
        <v>588</v>
      </c>
      <c r="D33" s="823"/>
      <c r="E33" s="821">
        <v>1</v>
      </c>
      <c r="F33" s="824" t="s">
        <v>589</v>
      </c>
      <c r="G33" s="825"/>
      <c r="H33" s="817"/>
      <c r="I33" s="817"/>
    </row>
    <row r="34" spans="1:9" s="826" customFormat="1" ht="19.5" customHeight="1">
      <c r="A34" s="3578"/>
      <c r="B34" s="821" t="s">
        <v>563</v>
      </c>
      <c r="C34" s="822" t="s">
        <v>590</v>
      </c>
      <c r="D34" s="823"/>
      <c r="E34" s="821">
        <v>1.5</v>
      </c>
      <c r="F34" s="824" t="s">
        <v>591</v>
      </c>
      <c r="G34" s="825"/>
      <c r="H34" s="817"/>
      <c r="I34" s="817"/>
    </row>
    <row r="35" spans="1:9" s="826" customFormat="1" ht="19.5" customHeight="1">
      <c r="A35" s="3578" t="s">
        <v>186</v>
      </c>
      <c r="B35" s="821" t="s">
        <v>560</v>
      </c>
      <c r="C35" s="822" t="s">
        <v>592</v>
      </c>
      <c r="D35" s="823"/>
      <c r="E35" s="821">
        <v>1</v>
      </c>
      <c r="F35" s="824" t="s">
        <v>593</v>
      </c>
      <c r="G35" s="825"/>
      <c r="H35" s="817"/>
      <c r="I35" s="817"/>
    </row>
    <row r="36" spans="1:9" s="826" customFormat="1" ht="19.5" customHeight="1">
      <c r="A36" s="3578"/>
      <c r="B36" s="3578" t="s">
        <v>563</v>
      </c>
      <c r="C36" s="822" t="s">
        <v>594</v>
      </c>
      <c r="D36" s="823"/>
      <c r="E36" s="821">
        <v>1</v>
      </c>
      <c r="F36" s="824" t="s">
        <v>595</v>
      </c>
      <c r="G36" s="825"/>
      <c r="H36" s="817"/>
      <c r="I36" s="817"/>
    </row>
    <row r="37" spans="1:9" s="826" customFormat="1" ht="19.5" customHeight="1">
      <c r="A37" s="3578"/>
      <c r="B37" s="3578"/>
      <c r="C37" s="822" t="s">
        <v>596</v>
      </c>
      <c r="D37" s="823"/>
      <c r="E37" s="821">
        <v>1.5</v>
      </c>
      <c r="F37" s="824" t="s">
        <v>597</v>
      </c>
      <c r="G37" s="825"/>
      <c r="H37" s="817"/>
      <c r="I37" s="817"/>
    </row>
    <row r="38" spans="1:9" s="826" customFormat="1" ht="19.5" customHeight="1">
      <c r="A38" s="3578"/>
      <c r="B38" s="3578"/>
      <c r="C38" s="822" t="s">
        <v>598</v>
      </c>
      <c r="D38" s="823"/>
      <c r="E38" s="821">
        <v>1</v>
      </c>
      <c r="F38" s="824" t="s">
        <v>599</v>
      </c>
      <c r="G38" s="825"/>
      <c r="H38" s="817"/>
      <c r="I38" s="817"/>
    </row>
    <row r="39" spans="1:9" s="826" customFormat="1" ht="19.5" customHeight="1">
      <c r="A39" s="3578"/>
      <c r="B39" s="357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78" t="s">
        <v>614</v>
      </c>
      <c r="C61" s="757" t="s">
        <v>615</v>
      </c>
      <c r="D61" s="757" t="s">
        <v>616</v>
      </c>
      <c r="E61" s="834">
        <v>0.5</v>
      </c>
      <c r="F61" s="821">
        <v>80</v>
      </c>
    </row>
    <row r="62" spans="1:8" s="817" customFormat="1" ht="24">
      <c r="A62" s="821">
        <v>2</v>
      </c>
      <c r="B62" s="3578"/>
      <c r="C62" s="757" t="s">
        <v>617</v>
      </c>
      <c r="D62" s="757" t="s">
        <v>618</v>
      </c>
      <c r="E62" s="834">
        <v>0.5</v>
      </c>
      <c r="F62" s="821">
        <v>80</v>
      </c>
    </row>
    <row r="63" spans="1:8" s="817" customFormat="1" ht="36">
      <c r="A63" s="821">
        <v>3</v>
      </c>
      <c r="B63" s="3578"/>
      <c r="C63" s="757" t="s">
        <v>619</v>
      </c>
      <c r="D63" s="757" t="s">
        <v>620</v>
      </c>
      <c r="E63" s="834">
        <v>0.5</v>
      </c>
      <c r="F63" s="821">
        <v>80</v>
      </c>
    </row>
    <row r="64" spans="1:8" s="817" customFormat="1" ht="36">
      <c r="A64" s="821">
        <v>4</v>
      </c>
      <c r="B64" s="3578"/>
      <c r="C64" s="757" t="s">
        <v>621</v>
      </c>
      <c r="D64" s="757" t="s">
        <v>622</v>
      </c>
      <c r="E64" s="834">
        <v>0.4</v>
      </c>
      <c r="F64" s="821">
        <v>60</v>
      </c>
    </row>
    <row r="65" spans="1:6" s="817" customFormat="1" ht="36">
      <c r="A65" s="821">
        <v>5</v>
      </c>
      <c r="B65" s="3578"/>
      <c r="C65" s="757" t="s">
        <v>623</v>
      </c>
      <c r="D65" s="757" t="s">
        <v>624</v>
      </c>
      <c r="E65" s="834">
        <v>0.2</v>
      </c>
      <c r="F65" s="821">
        <v>30</v>
      </c>
    </row>
    <row r="66" spans="1:6" s="817" customFormat="1" ht="36">
      <c r="A66" s="821">
        <v>6</v>
      </c>
      <c r="B66" s="3578"/>
      <c r="C66" s="757" t="s">
        <v>625</v>
      </c>
      <c r="D66" s="757" t="s">
        <v>626</v>
      </c>
      <c r="E66" s="834">
        <v>0.3</v>
      </c>
      <c r="F66" s="821">
        <v>50</v>
      </c>
    </row>
    <row r="67" spans="1:6" s="817" customFormat="1" ht="36">
      <c r="A67" s="821">
        <v>7</v>
      </c>
      <c r="B67" s="3578"/>
      <c r="C67" s="757" t="s">
        <v>627</v>
      </c>
      <c r="D67" s="757" t="s">
        <v>628</v>
      </c>
      <c r="E67" s="834">
        <v>0.2</v>
      </c>
      <c r="F67" s="821">
        <v>30</v>
      </c>
    </row>
    <row r="68" spans="1:6" s="817" customFormat="1" ht="36">
      <c r="A68" s="821">
        <v>8</v>
      </c>
      <c r="B68" s="3578"/>
      <c r="C68" s="757" t="s">
        <v>629</v>
      </c>
      <c r="D68" s="757" t="s">
        <v>630</v>
      </c>
      <c r="E68" s="834">
        <v>0.2</v>
      </c>
      <c r="F68" s="821">
        <v>30</v>
      </c>
    </row>
    <row r="69" spans="1:6" s="817" customFormat="1" ht="36">
      <c r="A69" s="821">
        <v>9</v>
      </c>
      <c r="B69" s="3578"/>
      <c r="C69" s="757" t="s">
        <v>631</v>
      </c>
      <c r="D69" s="757" t="s">
        <v>632</v>
      </c>
      <c r="E69" s="834">
        <v>0.2</v>
      </c>
      <c r="F69" s="821">
        <v>30</v>
      </c>
    </row>
    <row r="70" spans="1:6" s="817" customFormat="1" ht="48">
      <c r="A70" s="821">
        <v>10</v>
      </c>
      <c r="B70" s="3578"/>
      <c r="C70" s="757" t="s">
        <v>633</v>
      </c>
      <c r="D70" s="757" t="s">
        <v>634</v>
      </c>
      <c r="E70" s="834">
        <v>0.2</v>
      </c>
      <c r="F70" s="821">
        <v>30</v>
      </c>
    </row>
    <row r="71" spans="1:6" s="817" customFormat="1" ht="48">
      <c r="A71" s="821">
        <v>11</v>
      </c>
      <c r="B71" s="3578"/>
      <c r="C71" s="757" t="s">
        <v>635</v>
      </c>
      <c r="D71" s="757" t="s">
        <v>636</v>
      </c>
      <c r="E71" s="834">
        <v>0.2</v>
      </c>
      <c r="F71" s="821">
        <v>30</v>
      </c>
    </row>
    <row r="72" spans="1:6" s="817" customFormat="1" ht="36">
      <c r="A72" s="821">
        <v>12</v>
      </c>
      <c r="B72" s="3578"/>
      <c r="C72" s="757" t="s">
        <v>637</v>
      </c>
      <c r="D72" s="757" t="s">
        <v>638</v>
      </c>
      <c r="E72" s="834">
        <v>0.5</v>
      </c>
      <c r="F72" s="821">
        <v>80</v>
      </c>
    </row>
    <row r="73" spans="1:6" s="817" customFormat="1" ht="24">
      <c r="A73" s="821">
        <v>13</v>
      </c>
      <c r="B73" s="3578"/>
      <c r="C73" s="757" t="s">
        <v>639</v>
      </c>
      <c r="D73" s="757" t="s">
        <v>640</v>
      </c>
      <c r="E73" s="834">
        <v>0.4</v>
      </c>
      <c r="F73" s="821">
        <v>60</v>
      </c>
    </row>
    <row r="74" spans="1:6" s="817" customFormat="1" ht="24">
      <c r="A74" s="821">
        <v>14</v>
      </c>
      <c r="B74" s="3578"/>
      <c r="C74" s="757" t="s">
        <v>641</v>
      </c>
      <c r="D74" s="757" t="s">
        <v>642</v>
      </c>
      <c r="E74" s="834">
        <v>0.2</v>
      </c>
      <c r="F74" s="821">
        <v>30</v>
      </c>
    </row>
    <row r="75" spans="1:6" s="817" customFormat="1" ht="24">
      <c r="A75" s="821">
        <v>15</v>
      </c>
      <c r="B75" s="3578"/>
      <c r="C75" s="757" t="s">
        <v>643</v>
      </c>
      <c r="D75" s="757" t="s">
        <v>644</v>
      </c>
      <c r="E75" s="834">
        <v>0.2</v>
      </c>
      <c r="F75" s="821">
        <v>30</v>
      </c>
    </row>
    <row r="76" spans="1:6" s="817" customFormat="1" ht="24">
      <c r="A76" s="821">
        <v>16</v>
      </c>
      <c r="B76" s="3578" t="s">
        <v>645</v>
      </c>
      <c r="C76" s="757" t="s">
        <v>646</v>
      </c>
      <c r="D76" s="757" t="s">
        <v>647</v>
      </c>
      <c r="E76" s="834">
        <v>0.5</v>
      </c>
      <c r="F76" s="821">
        <v>80</v>
      </c>
    </row>
    <row r="77" spans="1:6" s="817" customFormat="1" ht="24">
      <c r="A77" s="821">
        <v>17</v>
      </c>
      <c r="B77" s="3578"/>
      <c r="C77" s="757" t="s">
        <v>648</v>
      </c>
      <c r="D77" s="757" t="s">
        <v>649</v>
      </c>
      <c r="E77" s="834">
        <v>0.5</v>
      </c>
      <c r="F77" s="821">
        <v>80</v>
      </c>
    </row>
    <row r="78" spans="1:6" s="817" customFormat="1" ht="24">
      <c r="A78" s="821">
        <v>18</v>
      </c>
      <c r="B78" s="3578"/>
      <c r="C78" s="757" t="s">
        <v>650</v>
      </c>
      <c r="D78" s="757" t="s">
        <v>651</v>
      </c>
      <c r="E78" s="834">
        <v>0.2</v>
      </c>
      <c r="F78" s="821">
        <v>30</v>
      </c>
    </row>
    <row r="79" spans="1:6" s="817" customFormat="1" ht="24">
      <c r="A79" s="821">
        <v>19</v>
      </c>
      <c r="B79" s="3578"/>
      <c r="C79" s="757" t="s">
        <v>652</v>
      </c>
      <c r="D79" s="757" t="s">
        <v>653</v>
      </c>
      <c r="E79" s="834">
        <v>0.5</v>
      </c>
      <c r="F79" s="821">
        <v>80</v>
      </c>
    </row>
    <row r="80" spans="1:6" s="817" customFormat="1" ht="36">
      <c r="A80" s="821">
        <v>20</v>
      </c>
      <c r="B80" s="3578"/>
      <c r="C80" s="757" t="s">
        <v>654</v>
      </c>
      <c r="D80" s="757" t="s">
        <v>655</v>
      </c>
      <c r="E80" s="834">
        <v>0.2</v>
      </c>
      <c r="F80" s="821">
        <v>30</v>
      </c>
    </row>
    <row r="81" spans="1:6" s="817" customFormat="1" ht="36">
      <c r="A81" s="821">
        <v>21</v>
      </c>
      <c r="B81" s="3578"/>
      <c r="C81" s="757" t="s">
        <v>656</v>
      </c>
      <c r="D81" s="757" t="s">
        <v>657</v>
      </c>
      <c r="E81" s="834">
        <v>0.2</v>
      </c>
      <c r="F81" s="821">
        <v>30</v>
      </c>
    </row>
    <row r="82" spans="1:6" s="817" customFormat="1" ht="48">
      <c r="A82" s="821">
        <v>22</v>
      </c>
      <c r="B82" s="3578"/>
      <c r="C82" s="757" t="s">
        <v>658</v>
      </c>
      <c r="D82" s="757" t="s">
        <v>659</v>
      </c>
      <c r="E82" s="834">
        <v>0.2</v>
      </c>
      <c r="F82" s="821">
        <v>30</v>
      </c>
    </row>
    <row r="83" spans="1:6" s="817" customFormat="1" ht="48">
      <c r="A83" s="821">
        <v>23</v>
      </c>
      <c r="B83" s="3578"/>
      <c r="C83" s="757" t="s">
        <v>660</v>
      </c>
      <c r="D83" s="757" t="s">
        <v>661</v>
      </c>
      <c r="E83" s="834">
        <v>0.2</v>
      </c>
      <c r="F83" s="821">
        <v>30</v>
      </c>
    </row>
    <row r="84" spans="1:6" s="817" customFormat="1" ht="36">
      <c r="A84" s="821">
        <v>24</v>
      </c>
      <c r="B84" s="3578"/>
      <c r="C84" s="757" t="s">
        <v>662</v>
      </c>
      <c r="D84" s="757" t="s">
        <v>663</v>
      </c>
      <c r="E84" s="834">
        <v>0.2</v>
      </c>
      <c r="F84" s="821">
        <v>30</v>
      </c>
    </row>
    <row r="85" spans="1:6" s="817" customFormat="1" ht="36">
      <c r="A85" s="821">
        <v>25</v>
      </c>
      <c r="B85" s="3578"/>
      <c r="C85" s="757" t="s">
        <v>664</v>
      </c>
      <c r="D85" s="757" t="s">
        <v>665</v>
      </c>
      <c r="E85" s="834">
        <v>0.5</v>
      </c>
      <c r="F85" s="821">
        <v>80</v>
      </c>
    </row>
    <row r="86" spans="1:6" s="817" customFormat="1" ht="36">
      <c r="A86" s="821">
        <v>26</v>
      </c>
      <c r="B86" s="3578"/>
      <c r="C86" s="757" t="s">
        <v>666</v>
      </c>
      <c r="D86" s="757" t="s">
        <v>667</v>
      </c>
      <c r="E86" s="834">
        <v>0.2</v>
      </c>
      <c r="F86" s="821">
        <v>30</v>
      </c>
    </row>
    <row r="87" spans="1:6" s="817" customFormat="1" ht="36">
      <c r="A87" s="821">
        <v>27</v>
      </c>
      <c r="B87" s="3578"/>
      <c r="C87" s="757" t="s">
        <v>668</v>
      </c>
      <c r="D87" s="757" t="s">
        <v>669</v>
      </c>
      <c r="E87" s="834">
        <v>0.2</v>
      </c>
      <c r="F87" s="821">
        <v>30</v>
      </c>
    </row>
    <row r="88" spans="1:6" s="817" customFormat="1" ht="36">
      <c r="A88" s="821">
        <v>28</v>
      </c>
      <c r="B88" s="3578"/>
      <c r="C88" s="757" t="s">
        <v>670</v>
      </c>
      <c r="D88" s="757" t="s">
        <v>671</v>
      </c>
      <c r="E88" s="834">
        <v>0.2</v>
      </c>
      <c r="F88" s="821">
        <v>30</v>
      </c>
    </row>
    <row r="89" spans="1:6" s="817" customFormat="1" ht="24">
      <c r="A89" s="821">
        <v>29</v>
      </c>
      <c r="B89" s="3578"/>
      <c r="C89" s="757" t="s">
        <v>672</v>
      </c>
      <c r="D89" s="757" t="s">
        <v>673</v>
      </c>
      <c r="E89" s="834">
        <v>0.2</v>
      </c>
      <c r="F89" s="821">
        <v>30</v>
      </c>
    </row>
    <row r="90" spans="1:6" s="817" customFormat="1" ht="24">
      <c r="A90" s="821">
        <v>30</v>
      </c>
      <c r="B90" s="3578"/>
      <c r="C90" s="757" t="s">
        <v>674</v>
      </c>
      <c r="D90" s="757" t="s">
        <v>675</v>
      </c>
      <c r="E90" s="834">
        <v>0.2</v>
      </c>
      <c r="F90" s="821">
        <v>30</v>
      </c>
    </row>
    <row r="91" spans="1:6" s="817" customFormat="1" ht="36">
      <c r="A91" s="821">
        <v>31</v>
      </c>
      <c r="B91" s="3578"/>
      <c r="C91" s="757" t="s">
        <v>676</v>
      </c>
      <c r="D91" s="757" t="s">
        <v>677</v>
      </c>
      <c r="E91" s="834">
        <v>0.2</v>
      </c>
      <c r="F91" s="821">
        <v>30</v>
      </c>
    </row>
    <row r="92" spans="1:6" s="817" customFormat="1" ht="24">
      <c r="A92" s="821">
        <v>32</v>
      </c>
      <c r="B92" s="3578" t="s">
        <v>678</v>
      </c>
      <c r="C92" s="821" t="s">
        <v>679</v>
      </c>
      <c r="D92" s="757" t="s">
        <v>680</v>
      </c>
      <c r="E92" s="834">
        <v>0.2</v>
      </c>
      <c r="F92" s="821">
        <v>30</v>
      </c>
    </row>
    <row r="93" spans="1:6" s="817" customFormat="1" ht="36">
      <c r="A93" s="821">
        <v>33</v>
      </c>
      <c r="B93" s="3578"/>
      <c r="C93" s="821" t="s">
        <v>681</v>
      </c>
      <c r="D93" s="757" t="s">
        <v>682</v>
      </c>
      <c r="E93" s="834">
        <v>0.2</v>
      </c>
      <c r="F93" s="821">
        <v>30</v>
      </c>
    </row>
    <row r="94" spans="1:6" s="817" customFormat="1" ht="48">
      <c r="A94" s="821">
        <v>34</v>
      </c>
      <c r="B94" s="3578"/>
      <c r="C94" s="821" t="s">
        <v>683</v>
      </c>
      <c r="D94" s="757" t="s">
        <v>684</v>
      </c>
      <c r="E94" s="834">
        <v>0.2</v>
      </c>
      <c r="F94" s="821">
        <v>30</v>
      </c>
    </row>
    <row r="95" spans="1:6" s="817" customFormat="1" ht="36">
      <c r="A95" s="821">
        <v>35</v>
      </c>
      <c r="B95" s="3578"/>
      <c r="C95" s="821" t="s">
        <v>685</v>
      </c>
      <c r="D95" s="757" t="s">
        <v>686</v>
      </c>
      <c r="E95" s="834">
        <v>0.2</v>
      </c>
      <c r="F95" s="821">
        <v>30</v>
      </c>
    </row>
    <row r="96" spans="1:6" s="817" customFormat="1" ht="48">
      <c r="A96" s="821">
        <v>36</v>
      </c>
      <c r="B96" s="3578"/>
      <c r="C96" s="757" t="s">
        <v>687</v>
      </c>
      <c r="D96" s="757" t="s">
        <v>688</v>
      </c>
      <c r="E96" s="834">
        <v>0.2</v>
      </c>
      <c r="F96" s="821">
        <v>30</v>
      </c>
    </row>
    <row r="97" spans="1:6" s="817" customFormat="1" ht="36">
      <c r="A97" s="821">
        <v>37</v>
      </c>
      <c r="B97" s="3578"/>
      <c r="C97" s="821" t="s">
        <v>689</v>
      </c>
      <c r="D97" s="757" t="s">
        <v>690</v>
      </c>
      <c r="E97" s="834">
        <v>0.2</v>
      </c>
      <c r="F97" s="821">
        <v>30</v>
      </c>
    </row>
    <row r="98" spans="1:6" s="817" customFormat="1" ht="36">
      <c r="A98" s="821">
        <v>38</v>
      </c>
      <c r="B98" s="3578"/>
      <c r="C98" s="821" t="s">
        <v>691</v>
      </c>
      <c r="D98" s="757" t="s">
        <v>692</v>
      </c>
      <c r="E98" s="834">
        <v>0.2</v>
      </c>
      <c r="F98" s="821">
        <v>30</v>
      </c>
    </row>
    <row r="99" spans="1:6" s="817" customFormat="1" ht="36">
      <c r="A99" s="821">
        <v>39</v>
      </c>
      <c r="B99" s="3578" t="s">
        <v>693</v>
      </c>
      <c r="C99" s="821" t="s">
        <v>694</v>
      </c>
      <c r="D99" s="757" t="s">
        <v>695</v>
      </c>
      <c r="E99" s="834">
        <v>0.3</v>
      </c>
      <c r="F99" s="821">
        <v>50</v>
      </c>
    </row>
    <row r="100" spans="1:6" s="817" customFormat="1" ht="24">
      <c r="A100" s="821">
        <v>40</v>
      </c>
      <c r="B100" s="3578"/>
      <c r="C100" s="821" t="s">
        <v>696</v>
      </c>
      <c r="D100" s="757" t="s">
        <v>697</v>
      </c>
      <c r="E100" s="834">
        <v>0.2</v>
      </c>
      <c r="F100" s="821">
        <v>30</v>
      </c>
    </row>
    <row r="101" spans="1:6" s="817" customFormat="1" ht="36">
      <c r="A101" s="821">
        <v>41</v>
      </c>
      <c r="B101" s="357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78" t="s">
        <v>708</v>
      </c>
      <c r="C105" s="821" t="s">
        <v>709</v>
      </c>
      <c r="D105" s="757" t="s">
        <v>710</v>
      </c>
      <c r="E105" s="834">
        <v>0.2</v>
      </c>
      <c r="F105" s="821">
        <v>30</v>
      </c>
    </row>
    <row r="106" spans="1:6" s="817" customFormat="1" ht="36">
      <c r="A106" s="821">
        <v>46</v>
      </c>
      <c r="B106" s="3578"/>
      <c r="C106" s="821" t="s">
        <v>711</v>
      </c>
      <c r="D106" s="757" t="s">
        <v>712</v>
      </c>
      <c r="E106" s="834">
        <v>0.2</v>
      </c>
      <c r="F106" s="821">
        <v>30</v>
      </c>
    </row>
    <row r="107" spans="1:6" s="817" customFormat="1" ht="36">
      <c r="A107" s="821">
        <v>47</v>
      </c>
      <c r="B107" s="3578" t="s">
        <v>713</v>
      </c>
      <c r="C107" s="821" t="s">
        <v>714</v>
      </c>
      <c r="D107" s="757" t="s">
        <v>715</v>
      </c>
      <c r="E107" s="834">
        <v>0.3</v>
      </c>
      <c r="F107" s="821">
        <v>50</v>
      </c>
    </row>
    <row r="108" spans="1:6" s="817" customFormat="1" ht="36">
      <c r="A108" s="821">
        <v>48</v>
      </c>
      <c r="B108" s="357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78" t="s">
        <v>724</v>
      </c>
      <c r="C111" s="821" t="s">
        <v>725</v>
      </c>
      <c r="D111" s="757" t="s">
        <v>726</v>
      </c>
      <c r="E111" s="834">
        <v>0.2</v>
      </c>
      <c r="F111" s="821">
        <v>30</v>
      </c>
    </row>
    <row r="112" spans="1:6" s="817" customFormat="1" ht="24">
      <c r="A112" s="821">
        <v>52</v>
      </c>
      <c r="B112" s="3578"/>
      <c r="C112" s="821" t="s">
        <v>727</v>
      </c>
      <c r="D112" s="757" t="s">
        <v>728</v>
      </c>
      <c r="E112" s="834">
        <v>0.2</v>
      </c>
      <c r="F112" s="821">
        <v>30</v>
      </c>
    </row>
    <row r="113" spans="1:6" s="817" customFormat="1" ht="24">
      <c r="A113" s="821">
        <v>53</v>
      </c>
      <c r="B113" s="357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78" t="s">
        <v>737</v>
      </c>
      <c r="C116" s="821" t="s">
        <v>738</v>
      </c>
      <c r="D116" s="757" t="s">
        <v>739</v>
      </c>
      <c r="E116" s="834">
        <v>0.2</v>
      </c>
      <c r="F116" s="821">
        <v>30</v>
      </c>
    </row>
    <row r="117" spans="1:6" ht="36">
      <c r="A117" s="821">
        <v>57</v>
      </c>
      <c r="B117" s="357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2764</v>
      </c>
      <c r="B1" s="2333"/>
      <c r="C1" s="2333"/>
      <c r="D1" s="2333"/>
      <c r="E1" s="2333"/>
      <c r="F1" s="2994"/>
      <c r="G1" s="2994"/>
      <c r="H1" s="2994"/>
      <c r="I1" s="2994"/>
      <c r="J1" s="2994"/>
      <c r="K1" s="2994"/>
      <c r="L1" s="2994"/>
      <c r="M1" s="2994"/>
      <c r="N1" s="2994"/>
      <c r="O1" s="2994"/>
      <c r="P1" s="2994"/>
    </row>
    <row r="2" spans="1:16" ht="15.75">
      <c r="A2" s="2331" t="s">
        <v>2756</v>
      </c>
      <c r="B2" s="2798" t="e">
        <f ca="1">SUMIF(B6:B13,"&lt;&gt;#ref!",B6:B13)</f>
        <v>#DIV/0!</v>
      </c>
      <c r="C2" s="2331" t="s">
        <v>2757</v>
      </c>
      <c r="D2" s="2331" t="s">
        <v>2758</v>
      </c>
      <c r="E2" s="2808">
        <f ca="1">SUMIF(E6:E13,"&lt;&gt;#ref!",E6:E13)</f>
        <v>0</v>
      </c>
      <c r="F2" s="2994"/>
      <c r="G2" s="2994"/>
      <c r="H2" s="2994"/>
      <c r="I2" s="2994"/>
      <c r="J2" s="2994"/>
      <c r="K2" s="2994"/>
      <c r="L2" s="2994"/>
      <c r="M2" s="2994"/>
      <c r="N2" s="2994"/>
      <c r="O2" s="2994"/>
      <c r="P2" s="2994"/>
    </row>
    <row r="3" spans="1:16" ht="15.75">
      <c r="A3" s="2331" t="s">
        <v>2759</v>
      </c>
      <c r="B3" s="2798" t="e">
        <f ca="1">ROUND(B2*10000/E2,0)</f>
        <v>#DIV/0!</v>
      </c>
      <c r="C3" s="2331" t="s">
        <v>2765</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2760</v>
      </c>
      <c r="B5" s="2806" t="s">
        <v>2761</v>
      </c>
      <c r="C5" s="2332"/>
      <c r="D5" s="2994"/>
      <c r="E5" s="2807" t="s">
        <v>2762</v>
      </c>
      <c r="F5" s="2994"/>
      <c r="G5" s="2994"/>
      <c r="H5" s="2994"/>
      <c r="I5" s="2994"/>
      <c r="J5" s="2994"/>
      <c r="K5" s="2994"/>
      <c r="L5" s="2994"/>
      <c r="M5" s="2994"/>
      <c r="N5" s="2994"/>
      <c r="O5" s="2994"/>
      <c r="P5" s="2994"/>
    </row>
    <row r="6" spans="1:16" ht="15.75">
      <c r="A6" s="2805" t="s">
        <v>2763</v>
      </c>
      <c r="B6" s="2798" t="e">
        <f ca="1">SUMIF(INDIRECT("'"&amp;A6&amp;"'"&amp;"!A:A"),"总价",INDIRECT("'"&amp;A6&amp;"'"&amp;"!B:B"))</f>
        <v>#DIV/0!</v>
      </c>
      <c r="C6" s="2331" t="s">
        <v>2757</v>
      </c>
      <c r="D6" s="2994"/>
      <c r="E6" s="2808">
        <f ca="1">SUMIF(INDIRECT("'"&amp;A6&amp;"'"&amp;"!C:C"),"建筑面积",INDIRECT("'"&amp;A6&amp;"'"&amp;"!D:D"))</f>
        <v>0</v>
      </c>
      <c r="F6" s="2994"/>
      <c r="G6" s="2994"/>
      <c r="H6" s="2994"/>
      <c r="I6" s="2994"/>
      <c r="J6" s="2994"/>
      <c r="K6" s="2994"/>
      <c r="L6" s="2994"/>
      <c r="M6" s="2994"/>
      <c r="N6" s="2994"/>
      <c r="O6" s="2994"/>
      <c r="P6" s="2994"/>
    </row>
    <row r="7" spans="1:16" ht="15.75">
      <c r="A7" s="2805"/>
      <c r="B7" s="2798" t="e">
        <f ca="1">SUMIF(INDIRECT("'"&amp;A7&amp;"'"&amp;"!A:A"),"总价",INDIRECT("'"&amp;A7&amp;"'"&amp;"!B:B"))</f>
        <v>#REF!</v>
      </c>
      <c r="C7" s="2331" t="s">
        <v>2757</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2757</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2757</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2757</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2757</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2757</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2757</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0"/>
      <c r="C2" s="3250"/>
      <c r="D2" s="3250"/>
      <c r="E2" s="3250"/>
    </row>
    <row r="3" spans="1:5" ht="18">
      <c r="A3" s="3251" t="str">
        <f>IF(项目基本情况!B9="房地产市场价值","估价结果一览表（市场价值不需“结果表-1”）","估价结果一览表")</f>
        <v>估价结果一览表</v>
      </c>
      <c r="B3" s="3251"/>
      <c r="C3" s="3251"/>
      <c r="D3" s="3251"/>
      <c r="E3" s="3251"/>
    </row>
    <row r="4" spans="1:5" ht="19.5" thickBot="1">
      <c r="A4" s="1648"/>
      <c r="B4" s="3249" t="s">
        <v>1535</v>
      </c>
      <c r="C4" s="3249"/>
      <c r="D4" s="3249"/>
      <c r="E4" s="1648"/>
    </row>
    <row r="5" spans="1:5" ht="16.5" thickTop="1">
      <c r="A5" s="1646"/>
      <c r="B5" s="3247" t="s">
        <v>1527</v>
      </c>
      <c r="C5" s="1649" t="s">
        <v>1528</v>
      </c>
      <c r="D5" s="959" t="e">
        <f ca="1">结果表!H101</f>
        <v>#REF!</v>
      </c>
      <c r="E5" s="1646"/>
    </row>
    <row r="6" spans="1:5" ht="15.75">
      <c r="A6" s="1646"/>
      <c r="B6" s="3247"/>
      <c r="C6" s="1649" t="s">
        <v>1529</v>
      </c>
      <c r="D6" s="959" t="e">
        <f ca="1">NUMBERSTRING(INT(D5*10000),2)&amp;"元整"</f>
        <v>#REF!</v>
      </c>
      <c r="E6" s="1646"/>
    </row>
    <row r="7" spans="1:5" ht="15.75">
      <c r="A7" s="1646"/>
      <c r="B7" s="3252"/>
      <c r="C7" s="1650" t="s">
        <v>1530</v>
      </c>
      <c r="D7" s="960" t="e">
        <f ca="1">结果表!H102</f>
        <v>#REF!</v>
      </c>
      <c r="E7" s="1646"/>
    </row>
    <row r="8" spans="1:5" ht="15.75">
      <c r="A8" s="1646"/>
      <c r="B8" s="3253" t="str">
        <f>结果表!E103</f>
        <v>2.估价师知悉的法定优先受偿款</v>
      </c>
      <c r="C8" s="1651" t="s">
        <v>1531</v>
      </c>
      <c r="D8" s="960">
        <f>结果表!H103</f>
        <v>0</v>
      </c>
      <c r="E8" s="1646"/>
    </row>
    <row r="9" spans="1:5" ht="15.75">
      <c r="A9" s="1646"/>
      <c r="B9" s="3255"/>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46" t="str">
        <f>结果表!E107</f>
        <v>3.房地产抵押价值</v>
      </c>
      <c r="C13" s="1654" t="s">
        <v>1528</v>
      </c>
      <c r="D13" s="962" t="e">
        <f ca="1">结果表!H107</f>
        <v>#REF!</v>
      </c>
      <c r="E13" s="1646"/>
    </row>
    <row r="14" spans="1:5" ht="15.75">
      <c r="A14" s="1646"/>
      <c r="B14" s="3247"/>
      <c r="C14" s="1649" t="s">
        <v>1529</v>
      </c>
      <c r="D14" s="959" t="e">
        <f ca="1">NUMBERSTRING(INT(D13*10000),2)&amp;"元整"</f>
        <v>#REF!</v>
      </c>
      <c r="E14" s="1646"/>
    </row>
    <row r="15" spans="1:5" ht="15">
      <c r="A15" s="1646"/>
      <c r="B15" s="3252"/>
      <c r="C15" s="1650" t="s">
        <v>1539</v>
      </c>
      <c r="D15" s="968" t="e">
        <f ca="1">结果表!H108</f>
        <v>#REF!</v>
      </c>
      <c r="E15" s="1646"/>
    </row>
    <row r="16" spans="1:5" ht="15">
      <c r="A16" s="1646"/>
      <c r="B16" s="3253" t="str">
        <f>结果表!E109</f>
        <v>——</v>
      </c>
      <c r="C16" s="1654" t="s">
        <v>1540</v>
      </c>
      <c r="D16" s="1655" t="str">
        <f>结果表!H109</f>
        <v>——</v>
      </c>
      <c r="E16" s="1646"/>
    </row>
    <row r="17" spans="1:5" ht="15.75">
      <c r="A17" s="1646"/>
      <c r="B17" s="3254"/>
      <c r="C17" s="1649" t="s">
        <v>1541</v>
      </c>
      <c r="D17" s="959" t="e">
        <f>NUMBERSTRING(INT(D16*10000),2)&amp;"元整"</f>
        <v>#VALUE!</v>
      </c>
      <c r="E17" s="1646"/>
    </row>
    <row r="18" spans="1:5" ht="15">
      <c r="A18" s="1646"/>
      <c r="B18" s="3255"/>
      <c r="C18" s="1650" t="s">
        <v>1530</v>
      </c>
      <c r="D18" s="968" t="str">
        <f>结果表!H110</f>
        <v>——</v>
      </c>
      <c r="E18" s="1646"/>
    </row>
    <row r="19" spans="1:5" ht="15.75">
      <c r="A19" s="1646"/>
      <c r="B19" s="3246" t="str">
        <f>结果表!E111</f>
        <v>——</v>
      </c>
      <c r="C19" s="1654" t="s">
        <v>1528</v>
      </c>
      <c r="D19" s="960" t="str">
        <f>结果表!H111</f>
        <v>——</v>
      </c>
      <c r="E19" s="1646"/>
    </row>
    <row r="20" spans="1:5" ht="15.75">
      <c r="A20" s="1646"/>
      <c r="B20" s="3247"/>
      <c r="C20" s="1649" t="s">
        <v>1541</v>
      </c>
      <c r="D20" s="959" t="e">
        <f>NUMBERSTRING(INT(D19*10000),2)&amp;"元整"</f>
        <v>#VALUE!</v>
      </c>
      <c r="E20" s="1646"/>
    </row>
    <row r="21" spans="1:5" ht="15.75" thickBot="1">
      <c r="A21" s="1646"/>
      <c r="B21" s="3248"/>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84" t="s">
        <v>1058</v>
      </c>
      <c r="C1" s="3584"/>
      <c r="D1" s="3584"/>
      <c r="E1" s="3584"/>
      <c r="F1" s="3584"/>
      <c r="G1" s="3580" t="s">
        <v>1059</v>
      </c>
      <c r="H1" s="3580"/>
      <c r="I1" s="3580"/>
      <c r="J1" s="3580"/>
      <c r="K1" s="3580"/>
      <c r="L1" s="3580"/>
      <c r="N1" s="3580" t="s">
        <v>1060</v>
      </c>
      <c r="O1" s="3580"/>
      <c r="P1" s="3580"/>
      <c r="Q1" s="3580"/>
      <c r="S1" s="3580" t="s">
        <v>1061</v>
      </c>
      <c r="T1" s="3580"/>
      <c r="U1" s="3580"/>
      <c r="V1" s="3580"/>
      <c r="X1" s="3579" t="s">
        <v>1062</v>
      </c>
      <c r="Y1" s="3580"/>
      <c r="Z1" s="3580"/>
      <c r="AA1" s="3580"/>
      <c r="AB1" s="3580"/>
      <c r="AD1" s="3579" t="s">
        <v>1063</v>
      </c>
      <c r="AE1" s="3580"/>
      <c r="AF1" s="3580"/>
      <c r="AG1" s="3580"/>
      <c r="AH1" s="3580"/>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2797</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3130</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2798</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3129</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3006</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3005</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3004</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3001</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3000</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2814</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2812</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2811</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2810</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2808</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2806</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2809</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82">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2804</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82"/>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2803</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82"/>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2796</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89"/>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2794</v>
      </c>
      <c r="B22" s="2408">
        <v>439</v>
      </c>
      <c r="C22" s="2408">
        <v>327</v>
      </c>
      <c r="D22" s="2408">
        <f>C22</f>
        <v>327</v>
      </c>
      <c r="E22" s="2408">
        <v>627</v>
      </c>
      <c r="F22" s="2409">
        <v>283</v>
      </c>
      <c r="G22" s="3585">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2795</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82"/>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82"/>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89"/>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85">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82"/>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82"/>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83"/>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81">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82"/>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82"/>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83"/>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81">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82"/>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82"/>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83"/>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86">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87"/>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87"/>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88"/>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81">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82"/>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82"/>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83"/>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81">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82">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82">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83">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81">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82">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82">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83">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81">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82">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82">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83">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81">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82">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82">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83">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81">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82">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82">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83">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81">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82">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82">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83">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81">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82">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82">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83">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81">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82">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82">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83">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81">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82">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82">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83">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81">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82">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82">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83">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2766</v>
      </c>
      <c r="C1" s="3593" t="s">
        <v>2767</v>
      </c>
      <c r="D1" s="3594"/>
      <c r="E1" s="3594"/>
      <c r="F1" s="3594"/>
      <c r="G1" s="3594"/>
      <c r="H1" s="3594"/>
      <c r="I1" s="3594"/>
      <c r="J1" s="3594"/>
      <c r="K1" s="3594"/>
      <c r="L1" s="3594"/>
      <c r="M1" s="3594"/>
      <c r="N1" s="3594"/>
      <c r="O1" s="3594"/>
      <c r="P1" s="3594"/>
      <c r="Q1" s="3594"/>
      <c r="R1" s="3594"/>
      <c r="S1" s="3595"/>
      <c r="T1" s="1114" t="s">
        <v>2768</v>
      </c>
    </row>
    <row r="2" spans="1:45" s="663" customFormat="1">
      <c r="A2" s="1115"/>
      <c r="B2" s="659" t="s">
        <v>2769</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2770</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2771</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2772</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2773</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2774</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2775</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2776</v>
      </c>
      <c r="B17" s="2335" t="s">
        <v>2777</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2778</v>
      </c>
      <c r="E19" s="1494"/>
      <c r="F19" s="1494"/>
      <c r="G19" s="1494"/>
      <c r="H19" s="1190"/>
      <c r="I19" s="164"/>
      <c r="J19" s="164"/>
      <c r="K19" s="164"/>
      <c r="L19" s="164"/>
      <c r="M19" s="164"/>
      <c r="N19" s="164"/>
      <c r="O19" s="164"/>
      <c r="P19" s="164"/>
      <c r="Q19" s="164"/>
      <c r="R19" s="727"/>
      <c r="S19" s="134"/>
    </row>
    <row r="20" spans="1:45" ht="16.5" thickBot="1">
      <c r="A20" s="671" t="s">
        <v>2779</v>
      </c>
      <c r="B20" s="300" t="e">
        <f ca="1">IF(D20="——",S22,S22-F20)</f>
        <v>#REF!</v>
      </c>
      <c r="C20" s="164"/>
      <c r="D20" s="2337"/>
      <c r="E20" s="1495"/>
      <c r="F20" s="1114" t="e">
        <f ca="1">SUMIF(INDIRECT("'"&amp;H20&amp;"'"&amp;"!A:A"),"承租人权益价值",INDIRECT("'"&amp;H20&amp;"'"&amp;"!c:c"))</f>
        <v>#REF!</v>
      </c>
      <c r="G20" s="1114" t="s">
        <v>2780</v>
      </c>
      <c r="H20" s="2338"/>
      <c r="I20" s="164"/>
      <c r="J20" s="164"/>
      <c r="K20" s="164"/>
      <c r="L20" s="164"/>
      <c r="M20" s="164"/>
      <c r="N20" s="164"/>
      <c r="O20" s="164"/>
      <c r="P20" s="164"/>
      <c r="Q20" s="164"/>
      <c r="R20" s="727"/>
      <c r="S20" s="134"/>
    </row>
    <row r="21" spans="1:45" ht="15.75">
      <c r="A21" s="671" t="s">
        <v>2781</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2782</v>
      </c>
      <c r="B22" s="24">
        <f>SUM(B24:B10000)</f>
        <v>100</v>
      </c>
      <c r="C22" s="3590" t="s">
        <v>33</v>
      </c>
      <c r="D22" s="3591"/>
      <c r="E22" s="3591"/>
      <c r="F22" s="3591"/>
      <c r="G22" s="3591"/>
      <c r="H22" s="3591"/>
      <c r="I22" s="3591"/>
      <c r="J22" s="3591"/>
      <c r="K22" s="3591"/>
      <c r="L22" s="3591"/>
      <c r="M22" s="3591"/>
      <c r="N22" s="3591"/>
      <c r="O22" s="3591"/>
      <c r="P22" s="3591"/>
      <c r="Q22" s="3592"/>
      <c r="R22" s="672">
        <f>ROUND(S22*10000/B22,0)</f>
        <v>10000</v>
      </c>
      <c r="S22" s="24">
        <f>SUM(S24:S10000)</f>
        <v>100</v>
      </c>
    </row>
    <row r="23" spans="1:45" s="12" customFormat="1" ht="24">
      <c r="A23" s="11" t="s">
        <v>2783</v>
      </c>
      <c r="B23" s="11" t="s">
        <v>2784</v>
      </c>
      <c r="C23" s="11" t="s">
        <v>2785</v>
      </c>
      <c r="D23" s="11" t="str">
        <f>B5</f>
        <v>修正项2</v>
      </c>
      <c r="E23" s="11" t="s">
        <v>2785</v>
      </c>
      <c r="F23" s="11" t="str">
        <f>B7</f>
        <v>修正项3</v>
      </c>
      <c r="G23" s="11" t="s">
        <v>2785</v>
      </c>
      <c r="H23" s="11" t="str">
        <f>B9</f>
        <v>修正项4</v>
      </c>
      <c r="I23" s="11" t="s">
        <v>2785</v>
      </c>
      <c r="J23" s="11" t="str">
        <f>B11</f>
        <v>修正项5</v>
      </c>
      <c r="K23" s="11" t="s">
        <v>2785</v>
      </c>
      <c r="L23" s="11" t="str">
        <f>B13</f>
        <v>修正项6</v>
      </c>
      <c r="M23" s="11" t="s">
        <v>2785</v>
      </c>
      <c r="N23" s="11" t="str">
        <f>B15</f>
        <v>修正项7</v>
      </c>
      <c r="O23" s="11" t="s">
        <v>2785</v>
      </c>
      <c r="P23" s="11" t="str">
        <f>B17</f>
        <v>楼层</v>
      </c>
      <c r="Q23" s="11" t="s">
        <v>2785</v>
      </c>
      <c r="R23" s="673" t="s">
        <v>2786</v>
      </c>
      <c r="S23" s="11" t="s">
        <v>2787</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2788</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t="e">
        <f ca="1">C52</f>
        <v>#DIV/0!</v>
      </c>
      <c r="C2" s="2" t="s">
        <v>133</v>
      </c>
      <c r="D2" s="205"/>
      <c r="E2" s="205"/>
      <c r="F2" s="205"/>
      <c r="G2" s="205"/>
    </row>
    <row r="3" spans="1:7" s="206" customFormat="1" ht="18" customHeight="1" thickBot="1">
      <c r="A3" s="209" t="s">
        <v>85</v>
      </c>
      <c r="B3" s="210" t="e">
        <f ca="1">ROUND(B2*10000/'数据-汇总表'!E3,0)</f>
        <v>#DIV/0!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20000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0</v>
      </c>
      <c r="D7" s="226"/>
      <c r="E7" s="224"/>
      <c r="F7" s="227">
        <f>'数据-取费表'!B48+'数据-取费表'!B49</f>
        <v>0</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0</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0</v>
      </c>
      <c r="D19" s="958">
        <f>'数据-汇总表'!E3</f>
        <v>0</v>
      </c>
      <c r="E19" s="217">
        <f>'数据-取费表'!B31</f>
        <v>0</v>
      </c>
      <c r="F19" s="237"/>
      <c r="G19" s="1" t="s">
        <v>1042</v>
      </c>
    </row>
    <row r="20" spans="1:7" s="220" customFormat="1" ht="13.5" customHeight="1">
      <c r="A20" s="885" t="s">
        <v>1025</v>
      </c>
      <c r="B20" s="216" t="s">
        <v>104</v>
      </c>
      <c r="C20" s="238">
        <f>ROUND((C5+C19)*F20,0)</f>
        <v>0</v>
      </c>
      <c r="D20" s="238"/>
      <c r="E20" s="238"/>
      <c r="F20" s="239">
        <f>'数据-取费表'!B37</f>
        <v>0</v>
      </c>
      <c r="G20" s="1199" t="s">
        <v>1036</v>
      </c>
    </row>
    <row r="21" spans="1:7" s="220" customFormat="1" ht="13.5" customHeight="1">
      <c r="A21" s="885" t="s">
        <v>1027</v>
      </c>
      <c r="B21" s="216" t="s">
        <v>105</v>
      </c>
      <c r="C21" s="241">
        <f>F21</f>
        <v>0</v>
      </c>
      <c r="D21" s="242" t="s">
        <v>126</v>
      </c>
      <c r="E21" s="238"/>
      <c r="F21" s="239">
        <f>'数据-取费表'!B38</f>
        <v>0</v>
      </c>
      <c r="G21" s="240" t="s">
        <v>106</v>
      </c>
    </row>
    <row r="22" spans="1:7" s="220" customFormat="1" ht="13.5" customHeight="1">
      <c r="A22" s="885" t="s">
        <v>786</v>
      </c>
      <c r="B22" s="216" t="s">
        <v>107</v>
      </c>
      <c r="C22" s="1236">
        <f ca="1">ROUND(SUM(C23:C25),0)</f>
        <v>0</v>
      </c>
      <c r="D22" s="241">
        <f ca="1">C26</f>
        <v>0</v>
      </c>
      <c r="E22" s="242" t="s">
        <v>126</v>
      </c>
      <c r="F22" s="243">
        <f ca="1">'数据-取费表'!B40</f>
        <v>0</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0</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37">
        <f ca="1">ROUND(IF('数据-取费表'!B22&lt;=1,C20*F22*'数据-取费表'!B23/2,C20*(POWER((1+F22),'数据-取费表'!B23/2)-1)),0)</f>
        <v>0</v>
      </c>
      <c r="D25" s="244"/>
      <c r="E25" s="247"/>
      <c r="F25" s="245"/>
      <c r="G25" s="248" t="s">
        <v>110</v>
      </c>
    </row>
    <row r="26" spans="1:7" s="220" customFormat="1">
      <c r="A26" s="888" t="s">
        <v>795</v>
      </c>
      <c r="B26" s="221" t="s">
        <v>1028</v>
      </c>
      <c r="C26" s="244">
        <f ca="1">ROUND(IF('数据-取费表'!B22&lt;=1,F21*F22*'数据-取费表'!B23/2,F21*(POWER((1+F22),'数据-取费表'!B23/2)-1)),4)</f>
        <v>0</v>
      </c>
      <c r="D26" s="244"/>
      <c r="E26" s="247"/>
      <c r="F26" s="245"/>
      <c r="G26" s="249"/>
    </row>
    <row r="27" spans="1:7" s="220" customFormat="1" ht="24.75">
      <c r="A27" s="885" t="s">
        <v>787</v>
      </c>
      <c r="B27" s="250" t="s">
        <v>112</v>
      </c>
      <c r="C27" s="251" t="e">
        <f>C28</f>
        <v>#DIV/0!</v>
      </c>
      <c r="D27" s="241" t="e">
        <f>C29</f>
        <v>#DIV/0!</v>
      </c>
      <c r="E27" s="242" t="s">
        <v>126</v>
      </c>
      <c r="F27" s="252" t="e">
        <f>'数据-取费表'!Q16</f>
        <v>#DIV/0!</v>
      </c>
      <c r="G27" s="253" t="s">
        <v>1037</v>
      </c>
    </row>
    <row r="28" spans="1:7" s="220" customFormat="1" ht="13.5" customHeight="1">
      <c r="A28" s="888" t="s">
        <v>794</v>
      </c>
      <c r="B28" s="254" t="s">
        <v>1030</v>
      </c>
      <c r="C28" s="255" t="e">
        <f>ROUND((C5+C19+C20)*F27*'数据-取费表'!B21/'数据-取费表'!B20,0)</f>
        <v>#DIV/0!</v>
      </c>
      <c r="D28" s="241"/>
      <c r="E28" s="242"/>
      <c r="F28" s="252"/>
      <c r="G28" s="253"/>
    </row>
    <row r="29" spans="1:7" s="220" customFormat="1" ht="13.5" customHeight="1">
      <c r="A29" s="888" t="s">
        <v>792</v>
      </c>
      <c r="B29" s="254" t="s">
        <v>1031</v>
      </c>
      <c r="C29" s="244" t="e">
        <f>ROUND(C21*F27*'数据-取费表'!B21/'数据-取费表'!B20,4)</f>
        <v>#DIV/0!</v>
      </c>
      <c r="D29" s="241"/>
      <c r="E29" s="242"/>
      <c r="F29" s="252"/>
      <c r="G29" s="253"/>
    </row>
    <row r="30" spans="1:7" s="220" customFormat="1" ht="13.5" customHeight="1">
      <c r="A30" s="885" t="s">
        <v>788</v>
      </c>
      <c r="B30" s="216" t="s">
        <v>58</v>
      </c>
      <c r="C30" s="241">
        <f>F30</f>
        <v>0</v>
      </c>
      <c r="D30" s="242" t="s">
        <v>127</v>
      </c>
      <c r="E30" s="247"/>
      <c r="F30" s="243">
        <f>'数据-取费表'!B41</f>
        <v>0</v>
      </c>
      <c r="G30" s="240" t="s">
        <v>113</v>
      </c>
    </row>
    <row r="31" spans="1:7" ht="16.5" customHeight="1">
      <c r="A31" s="215">
        <v>1</v>
      </c>
      <c r="B31" s="216" t="s">
        <v>128</v>
      </c>
      <c r="C31" s="217" t="e">
        <f ca="1">ROUND((C5+C19+C20+C22+C27)/(1-C21-D22-D27-C30/(1+'数据-取费表'!B42)),0)</f>
        <v>#DIV/0!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0</v>
      </c>
      <c r="D34" s="223"/>
      <c r="E34" s="226"/>
      <c r="F34" s="263">
        <f>IF('数据-取费表'!B24=0,1,'数据-取费表'!N16)</f>
        <v>1</v>
      </c>
      <c r="G34" s="225" t="s">
        <v>116</v>
      </c>
    </row>
    <row r="35" spans="1:7" ht="13.5" customHeight="1">
      <c r="A35" s="888" t="s">
        <v>796</v>
      </c>
      <c r="B35" s="221" t="s">
        <v>60</v>
      </c>
      <c r="C35" s="226">
        <f>ROUND(C34*F35,0)</f>
        <v>0</v>
      </c>
      <c r="D35" s="226"/>
      <c r="E35" s="226"/>
      <c r="F35" s="265">
        <f>'数据-取费表'!B33</f>
        <v>0</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0</v>
      </c>
      <c r="D37" s="223">
        <f>'数据-汇总表'!E3</f>
        <v>0</v>
      </c>
      <c r="E37" s="255">
        <f>'数据-取费表'!B35</f>
        <v>0</v>
      </c>
      <c r="F37" s="265"/>
      <c r="G37" s="267" t="s">
        <v>119</v>
      </c>
    </row>
    <row r="38" spans="1:7" ht="13.5" customHeight="1">
      <c r="A38" s="888" t="s">
        <v>799</v>
      </c>
      <c r="B38" s="221" t="s">
        <v>63</v>
      </c>
      <c r="C38" s="226">
        <f>ROUND(C34*F38,0)</f>
        <v>0</v>
      </c>
      <c r="D38" s="226"/>
      <c r="E38" s="226"/>
      <c r="F38" s="265">
        <f>'数据-取费表'!B36</f>
        <v>0</v>
      </c>
      <c r="G38" s="225" t="s">
        <v>117</v>
      </c>
    </row>
    <row r="39" spans="1:7" s="220" customFormat="1" ht="13.5" customHeight="1">
      <c r="A39" s="885" t="s">
        <v>783</v>
      </c>
      <c r="B39" s="216" t="s">
        <v>104</v>
      </c>
      <c r="C39" s="238">
        <f>ROUND(C33*F20,0)</f>
        <v>0</v>
      </c>
      <c r="D39" s="238"/>
      <c r="E39" s="238"/>
      <c r="F39" s="239"/>
      <c r="G39" s="1199" t="s">
        <v>1039</v>
      </c>
    </row>
    <row r="40" spans="1:7" s="220" customFormat="1" ht="13.5" customHeight="1">
      <c r="A40" s="885" t="s">
        <v>784</v>
      </c>
      <c r="B40" s="216" t="s">
        <v>105</v>
      </c>
      <c r="C40" s="268">
        <f>F21</f>
        <v>0</v>
      </c>
      <c r="D40" s="242" t="s">
        <v>129</v>
      </c>
      <c r="E40" s="238"/>
      <c r="F40" s="239"/>
      <c r="G40" s="240" t="s">
        <v>120</v>
      </c>
    </row>
    <row r="41" spans="1:7" s="220" customFormat="1" ht="13.5" customHeight="1">
      <c r="A41" s="885" t="s">
        <v>785</v>
      </c>
      <c r="B41" s="216" t="s">
        <v>107</v>
      </c>
      <c r="C41" s="238">
        <f ca="1">ROUND(SUM(C42:C43),0)</f>
        <v>0</v>
      </c>
      <c r="D41" s="241">
        <f ca="1">C44</f>
        <v>0</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0</v>
      </c>
      <c r="D42" s="244"/>
      <c r="E42" s="244"/>
      <c r="F42" s="245"/>
      <c r="G42" s="3452" t="s">
        <v>121</v>
      </c>
    </row>
    <row r="43" spans="1:7" ht="13.5" customHeight="1">
      <c r="A43" s="888" t="s">
        <v>792</v>
      </c>
      <c r="B43" s="221" t="s">
        <v>1032</v>
      </c>
      <c r="C43" s="244">
        <f ca="1">ROUND(IF('数据-取费表'!B22&lt;=1,C39*F22*'数据-取费表'!B21/2,C39*(POWER((1+F22),'数据-取费表'!B21/2)-1)),0)</f>
        <v>0</v>
      </c>
      <c r="D43" s="244"/>
      <c r="E43" s="244"/>
      <c r="F43" s="245"/>
      <c r="G43" s="3453"/>
    </row>
    <row r="44" spans="1:7" ht="13.5" customHeight="1">
      <c r="A44" s="888" t="s">
        <v>793</v>
      </c>
      <c r="B44" s="221" t="s">
        <v>1034</v>
      </c>
      <c r="C44" s="244">
        <f ca="1">ROUND(IF('数据-取费表'!B22&lt;=1,C40*F22*'数据-取费表'!B21/2,C40*(POWER((1+F22),'数据-取费表'!B21/2)-1)),4)</f>
        <v>0</v>
      </c>
      <c r="D44" s="244"/>
      <c r="E44" s="244"/>
      <c r="F44" s="245"/>
      <c r="G44" s="3454"/>
    </row>
    <row r="45" spans="1:7" s="220" customFormat="1" ht="13.5" customHeight="1">
      <c r="A45" s="885" t="s">
        <v>786</v>
      </c>
      <c r="B45" s="250" t="s">
        <v>112</v>
      </c>
      <c r="C45" s="251" t="e">
        <f>C46</f>
        <v>#DIV/0!</v>
      </c>
      <c r="D45" s="241" t="e">
        <f>C47</f>
        <v>#DIV/0!</v>
      </c>
      <c r="E45" s="242" t="s">
        <v>129</v>
      </c>
      <c r="F45" s="252"/>
      <c r="G45" s="253" t="s">
        <v>1040</v>
      </c>
    </row>
    <row r="46" spans="1:7" s="220" customFormat="1" ht="13.5" customHeight="1">
      <c r="A46" s="888" t="s">
        <v>794</v>
      </c>
      <c r="B46" s="254" t="s">
        <v>1033</v>
      </c>
      <c r="C46" s="255" t="e">
        <f>ROUND((C33+C39)*F27,0)</f>
        <v>#DIV/0!</v>
      </c>
      <c r="D46" s="269"/>
      <c r="E46" s="242"/>
      <c r="F46" s="252"/>
      <c r="G46" s="253"/>
    </row>
    <row r="47" spans="1:7" s="220" customFormat="1" ht="13.5" customHeight="1">
      <c r="A47" s="888" t="s">
        <v>792</v>
      </c>
      <c r="B47" s="254" t="s">
        <v>1035</v>
      </c>
      <c r="C47" s="244" t="e">
        <f>ROUND(C40*F27,4)</f>
        <v>#DIV/0!</v>
      </c>
      <c r="D47" s="269"/>
      <c r="E47" s="242"/>
      <c r="F47" s="252"/>
      <c r="G47" s="253"/>
    </row>
    <row r="48" spans="1:7" s="220" customFormat="1" ht="13.5" customHeight="1">
      <c r="A48" s="885" t="s">
        <v>787</v>
      </c>
      <c r="B48" s="216" t="s">
        <v>122</v>
      </c>
      <c r="C48" s="268">
        <f>F30</f>
        <v>0</v>
      </c>
      <c r="D48" s="242" t="s">
        <v>130</v>
      </c>
      <c r="E48" s="238"/>
      <c r="F48" s="243"/>
      <c r="G48" s="240" t="s">
        <v>123</v>
      </c>
    </row>
    <row r="49" spans="1:7" ht="16.5" customHeight="1">
      <c r="A49" s="885" t="s">
        <v>788</v>
      </c>
      <c r="B49" s="216" t="s">
        <v>131</v>
      </c>
      <c r="C49" s="238" t="e">
        <f ca="1">ROUND((C33+C39+C41+C45)/(1-C40-D41-D45-C48/(1+'数据-取费表'!B42)),0)</f>
        <v>#DIV/0!</v>
      </c>
      <c r="D49" s="238"/>
      <c r="E49" s="238"/>
      <c r="F49" s="270"/>
      <c r="G49" s="240" t="s">
        <v>1041</v>
      </c>
    </row>
    <row r="50" spans="1:7" s="264" customFormat="1" ht="24">
      <c r="A50" s="885" t="s">
        <v>789</v>
      </c>
      <c r="B50" s="216" t="s">
        <v>124</v>
      </c>
      <c r="C50" s="238"/>
      <c r="D50" s="238"/>
      <c r="E50" s="238"/>
      <c r="F50" s="270" t="e">
        <f>IF('数据-取费表'!B24=0,'数据-取费表'!N16,1)</f>
        <v>#DIV/0!</v>
      </c>
      <c r="G50" s="253" t="s">
        <v>125</v>
      </c>
    </row>
    <row r="51" spans="1:7" ht="16.5" customHeight="1">
      <c r="A51" s="885" t="s">
        <v>790</v>
      </c>
      <c r="B51" s="216" t="s">
        <v>132</v>
      </c>
      <c r="C51" s="238" t="e">
        <f ca="1">ROUND(C49*F50,0)</f>
        <v>#DIV/0!</v>
      </c>
      <c r="D51" s="238"/>
      <c r="E51" s="238"/>
      <c r="F51" s="270"/>
      <c r="G51" s="240" t="s">
        <v>64</v>
      </c>
    </row>
    <row r="52" spans="1:7" s="214" customFormat="1" ht="16.5" thickBot="1">
      <c r="A52" s="271" t="s">
        <v>65</v>
      </c>
      <c r="B52" s="272"/>
      <c r="C52" s="273" t="e">
        <f ca="1">C31+C51</f>
        <v>#DIV/0!</v>
      </c>
      <c r="D52" s="272"/>
      <c r="E52" s="272"/>
      <c r="F52" s="272"/>
      <c r="G52" s="274"/>
    </row>
    <row r="55" spans="1:7" ht="15">
      <c r="B55" s="276" t="s">
        <v>66</v>
      </c>
      <c r="C55" s="277"/>
    </row>
    <row r="56" spans="1:7">
      <c r="B56" s="279" t="s">
        <v>67</v>
      </c>
      <c r="C56" s="280" t="e">
        <f ca="1">ROUND(C51/C52,3)</f>
        <v>#DIV/0!</v>
      </c>
    </row>
    <row r="57" spans="1:7">
      <c r="B57" s="279" t="s">
        <v>68</v>
      </c>
      <c r="C57" s="281"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6" t="s">
        <v>156</v>
      </c>
      <c r="B1" s="3596"/>
      <c r="C1" s="3596"/>
      <c r="D1" s="3596"/>
      <c r="E1" s="3596"/>
      <c r="F1" s="359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7" t="s">
        <v>169</v>
      </c>
      <c r="B2" s="3597"/>
      <c r="C2" s="3597"/>
      <c r="D2" s="3597"/>
      <c r="E2" s="3597"/>
      <c r="F2" s="359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9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6" t="s">
        <v>839</v>
      </c>
      <c r="B1" s="359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0</v>
      </c>
      <c r="D1" s="1442" t="s">
        <v>1209</v>
      </c>
      <c r="E1" s="1437">
        <f>'数据-取费表'!B22</f>
        <v>0</v>
      </c>
      <c r="F1" s="1442" t="s">
        <v>1210</v>
      </c>
      <c r="G1" s="1438">
        <f ca="1">INDIRECT("d"&amp;$K$1)/100</f>
        <v>0</v>
      </c>
      <c r="H1" s="1442" t="s">
        <v>1240</v>
      </c>
      <c r="I1" s="1438">
        <f ca="1">F4/100</f>
        <v>0</v>
      </c>
      <c r="J1" s="1443">
        <f>IF(C1&gt;C13,0,MATCH(C1,C$13:C$107,-1))+IF(SUMIF(C13:C107,C1,D13:D107)=0,13,12)</f>
        <v>65</v>
      </c>
      <c r="K1" s="1443">
        <f ca="1">MATCH(E1,C3:C7,1)+IF(SUMIF(C3:C7,E1,D3:D7)=0,2,1)</f>
        <v>3</v>
      </c>
      <c r="L1" s="1443">
        <f>IF(C1&gt;M13,0,MATCH(C1,M$13:M$100,-1))+IF(SUMIF(M13:M100,C1,N13:N100)=0,13,12)</f>
        <v>52</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0</v>
      </c>
      <c r="E3" s="1386">
        <v>0.5</v>
      </c>
      <c r="F3" s="1387">
        <f ca="1">INDIRECT("p"&amp;$L$1)</f>
        <v>0</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0</v>
      </c>
      <c r="E4" s="1392">
        <v>1</v>
      </c>
      <c r="F4" s="1393">
        <f ca="1">INDIRECT("q"&amp;$L$1)</f>
        <v>0</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0</v>
      </c>
      <c r="E5" s="1392">
        <v>2</v>
      </c>
      <c r="F5" s="1393">
        <f ca="1">INDIRECT("r"&amp;$L$1)</f>
        <v>0</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0</v>
      </c>
      <c r="E6" s="1392">
        <v>3</v>
      </c>
      <c r="F6" s="1393">
        <f ca="1">INDIRECT("s"&amp;$L$1)</f>
        <v>0</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0</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3002</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56" t="str">
        <f>IF(项目基本情况!B9="房地产市场价值","估价结果一览表","结果表-2")</f>
        <v>结果表-2</v>
      </c>
      <c r="B1" s="3256"/>
      <c r="C1" s="3256"/>
      <c r="D1" s="3256"/>
      <c r="E1" s="3256"/>
      <c r="F1" s="3256"/>
      <c r="G1" s="3256"/>
      <c r="H1" s="3256"/>
      <c r="I1" s="3256"/>
    </row>
    <row r="2" spans="1:9" ht="30" customHeight="1" thickTop="1">
      <c r="A2" s="3257" t="s">
        <v>1546</v>
      </c>
      <c r="B2" s="3257" t="s">
        <v>1547</v>
      </c>
      <c r="C2" s="3257" t="s">
        <v>1548</v>
      </c>
      <c r="D2" s="3257" t="str">
        <f>结果表!D116</f>
        <v>出让国有建设用地使用权价值</v>
      </c>
      <c r="E2" s="3257"/>
      <c r="F2" s="3257" t="str">
        <f>结果表!F116</f>
        <v>在建建筑物价值</v>
      </c>
      <c r="G2" s="3257"/>
      <c r="H2" s="3257" t="str">
        <f>IF(项目基本情况!B9="房地产市场价值","房地产市场价值","房地产价值")</f>
        <v>房地产价值</v>
      </c>
      <c r="I2" s="3257"/>
    </row>
    <row r="3" spans="1:9" ht="15">
      <c r="A3" s="3258"/>
      <c r="B3" s="3258"/>
      <c r="C3" s="3258"/>
      <c r="D3" s="963" t="s">
        <v>1543</v>
      </c>
      <c r="E3" s="963" t="s">
        <v>1549</v>
      </c>
      <c r="F3" s="963" t="s">
        <v>1543</v>
      </c>
      <c r="G3" s="963" t="s">
        <v>1544</v>
      </c>
      <c r="H3" s="963" t="s">
        <v>1543</v>
      </c>
      <c r="I3" s="963" t="s">
        <v>1544</v>
      </c>
    </row>
    <row r="4" spans="1:9" ht="15">
      <c r="A4" s="1660" t="str">
        <f>项目基本情况!S2</f>
        <v>房地产</v>
      </c>
      <c r="B4" s="963">
        <f>项目基本情况!C17</f>
        <v>0</v>
      </c>
      <c r="C4" s="963" t="e">
        <f>项目基本情况!C18</f>
        <v>#DIV/0!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58" t="s">
        <v>1545</v>
      </c>
      <c r="B5" s="3258"/>
      <c r="C5" s="3258"/>
      <c r="D5" s="3259" t="e">
        <f ca="1">结果表!D119</f>
        <v>#REF!</v>
      </c>
      <c r="E5" s="3259"/>
      <c r="F5" s="3259" t="e">
        <f ca="1">结果表!F119</f>
        <v>#REF!</v>
      </c>
      <c r="G5" s="3259"/>
      <c r="H5" s="3259" t="e">
        <f ca="1">结果表!H119</f>
        <v>#REF!</v>
      </c>
      <c r="I5" s="3259"/>
    </row>
    <row r="6" spans="1:9" ht="15.75">
      <c r="A6" s="3260" t="str">
        <f>结果表!A120</f>
        <v>估价师知悉的法定优先受偿款</v>
      </c>
      <c r="B6" s="3260"/>
      <c r="C6" s="3260"/>
      <c r="D6" s="3260">
        <f>结果表!D120</f>
        <v>0</v>
      </c>
      <c r="E6" s="3260"/>
      <c r="F6" s="3260"/>
      <c r="G6" s="3260"/>
      <c r="H6" s="3260"/>
      <c r="I6" s="3260"/>
    </row>
    <row r="7" spans="1:9" ht="15">
      <c r="A7" s="3258" t="s">
        <v>1545</v>
      </c>
      <c r="B7" s="3258"/>
      <c r="C7" s="3258"/>
      <c r="D7" s="3261" t="str">
        <f>结果表!D121</f>
        <v>零元整</v>
      </c>
      <c r="E7" s="3262"/>
      <c r="F7" s="3262"/>
      <c r="G7" s="3262"/>
      <c r="H7" s="3262"/>
      <c r="I7" s="3263"/>
    </row>
    <row r="8" spans="1:9" ht="15.75">
      <c r="A8" s="3260" t="str">
        <f>结果表!A122</f>
        <v>房地产抵押价值</v>
      </c>
      <c r="B8" s="3260"/>
      <c r="C8" s="3260"/>
      <c r="D8" s="3260" t="e">
        <f ca="1">结果表!D122</f>
        <v>#REF!</v>
      </c>
      <c r="E8" s="3260"/>
      <c r="F8" s="3260"/>
      <c r="G8" s="3260"/>
      <c r="H8" s="3260"/>
      <c r="I8" s="3260"/>
    </row>
    <row r="9" spans="1:9" ht="15">
      <c r="A9" s="3258" t="s">
        <v>1545</v>
      </c>
      <c r="B9" s="3258"/>
      <c r="C9" s="3258"/>
      <c r="D9" s="3259" t="e">
        <f ca="1">结果表!D123</f>
        <v>#REF!</v>
      </c>
      <c r="E9" s="3259"/>
      <c r="F9" s="3259"/>
      <c r="G9" s="3259"/>
      <c r="H9" s="3259"/>
      <c r="I9" s="3259"/>
    </row>
    <row r="10" spans="1:9" ht="15.75">
      <c r="A10" s="3260" t="str">
        <f>结果表!A124</f>
        <v/>
      </c>
      <c r="B10" s="3260"/>
      <c r="C10" s="3260"/>
      <c r="D10" s="3260" t="str">
        <f>结果表!D124</f>
        <v>——</v>
      </c>
      <c r="E10" s="3260"/>
      <c r="F10" s="3260"/>
      <c r="G10" s="3260"/>
      <c r="H10" s="3260"/>
      <c r="I10" s="3260"/>
    </row>
    <row r="11" spans="1:9" ht="15">
      <c r="A11" s="3258" t="s">
        <v>1545</v>
      </c>
      <c r="B11" s="3258"/>
      <c r="C11" s="3258"/>
      <c r="D11" s="3259" t="e">
        <f>结果表!D125</f>
        <v>#VALUE!</v>
      </c>
      <c r="E11" s="3259"/>
      <c r="F11" s="3259"/>
      <c r="G11" s="3259"/>
      <c r="H11" s="3259"/>
      <c r="I11" s="3259"/>
    </row>
    <row r="12" spans="1:9" ht="15.75">
      <c r="A12" s="3260" t="str">
        <f>结果表!A126</f>
        <v/>
      </c>
      <c r="B12" s="3260"/>
      <c r="C12" s="3260"/>
      <c r="D12" s="3260" t="str">
        <f>结果表!D126</f>
        <v>——</v>
      </c>
      <c r="E12" s="3260"/>
      <c r="F12" s="3260"/>
      <c r="G12" s="3260"/>
      <c r="H12" s="3260"/>
      <c r="I12" s="3260"/>
    </row>
    <row r="13" spans="1:9" ht="15.75" thickBot="1">
      <c r="A13" s="3264" t="s">
        <v>1545</v>
      </c>
      <c r="B13" s="3264"/>
      <c r="C13" s="3264"/>
      <c r="D13" s="3265" t="e">
        <f>结果表!D127</f>
        <v>#VALUE!</v>
      </c>
      <c r="E13" s="3265"/>
      <c r="F13" s="3265"/>
      <c r="G13" s="3265"/>
      <c r="H13" s="3265"/>
      <c r="I13" s="3265"/>
    </row>
    <row r="14" spans="1:9" ht="15" thickTop="1">
      <c r="A14" s="3266" t="s">
        <v>1550</v>
      </c>
      <c r="B14" s="3266"/>
      <c r="C14" s="3266"/>
      <c r="D14" s="3266"/>
      <c r="E14" s="3266"/>
      <c r="F14" s="3266"/>
      <c r="G14" s="3266"/>
      <c r="H14" s="3266"/>
      <c r="I14" s="3266"/>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67" t="s">
        <v>1567</v>
      </c>
      <c r="B1" s="3267"/>
      <c r="C1" s="3267"/>
      <c r="D1" s="3267"/>
    </row>
    <row r="2" spans="1:4" ht="18">
      <c r="A2" s="3268" t="s">
        <v>1551</v>
      </c>
      <c r="B2" s="3268"/>
      <c r="C2" s="3268"/>
      <c r="D2" s="3268"/>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68" t="s">
        <v>1557</v>
      </c>
      <c r="B6" s="3268"/>
      <c r="C6" s="3268"/>
      <c r="D6" s="3268"/>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69" t="s">
        <v>1560</v>
      </c>
      <c r="B11" s="3270"/>
      <c r="C11" s="3270"/>
      <c r="D11" s="3270"/>
    </row>
    <row r="12" spans="1:4" ht="15.75">
      <c r="A12" s="32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1"/>
      <c r="C12" s="3271"/>
      <c r="D12" s="3271"/>
    </row>
    <row r="13" spans="1:4" ht="30" customHeight="1">
      <c r="A13" s="3270" t="str">
        <f>IF(项目基本情况!B8="抵押","3.抵押双方在办理抵押登记手续时，应使用本公司出具的正式《房地产评估报告》，特提醒报告使用者注意。","——")</f>
        <v>——</v>
      </c>
      <c r="B13" s="3271"/>
      <c r="C13" s="3271"/>
      <c r="D13" s="3271"/>
    </row>
    <row r="14" spans="1:4" ht="15.75" customHeight="1">
      <c r="A14" s="3270" t="str">
        <f>IF(项目基本情况!B8="抵押","4.本次评估估价师所知悉的法定优先受偿款情况说明如下：","——")</f>
        <v>——</v>
      </c>
      <c r="B14" s="3271"/>
      <c r="C14" s="3271"/>
      <c r="D14" s="3271"/>
    </row>
    <row r="15" spans="1:4" ht="42" customHeight="1">
      <c r="A15" s="3270" t="str">
        <f>IF(项目基本情况!B8="抵押","（1）"&amp;CONCATENATE(项目基本情况!L20,项目基本情况!L21,项目基本情况!L22),"——")</f>
        <v>——</v>
      </c>
      <c r="B15" s="3270"/>
      <c r="C15" s="3270"/>
      <c r="D15" s="3270"/>
    </row>
    <row r="16" spans="1:4" ht="30" customHeight="1">
      <c r="A16" s="3273" t="s">
        <v>1561</v>
      </c>
      <c r="B16" s="3273"/>
      <c r="C16" s="3273"/>
      <c r="D16" s="3273"/>
    </row>
    <row r="17" spans="1:4" ht="144" customHeight="1">
      <c r="A17" s="3273" t="s">
        <v>1562</v>
      </c>
      <c r="B17" s="3273"/>
      <c r="C17" s="3273"/>
      <c r="D17" s="3273"/>
    </row>
    <row r="18" spans="1:4" ht="15.75" customHeight="1">
      <c r="A18" s="3270" t="str">
        <f>IF(项目基本情况!B8="抵押",结果表!K120,"——")</f>
        <v>——</v>
      </c>
      <c r="B18" s="3270"/>
      <c r="C18" s="3270"/>
      <c r="D18" s="3270"/>
    </row>
    <row r="19" spans="1:4" ht="46.5" customHeight="1">
      <c r="A19" s="32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0"/>
      <c r="C19" s="3270"/>
      <c r="D19" s="3270"/>
    </row>
    <row r="20" spans="1:4" ht="57.75" customHeight="1">
      <c r="A20" s="32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0"/>
      <c r="C20" s="3270"/>
      <c r="D20" s="3270"/>
    </row>
    <row r="21" spans="1:4" ht="57.75" customHeight="1">
      <c r="A21" s="32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4"/>
      <c r="C21" s="3274"/>
      <c r="D21" s="3274"/>
    </row>
    <row r="22" spans="1:4" ht="18.75" customHeight="1">
      <c r="A22" s="3275" t="s">
        <v>1563</v>
      </c>
      <c r="B22" s="3275"/>
      <c r="C22" s="3275"/>
      <c r="D22" s="3275"/>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72">
        <v>42551</v>
      </c>
      <c r="D31" s="32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81" t="s">
        <v>1574</v>
      </c>
      <c r="B15" s="3276" t="s">
        <v>136</v>
      </c>
      <c r="C15" s="3277"/>
    </row>
    <row r="16" spans="1:7" ht="13.5">
      <c r="A16" s="3282"/>
      <c r="B16" s="3276" t="s">
        <v>69</v>
      </c>
      <c r="C16" s="3277"/>
    </row>
    <row r="17" spans="1:3" ht="13.5">
      <c r="A17" s="3282"/>
      <c r="B17" s="3279" t="s">
        <v>1575</v>
      </c>
      <c r="C17" s="1687" t="s">
        <v>1574</v>
      </c>
    </row>
    <row r="18" spans="1:3" ht="13.5">
      <c r="A18" s="3282"/>
      <c r="B18" s="3279"/>
      <c r="C18" s="1687" t="s">
        <v>1576</v>
      </c>
    </row>
    <row r="19" spans="1:3" ht="13.5">
      <c r="A19" s="3282"/>
      <c r="B19" s="3279"/>
      <c r="C19" s="1687" t="s">
        <v>1577</v>
      </c>
    </row>
    <row r="20" spans="1:3" ht="13.5">
      <c r="A20" s="3283"/>
      <c r="B20" s="3278" t="s">
        <v>1578</v>
      </c>
      <c r="C20" s="3277"/>
    </row>
    <row r="21" spans="1:3" ht="13.5">
      <c r="A21" s="1688" t="s">
        <v>1579</v>
      </c>
      <c r="B21" s="1689"/>
      <c r="C21" s="1690"/>
    </row>
    <row r="22" spans="1:3" ht="13.5">
      <c r="A22" s="3280" t="s">
        <v>1580</v>
      </c>
      <c r="B22" s="3278" t="s">
        <v>1581</v>
      </c>
      <c r="C22" s="3277"/>
    </row>
    <row r="23" spans="1:3" ht="13.5">
      <c r="A23" s="3280"/>
      <c r="B23" s="3278" t="s">
        <v>1582</v>
      </c>
      <c r="C23" s="3277"/>
    </row>
    <row r="24" spans="1:3" ht="13.5">
      <c r="A24" s="3280"/>
      <c r="B24" s="3278" t="s">
        <v>1583</v>
      </c>
      <c r="C24" s="3277"/>
    </row>
    <row r="25" spans="1:3" ht="13.5">
      <c r="A25" s="3280"/>
      <c r="B25" s="3279" t="s">
        <v>1584</v>
      </c>
      <c r="C25" s="1687" t="s">
        <v>1585</v>
      </c>
    </row>
    <row r="26" spans="1:3" ht="13.5">
      <c r="A26" s="3280"/>
      <c r="B26" s="3279"/>
      <c r="C26" s="1687" t="s">
        <v>1586</v>
      </c>
    </row>
    <row r="27" spans="1:3" ht="13.5">
      <c r="A27" s="3280"/>
      <c r="B27" s="3279"/>
      <c r="C27" s="1687" t="s">
        <v>1587</v>
      </c>
    </row>
    <row r="28" spans="1:3" ht="13.5">
      <c r="A28" s="3280"/>
      <c r="B28" s="3279"/>
      <c r="C28" s="1687" t="s">
        <v>1588</v>
      </c>
    </row>
    <row r="29" spans="1:3" ht="13.5">
      <c r="A29" s="3280"/>
      <c r="B29" s="3279"/>
      <c r="C29" s="1687" t="s">
        <v>1589</v>
      </c>
    </row>
    <row r="30" spans="1:3" ht="13.5">
      <c r="A30" s="3280"/>
      <c r="B30" s="3279"/>
      <c r="C30" s="1687" t="s">
        <v>1590</v>
      </c>
    </row>
    <row r="31" spans="1:3" ht="13.5">
      <c r="A31" s="3280"/>
      <c r="B31" s="3279"/>
      <c r="C31" s="1687" t="s">
        <v>1591</v>
      </c>
    </row>
    <row r="32" spans="1:3" ht="13.5">
      <c r="A32" s="3280"/>
      <c r="B32" s="3279"/>
      <c r="C32" s="1687" t="s">
        <v>1592</v>
      </c>
    </row>
    <row r="33" spans="1:3" ht="13.5">
      <c r="A33" s="3280"/>
      <c r="B33" s="3279"/>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2823</v>
      </c>
      <c r="B2" s="2532">
        <f ca="1">TODAY()</f>
        <v>44635</v>
      </c>
      <c r="C2" s="2533" t="s">
        <v>2824</v>
      </c>
      <c r="D2" s="2533"/>
      <c r="E2" s="2533"/>
      <c r="F2" s="2529"/>
      <c r="G2" s="2529"/>
      <c r="H2" s="2529"/>
    </row>
    <row r="3" spans="1:8" ht="24" customHeight="1">
      <c r="A3" s="2534" t="s">
        <v>2825</v>
      </c>
      <c r="B3" s="2535" t="s">
        <v>2826</v>
      </c>
      <c r="C3" s="2535" t="s">
        <v>2827</v>
      </c>
      <c r="D3" s="2536" t="s">
        <v>2828</v>
      </c>
      <c r="E3" s="2537" t="s">
        <v>2829</v>
      </c>
      <c r="F3" s="1444" t="s">
        <v>2830</v>
      </c>
      <c r="G3" s="2535" t="s">
        <v>2827</v>
      </c>
      <c r="H3" s="2536" t="s">
        <v>2831</v>
      </c>
    </row>
    <row r="4" spans="1:8" ht="24" customHeight="1">
      <c r="A4" s="1444" t="s">
        <v>2832</v>
      </c>
      <c r="B4" s="1444">
        <f ca="1">IF(C4&lt;B2,"已过期",1119970066)</f>
        <v>1119970066</v>
      </c>
      <c r="C4" s="2538">
        <v>44876</v>
      </c>
      <c r="D4" s="2539" t="str">
        <f ca="1">A4&amp;"（注册号："&amp;B4&amp;"）"</f>
        <v>梁津（注册号：1119970066）</v>
      </c>
      <c r="E4" s="2540" t="s">
        <v>2832</v>
      </c>
      <c r="F4" s="1444">
        <f ca="1">IF(G4&lt;B2,"已过期",96010014)</f>
        <v>96010014</v>
      </c>
      <c r="G4" s="2541">
        <v>47118</v>
      </c>
      <c r="H4" s="2542" t="str">
        <f ca="1">E4&amp;"（注册号："&amp;F4&amp;"）"</f>
        <v>梁津（注册号：96010014）</v>
      </c>
    </row>
    <row r="5" spans="1:8" ht="24" customHeight="1">
      <c r="A5" s="1444" t="s">
        <v>2833</v>
      </c>
      <c r="B5" s="1444">
        <f ca="1">IF(C5&lt;B2,"已过期",1119970111)</f>
        <v>1119970111</v>
      </c>
      <c r="C5" s="2538">
        <v>44876</v>
      </c>
      <c r="D5" s="2539" t="str">
        <f t="shared" ref="D5:D15" ca="1" si="0">A5&amp;"（注册号："&amp;B5&amp;"）"</f>
        <v>叶凌（注册号：1119970111）</v>
      </c>
      <c r="E5" s="2540" t="s">
        <v>2833</v>
      </c>
      <c r="F5" s="1444">
        <f ca="1">IF(G5&lt;B2,"已过期",94010078)</f>
        <v>94010078</v>
      </c>
      <c r="G5" s="2541">
        <v>46387</v>
      </c>
      <c r="H5" s="2542" t="str">
        <f t="shared" ref="H5:H16" ca="1" si="1">E5&amp;"（注册号："&amp;F5&amp;"）"</f>
        <v>叶凌（注册号：94010078）</v>
      </c>
    </row>
    <row r="6" spans="1:8" ht="24" customHeight="1">
      <c r="A6" s="1444" t="s">
        <v>2834</v>
      </c>
      <c r="B6" s="1444" t="str">
        <f ca="1">IF(C6&lt;B2,"已过期",1120050019)</f>
        <v>已过期</v>
      </c>
      <c r="C6" s="2538">
        <v>44395</v>
      </c>
      <c r="D6" s="2539" t="str">
        <f t="shared" ca="1" si="0"/>
        <v>王鹏（注册号：已过期）</v>
      </c>
      <c r="E6" s="2540" t="s">
        <v>2834</v>
      </c>
      <c r="F6" s="1444">
        <f ca="1">IF(G6&lt;B2,"已过期",2002110030)</f>
        <v>2002110030</v>
      </c>
      <c r="G6" s="2541">
        <v>46387</v>
      </c>
      <c r="H6" s="2542" t="str">
        <f t="shared" ca="1" si="1"/>
        <v>王鹏（注册号：2002110030）</v>
      </c>
    </row>
    <row r="7" spans="1:8" ht="24" customHeight="1">
      <c r="A7" s="1444" t="s">
        <v>2835</v>
      </c>
      <c r="B7" s="1444">
        <f ca="1">IF(C7&lt;B2,"已过期",1120000080)</f>
        <v>1120000080</v>
      </c>
      <c r="C7" s="2538">
        <v>44876</v>
      </c>
      <c r="D7" s="2539" t="str">
        <f t="shared" ca="1" si="0"/>
        <v>欧红伟（注册号：1120000080）</v>
      </c>
      <c r="E7" s="2540" t="s">
        <v>2835</v>
      </c>
      <c r="F7" s="1444">
        <f ca="1">IF(G7&lt;B2,"已过期",2000110082)</f>
        <v>2000110082</v>
      </c>
      <c r="G7" s="2541">
        <v>46387</v>
      </c>
      <c r="H7" s="2542" t="str">
        <f t="shared" ca="1" si="1"/>
        <v>欧红伟（注册号：2000110082）</v>
      </c>
    </row>
    <row r="8" spans="1:8" ht="24" customHeight="1">
      <c r="A8" s="1444" t="s">
        <v>2836</v>
      </c>
      <c r="B8" s="1444">
        <f ca="1">IF(C8&lt;B2,"已过期",1419970001)</f>
        <v>1419970001</v>
      </c>
      <c r="C8" s="2538">
        <v>44899</v>
      </c>
      <c r="D8" s="2539" t="str">
        <f t="shared" ca="1" si="0"/>
        <v>吴薇（注册号：1419970001）</v>
      </c>
      <c r="E8" s="2540" t="s">
        <v>2836</v>
      </c>
      <c r="F8" s="1444">
        <f ca="1">IF(G8&lt;B2,"已过期",2002110125)</f>
        <v>2002110125</v>
      </c>
      <c r="G8" s="2541">
        <v>47118</v>
      </c>
      <c r="H8" s="2542" t="str">
        <f t="shared" ca="1" si="1"/>
        <v>吴薇（注册号：2002110125）</v>
      </c>
    </row>
    <row r="9" spans="1:8" ht="24" customHeight="1">
      <c r="A9" s="1444" t="s">
        <v>2837</v>
      </c>
      <c r="B9" s="1444" t="str">
        <f ca="1">IF(C9&lt;B2,"已过期",1120060040)</f>
        <v>已过期</v>
      </c>
      <c r="C9" s="2543">
        <v>44554</v>
      </c>
      <c r="D9" s="2539" t="str">
        <f t="shared" ca="1" si="0"/>
        <v>陈颖（注册号：已过期）</v>
      </c>
      <c r="E9" s="2540" t="s">
        <v>2837</v>
      </c>
      <c r="F9" s="1444">
        <f ca="1">IF(G9&lt;B2,"已过期",2004110096)</f>
        <v>2004110096</v>
      </c>
      <c r="G9" s="2541">
        <v>47118</v>
      </c>
      <c r="H9" s="2542" t="str">
        <f t="shared" ca="1" si="1"/>
        <v>陈颖（注册号：2004110096）</v>
      </c>
    </row>
    <row r="10" spans="1:8" ht="24" customHeight="1">
      <c r="A10" s="1444" t="s">
        <v>2838</v>
      </c>
      <c r="B10" s="1444">
        <f ca="1">IF(C10&lt;B2,"已过期",1120100036)</f>
        <v>1120100036</v>
      </c>
      <c r="C10" s="2543">
        <v>44675</v>
      </c>
      <c r="D10" s="2539" t="str">
        <f t="shared" ca="1" si="0"/>
        <v>崔锴（注册号：1120100036）</v>
      </c>
      <c r="E10" s="2540" t="s">
        <v>2838</v>
      </c>
      <c r="F10" s="1444">
        <f ca="1">IF(G10&lt;B2,"已过期",2010110070)</f>
        <v>2010110070</v>
      </c>
      <c r="G10" s="2541">
        <v>47907</v>
      </c>
      <c r="H10" s="2542" t="str">
        <f t="shared" ca="1" si="1"/>
        <v>崔锴（注册号：2010110070）</v>
      </c>
    </row>
    <row r="11" spans="1:8" ht="24" customHeight="1">
      <c r="A11" s="1444" t="s">
        <v>2839</v>
      </c>
      <c r="B11" s="1444">
        <f ca="1">IF(C11&lt;B2,"已过期",1120070131)</f>
        <v>1120070131</v>
      </c>
      <c r="C11" s="2538">
        <v>44849</v>
      </c>
      <c r="D11" s="2539" t="str">
        <f t="shared" ca="1" si="0"/>
        <v>郑燚（注册号：1120070131）</v>
      </c>
      <c r="E11" s="2540" t="s">
        <v>2839</v>
      </c>
      <c r="F11" s="1444">
        <f ca="1">IF(G11&lt;B2,"已过期",2014110011)</f>
        <v>2014110011</v>
      </c>
      <c r="G11" s="2541">
        <v>49302</v>
      </c>
      <c r="H11" s="2542" t="str">
        <f t="shared" ca="1" si="1"/>
        <v>郑燚（注册号：2014110011）</v>
      </c>
    </row>
    <row r="12" spans="1:8" ht="24" customHeight="1">
      <c r="A12" s="1444" t="s">
        <v>2840</v>
      </c>
      <c r="B12" s="1444">
        <f ca="1">IF(C12&lt;B2,"已过期",1120040230)</f>
        <v>1120040230</v>
      </c>
      <c r="C12" s="2543">
        <v>44864</v>
      </c>
      <c r="D12" s="2539" t="str">
        <f t="shared" ca="1" si="0"/>
        <v>苏海（注册号：1120040230）</v>
      </c>
      <c r="E12" s="2540" t="s">
        <v>2840</v>
      </c>
      <c r="F12" s="1444">
        <f ca="1">IF(G12&lt;B2,"已过期",98030020)</f>
        <v>98030020</v>
      </c>
      <c r="G12" s="2541">
        <v>47118</v>
      </c>
      <c r="H12" s="2542" t="str">
        <f t="shared" ca="1" si="1"/>
        <v>苏海（注册号：98030020）</v>
      </c>
    </row>
    <row r="13" spans="1:8" ht="24" customHeight="1">
      <c r="A13" s="1444" t="s">
        <v>2841</v>
      </c>
      <c r="B13" s="1444" t="str">
        <f ca="1">IF(C13&lt;B2,"已过期",1120020033)</f>
        <v>已过期</v>
      </c>
      <c r="C13" s="2538">
        <v>44339</v>
      </c>
      <c r="D13" s="2539" t="str">
        <f t="shared" ca="1" si="0"/>
        <v>刘敬东（注册号：已过期）</v>
      </c>
      <c r="E13" s="2540" t="s">
        <v>2841</v>
      </c>
      <c r="F13" s="1444">
        <f ca="1">IF(G13&lt;B2,"已过期",2000110137)</f>
        <v>2000110137</v>
      </c>
      <c r="G13" s="2541">
        <v>46387</v>
      </c>
      <c r="H13" s="2542" t="str">
        <f t="shared" ca="1" si="1"/>
        <v>刘敬东（注册号：2000110137）</v>
      </c>
    </row>
    <row r="14" spans="1:8" ht="24" customHeight="1">
      <c r="A14" s="1444" t="s">
        <v>2842</v>
      </c>
      <c r="B14" s="1444">
        <f ca="1">IF(C14&lt;B2,"已过期",1119980106)</f>
        <v>1119980106</v>
      </c>
      <c r="C14" s="2543">
        <v>44969</v>
      </c>
      <c r="D14" s="2539" t="str">
        <f t="shared" ca="1" si="0"/>
        <v>刘俊财（注册号：1119980106）</v>
      </c>
      <c r="E14" s="2540" t="s">
        <v>2842</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2843</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84" t="s">
        <v>2844</v>
      </c>
      <c r="B17" s="3284"/>
      <c r="C17" s="3284"/>
      <c r="D17" s="3284"/>
      <c r="E17" s="3284"/>
      <c r="F17" s="3284"/>
      <c r="G17" s="3284"/>
      <c r="H17" s="3284"/>
    </row>
    <row r="18" spans="1:8" ht="24" customHeight="1">
      <c r="A18" s="3285" t="s">
        <v>2845</v>
      </c>
      <c r="B18" s="3285"/>
      <c r="C18" s="3285"/>
      <c r="D18" s="2536"/>
      <c r="E18" s="3286" t="s">
        <v>2846</v>
      </c>
      <c r="F18" s="3285"/>
      <c r="G18" s="3285"/>
    </row>
    <row r="19" spans="1:8" s="2547" customFormat="1" ht="24" customHeight="1">
      <c r="A19" s="2546" t="s">
        <v>2847</v>
      </c>
      <c r="B19" s="2535" t="s">
        <v>2848</v>
      </c>
      <c r="C19" s="2535" t="s">
        <v>2827</v>
      </c>
      <c r="D19" s="2536"/>
      <c r="E19" s="2540" t="s">
        <v>2847</v>
      </c>
      <c r="F19" s="2535" t="s">
        <v>2848</v>
      </c>
      <c r="G19" s="2535" t="s">
        <v>2827</v>
      </c>
    </row>
    <row r="20" spans="1:8" s="2547" customFormat="1" ht="24" customHeight="1">
      <c r="A20" s="2548" t="s">
        <v>2849</v>
      </c>
      <c r="B20" s="2548" t="s">
        <v>2850</v>
      </c>
      <c r="C20" s="2541">
        <v>44820</v>
      </c>
      <c r="D20" s="2549"/>
      <c r="E20" s="2550" t="s">
        <v>2851</v>
      </c>
      <c r="F20" s="2548" t="s">
        <v>2852</v>
      </c>
      <c r="G20" s="2551">
        <v>44377</v>
      </c>
    </row>
    <row r="21" spans="1:8" s="2547" customFormat="1" ht="24" customHeight="1">
      <c r="A21" s="2548"/>
      <c r="B21" s="2548"/>
      <c r="C21" s="2552"/>
      <c r="D21" s="2553"/>
      <c r="E21" s="2550" t="s">
        <v>2853</v>
      </c>
      <c r="F21" s="2554" t="s">
        <v>2854</v>
      </c>
      <c r="G21" s="2555">
        <v>44012</v>
      </c>
    </row>
    <row r="22" spans="1:8" ht="24" customHeight="1">
      <c r="C22" s="2556"/>
      <c r="D22" s="2556"/>
      <c r="E22" s="2557"/>
      <c r="F22" s="2558"/>
      <c r="G22" s="2559" t="s">
        <v>2855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Sheet2</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2022-03-15T05:49:19Z</dcterms:modified>
</cp:coreProperties>
</file>