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state="hidden" r:id="rId21"/>
    <sheet name="土地比较法-工业" sheetId="40" r:id="rId22"/>
    <sheet name="工业土地" sheetId="77" r:id="rId23"/>
    <sheet name="成本法 (元)" sheetId="69" state="hidden" r:id="rId24"/>
    <sheet name="假设开发法" sheetId="12" state="hidden" r:id="rId25"/>
    <sheet name="收益法" sheetId="15" r:id="rId26"/>
    <sheet name="收益法 (元)" sheetId="67" r:id="rId27"/>
    <sheet name="收益法 (元) (2)" sheetId="79" r:id="rId28"/>
    <sheet name="收益法（汇总）" sheetId="70"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3" sheetId="80"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 (元) (2)'!$A$1:$F$43,'收益法 (元) (2)'!$H$3:$M$29,'收益法 (元) (2)'!$A$45:$F$71,'收益法 (元) (2)'!$I$46:$N$65</definedName>
    <definedName name="_xlnm.Print_Area" localSheetId="28">'收益法（汇总）'!$A$1:$F$13</definedName>
    <definedName name="_xlnm.Print_Area" localSheetId="14">'数据-汇总表'!$A$1:$P$32</definedName>
    <definedName name="_xlnm.Print_Area" localSheetId="21">'土地比较法-工业'!$A$1:$K$61,'土地比较法-工业'!$A$64:$M$121</definedName>
    <definedName name="_xlnm.Print_Area" localSheetId="20">'土地比较法-住宅、综合'!$A$1:$K$66,'土地比较法-住宅、综合'!$A$69:$M$132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Q8" i="1" l="1"/>
  <c r="Q7" i="1"/>
  <c r="W8" i="1" l="1"/>
  <c r="V8" i="1"/>
  <c r="U8" i="1"/>
  <c r="Q72" i="79"/>
  <c r="Q59" i="79"/>
  <c r="K59" i="79"/>
  <c r="P74" i="79" s="1"/>
  <c r="F59" i="79"/>
  <c r="Q58" i="79"/>
  <c r="Q51" i="79"/>
  <c r="J50" i="79"/>
  <c r="M47" i="79"/>
  <c r="D46" i="79"/>
  <c r="F34" i="79"/>
  <c r="F33" i="79"/>
  <c r="F61" i="79" s="1"/>
  <c r="F32" i="79"/>
  <c r="F60" i="79" s="1"/>
  <c r="F31" i="79"/>
  <c r="F28" i="79"/>
  <c r="F23" i="79"/>
  <c r="D24" i="79" s="1"/>
  <c r="D23" i="79"/>
  <c r="D22" i="79"/>
  <c r="F21" i="79"/>
  <c r="M20" i="79"/>
  <c r="F20" i="79"/>
  <c r="M19" i="79"/>
  <c r="M18" i="79"/>
  <c r="F18" i="79"/>
  <c r="M17" i="79"/>
  <c r="F17" i="79"/>
  <c r="F15" i="79"/>
  <c r="G1" i="79"/>
  <c r="AM8" i="1"/>
  <c r="AL8" i="1"/>
  <c r="AK8" i="1"/>
  <c r="Y8" i="1"/>
  <c r="N8" i="1"/>
  <c r="N7" i="1"/>
  <c r="N6" i="1"/>
  <c r="F8" i="78"/>
  <c r="F9" i="78"/>
  <c r="F10" i="78"/>
  <c r="L8" i="1"/>
  <c r="J8" i="1"/>
  <c r="I8" i="1"/>
  <c r="H8" i="1"/>
  <c r="F21" i="6"/>
  <c r="F19" i="6"/>
  <c r="G20" i="6"/>
  <c r="F20" i="6"/>
  <c r="M13" i="3"/>
  <c r="O13" i="3" s="1"/>
  <c r="K13" i="3"/>
  <c r="I13" i="3"/>
  <c r="G5" i="78"/>
  <c r="F9" i="79"/>
  <c r="F40" i="79"/>
  <c r="F7" i="79"/>
  <c r="F50" i="79" l="1"/>
  <c r="M7" i="79"/>
  <c r="F68" i="79"/>
  <c r="F62" i="79"/>
  <c r="P61" i="79"/>
  <c r="M24" i="79"/>
  <c r="L47" i="79"/>
  <c r="M23" i="79"/>
  <c r="M29" i="79"/>
  <c r="F13" i="79"/>
  <c r="C76" i="79"/>
  <c r="F8" i="79"/>
  <c r="F26" i="79"/>
  <c r="M26" i="79"/>
  <c r="F36" i="79"/>
  <c r="M9" i="79"/>
  <c r="J15" i="79"/>
  <c r="M28" i="79"/>
  <c r="F6" i="79"/>
  <c r="M6" i="79"/>
  <c r="M27" i="79"/>
  <c r="F42" i="79"/>
  <c r="F38" i="79"/>
  <c r="F16" i="79"/>
  <c r="M22" i="79"/>
  <c r="M8" i="79"/>
  <c r="F43" i="79"/>
  <c r="F37" i="79"/>
  <c r="F70" i="79" l="1"/>
  <c r="F51" i="79"/>
  <c r="C49" i="79" s="1"/>
  <c r="J6" i="79"/>
  <c r="F64" i="79"/>
  <c r="F66" i="79"/>
  <c r="F71" i="79"/>
  <c r="Q71" i="79"/>
  <c r="C6" i="79"/>
  <c r="C27" i="79"/>
  <c r="F65" i="79"/>
  <c r="C17" i="79"/>
  <c r="C16" i="79"/>
  <c r="C14" i="79"/>
  <c r="C18" i="79" l="1"/>
  <c r="C15" i="79"/>
  <c r="C19" i="79" l="1"/>
  <c r="C20" i="79" s="1"/>
  <c r="C26" i="79" s="1"/>
  <c r="AM7" i="1" l="1"/>
  <c r="AL7" i="1"/>
  <c r="AK7" i="1"/>
  <c r="Y7" i="1"/>
  <c r="Y6" i="1"/>
  <c r="W7" i="1"/>
  <c r="V7" i="1"/>
  <c r="U7" i="1" l="1"/>
  <c r="J7" i="1"/>
  <c r="I7" i="1"/>
  <c r="H7" i="1"/>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9" s="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F8" i="1" s="1"/>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s="1"/>
  <c r="B3" i="3" s="1"/>
  <c r="E311" i="3" s="1"/>
  <c r="BA13" i="3"/>
  <c r="AZ13" i="3" s="1"/>
  <c r="AZ5" i="3" s="1"/>
  <c r="E3" i="6" s="1"/>
  <c r="E10" i="6"/>
  <c r="BA5" i="3"/>
  <c r="E11" i="6"/>
  <c r="E61" i="39" s="1"/>
  <c r="BL17" i="3"/>
  <c r="AZ17" i="3"/>
  <c r="BL13" i="3"/>
  <c r="G30" i="6"/>
  <c r="G31" i="6" s="1"/>
  <c r="J56" i="9"/>
  <c r="J57" i="9" s="1"/>
  <c r="J59" i="9" s="1"/>
  <c r="J61" i="9" s="1"/>
  <c r="A24" i="51"/>
  <c r="B18" i="72"/>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c r="C48" i="35"/>
  <c r="D48" i="35" s="1"/>
  <c r="C4" i="12"/>
  <c r="H66" i="43"/>
  <c r="H65" i="43"/>
  <c r="H64" i="43"/>
  <c r="H63" i="43"/>
  <c r="H55" i="43"/>
  <c r="H56" i="43"/>
  <c r="H72" i="43"/>
  <c r="L20" i="6"/>
  <c r="B6" i="1"/>
  <c r="E6" i="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T11" i="1"/>
  <c r="AQ9" i="1"/>
  <c r="AR11" i="1"/>
  <c r="T9"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BL5" i="3"/>
  <c r="E270" i="3"/>
  <c r="E390" i="3"/>
  <c r="E533" i="3"/>
  <c r="S6" i="3"/>
  <c r="AR6" i="3"/>
  <c r="E523" i="3"/>
  <c r="E561" i="3"/>
  <c r="E506" i="3"/>
  <c r="E538" i="3"/>
  <c r="E418" i="3"/>
  <c r="E439" i="3"/>
  <c r="E338" i="3"/>
  <c r="E380" i="3"/>
  <c r="E321" i="3"/>
  <c r="E231" i="3"/>
  <c r="E298" i="3"/>
  <c r="E216" i="3"/>
  <c r="E169" i="3"/>
  <c r="E185" i="3"/>
  <c r="E61" i="3"/>
  <c r="E188" i="3"/>
  <c r="E148" i="3"/>
  <c r="E228"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V13" i="71"/>
  <c r="C13" i="71"/>
  <c r="D14" i="71"/>
  <c r="E41" i="43"/>
  <c r="C41" i="43"/>
  <c r="D11" i="71"/>
  <c r="T13" i="71"/>
  <c r="D12" i="71"/>
  <c r="D13" i="71"/>
  <c r="U13" i="71"/>
  <c r="L48" i="79"/>
  <c r="F8" i="15"/>
  <c r="L47" i="67"/>
  <c r="F6" i="73"/>
  <c r="B12" i="76"/>
  <c r="E7" i="76"/>
  <c r="F38" i="67"/>
  <c r="M29" i="15"/>
  <c r="D6" i="73"/>
  <c r="D2" i="34"/>
  <c r="M9" i="15"/>
  <c r="F20" i="31"/>
  <c r="M23" i="15"/>
  <c r="B10" i="76"/>
  <c r="F43" i="15"/>
  <c r="F42" i="67"/>
  <c r="F8" i="67"/>
  <c r="AO12" i="1"/>
  <c r="D7" i="73"/>
  <c r="F42" i="15"/>
  <c r="D2" i="21"/>
  <c r="M24" i="67"/>
  <c r="AO10" i="1"/>
  <c r="AO13" i="1"/>
  <c r="M8" i="67"/>
  <c r="F36" i="15"/>
  <c r="L48" i="15"/>
  <c r="B9" i="76"/>
  <c r="B11" i="76"/>
  <c r="F13" i="15"/>
  <c r="C76" i="15"/>
  <c r="M29" i="67"/>
  <c r="F16" i="15"/>
  <c r="J15" i="67"/>
  <c r="F13" i="67"/>
  <c r="F9" i="67"/>
  <c r="D2" i="33"/>
  <c r="F3" i="73"/>
  <c r="D2" i="37"/>
  <c r="L47" i="15"/>
  <c r="AO11" i="1"/>
  <c r="E11" i="76"/>
  <c r="B13" i="76"/>
  <c r="D2" i="35"/>
  <c r="F6" i="67"/>
  <c r="D5" i="73"/>
  <c r="D2" i="36"/>
  <c r="M6" i="67"/>
  <c r="F6" i="15"/>
  <c r="F40" i="15"/>
  <c r="E2" i="68"/>
  <c r="M27" i="67"/>
  <c r="M26" i="15"/>
  <c r="M27" i="15"/>
  <c r="F36" i="67"/>
  <c r="F37" i="15"/>
  <c r="E10" i="76"/>
  <c r="M28" i="67"/>
  <c r="M23" i="67"/>
  <c r="F9" i="15"/>
  <c r="F40" i="67"/>
  <c r="F38" i="15"/>
  <c r="B7" i="76"/>
  <c r="M9" i="67"/>
  <c r="F26" i="67"/>
  <c r="AO9" i="1"/>
  <c r="J15" i="15"/>
  <c r="E8" i="76"/>
  <c r="M8" i="15"/>
  <c r="F16" i="67"/>
  <c r="M28" i="15"/>
  <c r="D3" i="73"/>
  <c r="D4" i="73"/>
  <c r="F7" i="15"/>
  <c r="B8" i="76"/>
  <c r="F4" i="73"/>
  <c r="M22" i="67"/>
  <c r="F37" i="67"/>
  <c r="M22" i="15"/>
  <c r="E12" i="76"/>
  <c r="C76" i="67"/>
  <c r="M6" i="15"/>
  <c r="F5" i="73"/>
  <c r="E2" i="69"/>
  <c r="M24" i="15"/>
  <c r="E13" i="76"/>
  <c r="M26" i="67"/>
  <c r="E9" i="76"/>
  <c r="F26" i="15"/>
  <c r="F7" i="73"/>
  <c r="F7" i="67"/>
  <c r="L48" i="67"/>
  <c r="F43" i="67"/>
  <c r="L56" i="79" l="1"/>
  <c r="L60" i="79"/>
  <c r="L58" i="79"/>
  <c r="L57" i="79"/>
  <c r="D68" i="39"/>
  <c r="C70" i="39"/>
  <c r="G8" i="1"/>
  <c r="C28" i="79"/>
  <c r="C32" i="79"/>
  <c r="C33" i="79"/>
  <c r="J18" i="79"/>
  <c r="J51" i="15"/>
  <c r="M59" i="79"/>
  <c r="L59" i="79"/>
  <c r="J53" i="79"/>
  <c r="N59" i="79"/>
  <c r="J57" i="79"/>
  <c r="J55" i="79" s="1"/>
  <c r="J58" i="79" s="1"/>
  <c r="Q50" i="79" s="1"/>
  <c r="I54" i="79"/>
  <c r="AC11" i="40"/>
  <c r="C40" i="69"/>
  <c r="G17" i="43"/>
  <c r="C16" i="43" s="1"/>
  <c r="C5" i="43" s="1"/>
  <c r="E12" i="6"/>
  <c r="E62" i="39" s="1"/>
  <c r="P74" i="67"/>
  <c r="P61" i="15"/>
  <c r="M6" i="1"/>
  <c r="O6" i="1" s="1"/>
  <c r="P6" i="1" s="1"/>
  <c r="C7" i="68"/>
  <c r="C5" i="11"/>
  <c r="D5" i="43"/>
  <c r="K5" i="4"/>
  <c r="B47" i="48" s="1"/>
  <c r="L18" i="9"/>
  <c r="C17" i="4"/>
  <c r="B4" i="52" s="1"/>
  <c r="B43" i="72" s="1"/>
  <c r="C92" i="9"/>
  <c r="C94" i="9"/>
  <c r="F28" i="15"/>
  <c r="C28" i="15" s="1"/>
  <c r="D68" i="9"/>
  <c r="F31" i="12"/>
  <c r="C31" i="12" s="1"/>
  <c r="M18" i="67"/>
  <c r="F30" i="68"/>
  <c r="C24" i="12"/>
  <c r="F54" i="9"/>
  <c r="M18" i="15"/>
  <c r="F32" i="15"/>
  <c r="F60" i="15" s="1"/>
  <c r="F30" i="69"/>
  <c r="F32" i="67"/>
  <c r="F60" i="67" s="1"/>
  <c r="F52" i="9"/>
  <c r="F28" i="67"/>
  <c r="C28" i="67" s="1"/>
  <c r="F30" i="11"/>
  <c r="F53" i="9"/>
  <c r="C21" i="69"/>
  <c r="D22" i="67"/>
  <c r="Q16" i="1"/>
  <c r="F27" i="69" s="1"/>
  <c r="C47" i="69" s="1"/>
  <c r="D45" i="69" s="1"/>
  <c r="C34" i="69"/>
  <c r="C35" i="69" s="1"/>
  <c r="H16" i="1"/>
  <c r="E15" i="6"/>
  <c r="E65" i="39" s="1"/>
  <c r="I4" i="6"/>
  <c r="G3" i="43" s="1"/>
  <c r="F101" i="43" s="1"/>
  <c r="E8" i="6"/>
  <c r="D19" i="12"/>
  <c r="C19" i="12" s="1"/>
  <c r="D9" i="69"/>
  <c r="C9" i="69" s="1"/>
  <c r="E13" i="6"/>
  <c r="E16" i="6" s="1"/>
  <c r="E56" i="40"/>
  <c r="B113" i="43"/>
  <c r="E59" i="40"/>
  <c r="E290" i="3"/>
  <c r="E91" i="3"/>
  <c r="E135" i="3"/>
  <c r="E254" i="3"/>
  <c r="E134" i="3"/>
  <c r="E130" i="3"/>
  <c r="E189" i="3"/>
  <c r="E230" i="3"/>
  <c r="E215" i="3"/>
  <c r="E294" i="3"/>
  <c r="E335" i="3"/>
  <c r="E320" i="3"/>
  <c r="E387" i="3"/>
  <c r="E407" i="3"/>
  <c r="AB6" i="3"/>
  <c r="V6" i="3"/>
  <c r="M6" i="3"/>
  <c r="E551" i="3"/>
  <c r="E570" i="3"/>
  <c r="E559" i="3"/>
  <c r="E514" i="3"/>
  <c r="E35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AY6" i="3"/>
  <c r="AY103" i="3" s="1"/>
  <c r="C36" i="69"/>
  <c r="D3" i="21"/>
  <c r="E6" i="6"/>
  <c r="D37" i="11"/>
  <c r="C37" i="11" s="1"/>
  <c r="D14" i="12"/>
  <c r="D17" i="12" s="1"/>
  <c r="C17" i="12" s="1"/>
  <c r="M18" i="9"/>
  <c r="B118" i="9" s="1"/>
  <c r="B14" i="74" s="1"/>
  <c r="B1" i="74" s="1"/>
  <c r="C7" i="74" s="1"/>
  <c r="D3" i="34"/>
  <c r="D19" i="11"/>
  <c r="C19" i="11" s="1"/>
  <c r="C20" i="11" s="1"/>
  <c r="D3" i="37"/>
  <c r="D3" i="33"/>
  <c r="M14" i="1"/>
  <c r="O14" i="1" s="1"/>
  <c r="P14" i="1" s="1"/>
  <c r="K15" i="1"/>
  <c r="K16" i="1" s="1"/>
  <c r="E30" i="6"/>
  <c r="F27" i="6"/>
  <c r="F31" i="6" s="1"/>
  <c r="E51" i="40"/>
  <c r="E56" i="39"/>
  <c r="P7" i="1"/>
  <c r="O9" i="1"/>
  <c r="P9" i="1" s="1"/>
  <c r="O8" i="1"/>
  <c r="O11" i="1"/>
  <c r="P11" i="1" s="1"/>
  <c r="D12" i="52"/>
  <c r="D127" i="9"/>
  <c r="D13" i="52" s="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C35" i="43"/>
  <c r="E35" i="43" s="1"/>
  <c r="C36" i="43"/>
  <c r="E36" i="43" s="1"/>
  <c r="C39" i="43"/>
  <c r="C37" i="43"/>
  <c r="E37" i="43" s="1"/>
  <c r="B9" i="71"/>
  <c r="B8" i="71" s="1"/>
  <c r="B7" i="71" s="1"/>
  <c r="B6" i="71" s="1"/>
  <c r="B5" i="71" s="1"/>
  <c r="X9" i="71"/>
  <c r="AB9" i="71"/>
  <c r="Z8" i="71"/>
  <c r="Y3" i="71"/>
  <c r="Z3" i="71" s="1"/>
  <c r="D9" i="71"/>
  <c r="F9" i="71"/>
  <c r="F8" i="71" s="1"/>
  <c r="F7" i="71" s="1"/>
  <c r="F6" i="71" s="1"/>
  <c r="F5" i="71" s="1"/>
  <c r="AF3" i="71"/>
  <c r="P22" i="43" s="1"/>
  <c r="C34" i="43"/>
  <c r="C33" i="43"/>
  <c r="C38" i="43"/>
  <c r="G36" i="43"/>
  <c r="I36" i="43"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E20" i="43"/>
  <c r="F66" i="67"/>
  <c r="B11" i="70"/>
  <c r="N59" i="15"/>
  <c r="L59" i="15" s="1"/>
  <c r="L58" i="15"/>
  <c r="M59" i="15"/>
  <c r="F66" i="15"/>
  <c r="Q71" i="67"/>
  <c r="F64" i="15"/>
  <c r="F70" i="67"/>
  <c r="C27" i="67"/>
  <c r="F71" i="67"/>
  <c r="C27" i="15"/>
  <c r="F65" i="15"/>
  <c r="B9" i="70"/>
  <c r="N59" i="67"/>
  <c r="L58" i="67"/>
  <c r="M59" i="67"/>
  <c r="L59" i="67" s="1"/>
  <c r="B13" i="70"/>
  <c r="M7" i="67"/>
  <c r="J6" i="67" s="1"/>
  <c r="F50" i="67"/>
  <c r="F59" i="67" s="1"/>
  <c r="F68" i="67"/>
  <c r="F64" i="67"/>
  <c r="F68" i="15"/>
  <c r="D9" i="68"/>
  <c r="C36" i="68"/>
  <c r="C16" i="67"/>
  <c r="G1" i="73"/>
  <c r="C16" i="15"/>
  <c r="Q74" i="79" l="1"/>
  <c r="Q61" i="79"/>
  <c r="Q57" i="79"/>
  <c r="Q66" i="79"/>
  <c r="Q52" i="79"/>
  <c r="F1" i="79"/>
  <c r="D70" i="39"/>
  <c r="E68" i="39"/>
  <c r="Q60" i="79"/>
  <c r="Q73" i="79"/>
  <c r="T14" i="43"/>
  <c r="V14" i="43" s="1"/>
  <c r="T12" i="43"/>
  <c r="V12" i="43" s="1"/>
  <c r="T10" i="43"/>
  <c r="V10" i="43" s="1"/>
  <c r="T16" i="43"/>
  <c r="V16" i="43" s="1"/>
  <c r="T8" i="43"/>
  <c r="V8" i="43" s="1"/>
  <c r="T11" i="43"/>
  <c r="V11" i="43" s="1"/>
  <c r="T9" i="43"/>
  <c r="V9" i="43" s="1"/>
  <c r="T15" i="43"/>
  <c r="V15" i="43" s="1"/>
  <c r="T13" i="43"/>
  <c r="V13" i="43" s="1"/>
  <c r="M11" i="79"/>
  <c r="J10" i="79" s="1"/>
  <c r="J5" i="79" s="1"/>
  <c r="F11" i="79"/>
  <c r="F27" i="11"/>
  <c r="AY217" i="3"/>
  <c r="AY33" i="3"/>
  <c r="AY34" i="3"/>
  <c r="E60" i="40"/>
  <c r="E57" i="40"/>
  <c r="C9" i="68"/>
  <c r="C29" i="69"/>
  <c r="D27" i="69" s="1"/>
  <c r="F28" i="12"/>
  <c r="C29" i="12" s="1"/>
  <c r="D28" i="12" s="1"/>
  <c r="F45" i="69"/>
  <c r="AY544" i="3"/>
  <c r="AY303" i="3"/>
  <c r="AY31" i="3"/>
  <c r="K101" i="43"/>
  <c r="F48" i="68"/>
  <c r="C48" i="68"/>
  <c r="C30" i="68"/>
  <c r="C48" i="11"/>
  <c r="C30" i="11"/>
  <c r="F48" i="69"/>
  <c r="C30" i="69"/>
  <c r="C48" i="69"/>
  <c r="C38" i="69"/>
  <c r="AJ11" i="43"/>
  <c r="AJ13" i="43" s="1"/>
  <c r="E101" i="43"/>
  <c r="E106" i="43" s="1"/>
  <c r="AI11" i="43"/>
  <c r="AI13" i="43" s="1"/>
  <c r="L101" i="43"/>
  <c r="L106" i="43" s="1"/>
  <c r="AG11" i="43"/>
  <c r="AG13" i="43" s="1"/>
  <c r="N104" i="46"/>
  <c r="AA11" i="43"/>
  <c r="AA13" i="43" s="1"/>
  <c r="AB11" i="43"/>
  <c r="AB13" i="43" s="1"/>
  <c r="I101" i="43"/>
  <c r="G101" i="43"/>
  <c r="G105" i="43" s="1"/>
  <c r="Y11" i="43"/>
  <c r="Y13" i="43" s="1"/>
  <c r="AD11" i="43"/>
  <c r="AD13" i="43" s="1"/>
  <c r="H101" i="43"/>
  <c r="E22" i="43"/>
  <c r="J22" i="43"/>
  <c r="AE11" i="43"/>
  <c r="AE13" i="43" s="1"/>
  <c r="Z7" i="43"/>
  <c r="AF11" i="43"/>
  <c r="AF13" i="43" s="1"/>
  <c r="G22" i="43"/>
  <c r="D101" i="43"/>
  <c r="D105" i="43" s="1"/>
  <c r="J101" i="43"/>
  <c r="N101" i="43"/>
  <c r="N103" i="43" s="1"/>
  <c r="F22" i="43"/>
  <c r="AC11" i="43"/>
  <c r="AC13" i="43" s="1"/>
  <c r="Z11" i="43"/>
  <c r="Z13" i="43" s="1"/>
  <c r="AH11" i="43"/>
  <c r="AH13" i="43" s="1"/>
  <c r="M101" i="43"/>
  <c r="H22" i="43"/>
  <c r="C101" i="43"/>
  <c r="AY165" i="3"/>
  <c r="AY92" i="3"/>
  <c r="AY463" i="3"/>
  <c r="AY529" i="3"/>
  <c r="AY111" i="3"/>
  <c r="AY147" i="3"/>
  <c r="AY191" i="3"/>
  <c r="C8" i="74"/>
  <c r="AY185" i="3"/>
  <c r="AY76" i="3"/>
  <c r="BE6" i="3"/>
  <c r="AY401" i="3"/>
  <c r="AY327" i="3"/>
  <c r="AY300" i="3"/>
  <c r="AY460" i="3"/>
  <c r="AY382" i="3"/>
  <c r="AY95" i="3"/>
  <c r="AY220" i="3"/>
  <c r="AY292" i="3"/>
  <c r="AY132" i="3"/>
  <c r="AY82" i="3"/>
  <c r="C14" i="12"/>
  <c r="M16" i="1"/>
  <c r="C34" i="11" s="1"/>
  <c r="AY133" i="3"/>
  <c r="AY154" i="3"/>
  <c r="AY190" i="3"/>
  <c r="AY44" i="3"/>
  <c r="AY61" i="3"/>
  <c r="AY97" i="3"/>
  <c r="AY533" i="3"/>
  <c r="AY549" i="3"/>
  <c r="AY420" i="3"/>
  <c r="AY310" i="3"/>
  <c r="AY372" i="3"/>
  <c r="AY260" i="3"/>
  <c r="AY26" i="3"/>
  <c r="AY441" i="3"/>
  <c r="AY473" i="3"/>
  <c r="AY366" i="3"/>
  <c r="AY253" i="3"/>
  <c r="AY152" i="3"/>
  <c r="AY144" i="3"/>
  <c r="AY87" i="3"/>
  <c r="AY237" i="3"/>
  <c r="AY75" i="3"/>
  <c r="AY163" i="3"/>
  <c r="AY90" i="3"/>
  <c r="AY171" i="3"/>
  <c r="AY18" i="3"/>
  <c r="AY98" i="3"/>
  <c r="E58" i="40"/>
  <c r="E63" i="39"/>
  <c r="E66" i="39" s="1"/>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36" i="3"/>
  <c r="AY168" i="3"/>
  <c r="AY281" i="3"/>
  <c r="AY42" i="3"/>
  <c r="AY124" i="3"/>
  <c r="AY207" i="3"/>
  <c r="AY51" i="3"/>
  <c r="AY209" i="3"/>
  <c r="AY252" i="3"/>
  <c r="AY284" i="3"/>
  <c r="AY204" i="3"/>
  <c r="AY261" i="3"/>
  <c r="AY123" i="3"/>
  <c r="AY183" i="3"/>
  <c r="AY74" i="3"/>
  <c r="AY289" i="3"/>
  <c r="AY139" i="3"/>
  <c r="AY160" i="3"/>
  <c r="AY196" i="3"/>
  <c r="AY50" i="3"/>
  <c r="AY67" i="3"/>
  <c r="H6" i="3"/>
  <c r="J104" i="43"/>
  <c r="J103" i="43"/>
  <c r="J106" i="43"/>
  <c r="J109" i="43"/>
  <c r="J105" i="43"/>
  <c r="J107" i="43"/>
  <c r="J102" i="43"/>
  <c r="M109" i="43"/>
  <c r="M102" i="43"/>
  <c r="M106" i="43"/>
  <c r="M103" i="43"/>
  <c r="M104" i="43"/>
  <c r="M107" i="43"/>
  <c r="M105" i="43"/>
  <c r="C104" i="43"/>
  <c r="C106" i="43"/>
  <c r="C105" i="43"/>
  <c r="C102" i="43"/>
  <c r="C107" i="43"/>
  <c r="C103" i="43"/>
  <c r="C109" i="43"/>
  <c r="F104" i="43"/>
  <c r="F107" i="43"/>
  <c r="F106" i="43"/>
  <c r="F103" i="43"/>
  <c r="F109" i="43"/>
  <c r="F102" i="43"/>
  <c r="F105" i="43"/>
  <c r="I109" i="43"/>
  <c r="I104" i="43"/>
  <c r="I107" i="43"/>
  <c r="I105" i="43"/>
  <c r="I102" i="43"/>
  <c r="I106" i="43"/>
  <c r="I103" i="43"/>
  <c r="L109" i="43"/>
  <c r="K103" i="43"/>
  <c r="K107" i="43"/>
  <c r="K104" i="43"/>
  <c r="K106" i="43"/>
  <c r="K109" i="43"/>
  <c r="K102" i="43"/>
  <c r="K105" i="43"/>
  <c r="E109" i="43"/>
  <c r="H102" i="43"/>
  <c r="H103" i="43"/>
  <c r="H104" i="43"/>
  <c r="H109" i="43"/>
  <c r="H107" i="43"/>
  <c r="H106" i="43"/>
  <c r="H105"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AY83" i="3"/>
  <c r="AY23" i="3"/>
  <c r="AY155" i="3"/>
  <c r="AY59" i="3"/>
  <c r="AY131" i="3"/>
  <c r="AY58" i="3"/>
  <c r="AY268"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66" i="3"/>
  <c r="AY176" i="3"/>
  <c r="AY115" i="3"/>
  <c r="AY188" i="3"/>
  <c r="AY276" i="3"/>
  <c r="AY297" i="3"/>
  <c r="AY225"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AY356" i="3"/>
  <c r="AY325" i="3"/>
  <c r="AY340" i="3"/>
  <c r="AY308" i="3"/>
  <c r="AY467" i="3"/>
  <c r="AY464" i="3"/>
  <c r="AY454" i="3"/>
  <c r="AY422" i="3"/>
  <c r="AY435" i="3"/>
  <c r="AY403" i="3"/>
  <c r="AY525" i="3"/>
  <c r="AY516"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41" i="3"/>
  <c r="AY309" i="3"/>
  <c r="AY324" i="3"/>
  <c r="AY483" i="3"/>
  <c r="AY480" i="3"/>
  <c r="AY449" i="3"/>
  <c r="AY438" i="3"/>
  <c r="AY406" i="3"/>
  <c r="AY419" i="3"/>
  <c r="AY503" i="3"/>
  <c r="AY580" i="3"/>
  <c r="AY572"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6"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27" i="6"/>
  <c r="AC6" i="3"/>
  <c r="O16" i="1"/>
  <c r="D20" i="12"/>
  <c r="C20" i="12" s="1"/>
  <c r="C18" i="12" s="1"/>
  <c r="D10" i="69"/>
  <c r="D10" i="11"/>
  <c r="C10" i="11" s="1"/>
  <c r="P8" i="1"/>
  <c r="P16" i="1" s="1"/>
  <c r="C11" i="12" s="1"/>
  <c r="C47" i="11"/>
  <c r="D45" i="11" s="1"/>
  <c r="C29" i="11"/>
  <c r="D27" i="11" s="1"/>
  <c r="C28" i="11"/>
  <c r="C27" i="11" s="1"/>
  <c r="J10" i="40"/>
  <c r="AC10" i="40" s="1"/>
  <c r="H10" i="39"/>
  <c r="AB10" i="39" s="1"/>
  <c r="F10" i="40"/>
  <c r="S10" i="40" s="1"/>
  <c r="J10" i="39"/>
  <c r="W10" i="39" s="1"/>
  <c r="H10" i="40"/>
  <c r="AB10" i="40" s="1"/>
  <c r="G35" i="43"/>
  <c r="I35" i="43" s="1"/>
  <c r="J7" i="37"/>
  <c r="H7" i="36"/>
  <c r="H7" i="34"/>
  <c r="F7" i="34"/>
  <c r="H7" i="37"/>
  <c r="AB7" i="37" s="1"/>
  <c r="T42" i="37" s="1"/>
  <c r="G42" i="37" s="1"/>
  <c r="B40" i="1"/>
  <c r="F24" i="79" s="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D7" i="71"/>
  <c r="C6" i="71"/>
  <c r="M17" i="67"/>
  <c r="M17" i="15"/>
  <c r="F59" i="15"/>
  <c r="P24" i="43"/>
  <c r="B66" i="40" s="1"/>
  <c r="P21" i="43"/>
  <c r="C49" i="67"/>
  <c r="E39" i="43"/>
  <c r="G39" i="43"/>
  <c r="I39" i="43" s="1"/>
  <c r="P25" i="43"/>
  <c r="P23" i="43"/>
  <c r="B71" i="39" s="1"/>
  <c r="E38" i="43"/>
  <c r="G38" i="43"/>
  <c r="I38" i="43" s="1"/>
  <c r="G34" i="43"/>
  <c r="I34" i="43" s="1"/>
  <c r="E34" i="43"/>
  <c r="G33" i="43"/>
  <c r="I33" i="43" s="1"/>
  <c r="E33"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D10" i="68"/>
  <c r="AE8" i="1"/>
  <c r="AE7" i="1"/>
  <c r="AE6" i="1"/>
  <c r="F68" i="39" l="1"/>
  <c r="E70" i="39"/>
  <c r="D22" i="43"/>
  <c r="C24" i="79"/>
  <c r="C23" i="79"/>
  <c r="J24" i="79"/>
  <c r="J26" i="79"/>
  <c r="C53" i="79"/>
  <c r="C48" i="79" s="1"/>
  <c r="C10" i="79"/>
  <c r="C5" i="79" s="1"/>
  <c r="E103" i="43"/>
  <c r="L102" i="43"/>
  <c r="E107" i="43"/>
  <c r="E102" i="43"/>
  <c r="L104" i="43"/>
  <c r="L107" i="43"/>
  <c r="U10" i="39"/>
  <c r="N16" i="1"/>
  <c r="F50" i="11" s="1"/>
  <c r="E105" i="43"/>
  <c r="E104" i="43"/>
  <c r="L105" i="43"/>
  <c r="L103" i="43"/>
  <c r="G107" i="43"/>
  <c r="C34" i="68"/>
  <c r="C35" i="68" s="1"/>
  <c r="L16" i="1"/>
  <c r="G106" i="43"/>
  <c r="G103" i="43"/>
  <c r="N102" i="43"/>
  <c r="D107" i="43"/>
  <c r="E6" i="3"/>
  <c r="G109" i="43"/>
  <c r="G104" i="43"/>
  <c r="G102" i="43"/>
  <c r="N109" i="43"/>
  <c r="D106" i="43"/>
  <c r="F45" i="68"/>
  <c r="C29" i="68"/>
  <c r="D27" i="68" s="1"/>
  <c r="C8" i="68"/>
  <c r="C5" i="68" s="1"/>
  <c r="C47" i="68"/>
  <c r="D45" i="68" s="1"/>
  <c r="N104" i="43"/>
  <c r="N106" i="43"/>
  <c r="D103" i="43"/>
  <c r="D109" i="43"/>
  <c r="N105" i="43"/>
  <c r="N107" i="43"/>
  <c r="D104" i="43"/>
  <c r="D102" i="43"/>
  <c r="C115" i="43"/>
  <c r="D113" i="43" s="1"/>
  <c r="M19" i="9"/>
  <c r="C118" i="9" s="1"/>
  <c r="C14" i="74" s="1"/>
  <c r="B2" i="74" s="1"/>
  <c r="D25" i="6"/>
  <c r="D15" i="6"/>
  <c r="D22" i="6"/>
  <c r="D21" i="6"/>
  <c r="D24" i="6"/>
  <c r="D20" i="6"/>
  <c r="D5" i="6"/>
  <c r="D9" i="6"/>
  <c r="D10" i="6"/>
  <c r="L19" i="9"/>
  <c r="D29" i="6"/>
  <c r="D19" i="6"/>
  <c r="D26" i="6"/>
  <c r="C18" i="4"/>
  <c r="D8" i="6"/>
  <c r="D23" i="6"/>
  <c r="D14" i="6"/>
  <c r="D12" i="6"/>
  <c r="D11" i="6"/>
  <c r="D13" i="6"/>
  <c r="D28" i="6"/>
  <c r="D30" i="6" s="1"/>
  <c r="E61" i="40"/>
  <c r="K24" i="6"/>
  <c r="M24" i="6" s="1"/>
  <c r="I24" i="6" s="1"/>
  <c r="S24" i="6" s="1"/>
  <c r="K22" i="6"/>
  <c r="M22" i="6" s="1"/>
  <c r="I22" i="6" s="1"/>
  <c r="S22" i="6" s="1"/>
  <c r="K23" i="6"/>
  <c r="M23" i="6" s="1"/>
  <c r="I23" i="6" s="1"/>
  <c r="S23" i="6" s="1"/>
  <c r="K26" i="6"/>
  <c r="M26" i="6" s="1"/>
  <c r="I26" i="6" s="1"/>
  <c r="S26" i="6" s="1"/>
  <c r="E31" i="6"/>
  <c r="K19" i="6"/>
  <c r="S6" i="1" s="1"/>
  <c r="E6" i="70" s="1"/>
  <c r="K20" i="6"/>
  <c r="K21" i="6"/>
  <c r="K25" i="6"/>
  <c r="M25" i="6" s="1"/>
  <c r="I25" i="6" s="1"/>
  <c r="S25" i="6" s="1"/>
  <c r="C10" i="69"/>
  <c r="C8" i="69" s="1"/>
  <c r="C5" i="69" s="1"/>
  <c r="D19" i="69"/>
  <c r="C10" i="68"/>
  <c r="D19" i="68"/>
  <c r="AA10" i="40"/>
  <c r="F50" i="68"/>
  <c r="C15" i="12"/>
  <c r="C12" i="12"/>
  <c r="C38" i="11"/>
  <c r="C35" i="11"/>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J26" i="67"/>
  <c r="J24" i="67"/>
  <c r="J24" i="15"/>
  <c r="J26" i="15"/>
  <c r="C53" i="67"/>
  <c r="C48" i="67" s="1"/>
  <c r="C10" i="67"/>
  <c r="C5" i="67" s="1"/>
  <c r="C53" i="15"/>
  <c r="C48" i="15" s="1"/>
  <c r="C10" i="15"/>
  <c r="C5" i="15" s="1"/>
  <c r="F25" i="12"/>
  <c r="F22" i="69"/>
  <c r="F41" i="69" s="1"/>
  <c r="F24" i="67"/>
  <c r="C24" i="67" s="1"/>
  <c r="F22" i="11"/>
  <c r="F22" i="68"/>
  <c r="F24" i="15"/>
  <c r="C24" i="15" s="1"/>
  <c r="F41" i="67"/>
  <c r="F41" i="79"/>
  <c r="F41" i="15"/>
  <c r="F70" i="39" l="1"/>
  <c r="G68" i="39"/>
  <c r="F69" i="79"/>
  <c r="J29" i="79"/>
  <c r="C29" i="79"/>
  <c r="C57" i="79" s="1"/>
  <c r="C66" i="79"/>
  <c r="C60" i="79"/>
  <c r="C38" i="79"/>
  <c r="C38" i="68"/>
  <c r="F50" i="69"/>
  <c r="F69" i="67"/>
  <c r="F69" i="15"/>
  <c r="J29" i="67"/>
  <c r="J29" i="15"/>
  <c r="S4" i="43"/>
  <c r="T4" i="43" s="1"/>
  <c r="V4" i="43" s="1"/>
  <c r="S3" i="43"/>
  <c r="T3" i="43" s="1"/>
  <c r="V3" i="43" s="1"/>
  <c r="C23" i="43"/>
  <c r="C21" i="43" s="1"/>
  <c r="C29" i="43" s="1"/>
  <c r="E29" i="43" s="1"/>
  <c r="S7" i="43"/>
  <c r="T7" i="43" s="1"/>
  <c r="V7" i="43" s="1"/>
  <c r="S5" i="43"/>
  <c r="T5" i="43" s="1"/>
  <c r="V5" i="43" s="1"/>
  <c r="M21" i="6"/>
  <c r="I21" i="6" s="1"/>
  <c r="S21" i="6" s="1"/>
  <c r="S8" i="1"/>
  <c r="M20" i="6"/>
  <c r="I20" i="6" s="1"/>
  <c r="S20" i="6" s="1"/>
  <c r="S7" i="1"/>
  <c r="S2" i="43"/>
  <c r="T2" i="43" s="1"/>
  <c r="V2" i="43" s="1"/>
  <c r="C26" i="43" s="1"/>
  <c r="S6" i="43"/>
  <c r="T6" i="43" s="1"/>
  <c r="V6" i="43" s="1"/>
  <c r="AR6" i="1"/>
  <c r="T6" i="1"/>
  <c r="AQ6" i="1"/>
  <c r="C30" i="43"/>
  <c r="E30" i="43" s="1"/>
  <c r="C27" i="43" s="1"/>
  <c r="H24" i="6"/>
  <c r="R24" i="6" s="1"/>
  <c r="H20" i="6"/>
  <c r="R20" i="6" s="1"/>
  <c r="R7" i="1" s="1"/>
  <c r="H26" i="6"/>
  <c r="R26" i="6" s="1"/>
  <c r="H23" i="6"/>
  <c r="R23" i="6" s="1"/>
  <c r="H25" i="6"/>
  <c r="R25" i="6" s="1"/>
  <c r="D16" i="6"/>
  <c r="M19" i="6"/>
  <c r="K27" i="6"/>
  <c r="H22" i="6"/>
  <c r="R22" i="6" s="1"/>
  <c r="A7" i="51"/>
  <c r="B7" i="72" s="1"/>
  <c r="C4" i="52"/>
  <c r="B45" i="72" s="1"/>
  <c r="A10" i="51"/>
  <c r="B9" i="72" s="1"/>
  <c r="D27" i="6"/>
  <c r="D31" i="6" s="1"/>
  <c r="I6" i="6" s="1"/>
  <c r="D8" i="74"/>
  <c r="D7" i="74"/>
  <c r="C33" i="11"/>
  <c r="C39" i="11" s="1"/>
  <c r="C46" i="11" s="1"/>
  <c r="C45" i="11" s="1"/>
  <c r="C19" i="68"/>
  <c r="C24" i="68" s="1"/>
  <c r="D37" i="68"/>
  <c r="C37" i="68" s="1"/>
  <c r="C33" i="68" s="1"/>
  <c r="C39" i="68" s="1"/>
  <c r="C46" i="68" s="1"/>
  <c r="C45" i="68" s="1"/>
  <c r="C19" i="69"/>
  <c r="C20" i="69" s="1"/>
  <c r="D37" i="69"/>
  <c r="C37" i="69" s="1"/>
  <c r="C33" i="69" s="1"/>
  <c r="C16" i="12"/>
  <c r="C21" i="12" s="1"/>
  <c r="C22" i="12"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B2" i="43"/>
  <c r="C60" i="15"/>
  <c r="C66" i="15"/>
  <c r="C26" i="69"/>
  <c r="D22" i="69" s="1"/>
  <c r="C44" i="69"/>
  <c r="D41" i="69" s="1"/>
  <c r="C23" i="69"/>
  <c r="C44" i="68"/>
  <c r="D41" i="68" s="1"/>
  <c r="C23" i="68"/>
  <c r="C26" i="68"/>
  <c r="D22" i="68" s="1"/>
  <c r="C26" i="12"/>
  <c r="D25" i="12" s="1"/>
  <c r="C44" i="11"/>
  <c r="D41" i="11" s="1"/>
  <c r="C23" i="11"/>
  <c r="C24" i="11"/>
  <c r="C25" i="11"/>
  <c r="C26" i="11"/>
  <c r="D22" i="11" s="1"/>
  <c r="C38" i="67"/>
  <c r="C38" i="15"/>
  <c r="C66" i="67"/>
  <c r="C60" i="67"/>
  <c r="C17" i="15"/>
  <c r="B6" i="76"/>
  <c r="E6" i="76"/>
  <c r="C17" i="67"/>
  <c r="C14" i="67"/>
  <c r="G70" i="39" l="1"/>
  <c r="H68" i="39"/>
  <c r="Q49" i="79"/>
  <c r="C13" i="79"/>
  <c r="C75" i="79" s="1"/>
  <c r="J59" i="79"/>
  <c r="J60" i="79" s="1"/>
  <c r="L46" i="79" s="1"/>
  <c r="J19" i="79"/>
  <c r="C36" i="79"/>
  <c r="J14" i="79"/>
  <c r="J22" i="79" s="1"/>
  <c r="C64" i="79"/>
  <c r="C61" i="79"/>
  <c r="S16" i="1"/>
  <c r="E7" i="70"/>
  <c r="E2" i="70" s="1"/>
  <c r="C18" i="67"/>
  <c r="C15" i="67"/>
  <c r="H21" i="6"/>
  <c r="R21" i="6" s="1"/>
  <c r="R8" i="1" s="1"/>
  <c r="C42" i="11"/>
  <c r="T7" i="1"/>
  <c r="AQ7" i="1"/>
  <c r="AR7" i="1"/>
  <c r="AQ8" i="1"/>
  <c r="AR8" i="1"/>
  <c r="T8" i="1"/>
  <c r="E2" i="76"/>
  <c r="C43" i="68"/>
  <c r="C28" i="69"/>
  <c r="C27" i="69" s="1"/>
  <c r="C25" i="69"/>
  <c r="I19" i="6"/>
  <c r="M27" i="6"/>
  <c r="C24" i="69"/>
  <c r="I5" i="6"/>
  <c r="C39" i="69"/>
  <c r="C43" i="69" s="1"/>
  <c r="C43" i="11"/>
  <c r="C42" i="68"/>
  <c r="C42" i="69"/>
  <c r="C20" i="68"/>
  <c r="C25" i="68" s="1"/>
  <c r="C22" i="68" s="1"/>
  <c r="C30" i="12"/>
  <c r="C28" i="12" s="1"/>
  <c r="C27" i="12"/>
  <c r="C25" i="12"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22" i="11"/>
  <c r="C31" i="11" s="1"/>
  <c r="M21" i="79"/>
  <c r="F35" i="67"/>
  <c r="C14" i="15"/>
  <c r="F35" i="79"/>
  <c r="M21" i="67"/>
  <c r="I68" i="39" l="1"/>
  <c r="H70" i="39"/>
  <c r="C37" i="79"/>
  <c r="J13" i="79"/>
  <c r="J23" i="79" s="1"/>
  <c r="Q70" i="79"/>
  <c r="C56" i="79"/>
  <c r="C65" i="79" s="1"/>
  <c r="Q48" i="79"/>
  <c r="J20" i="79"/>
  <c r="J17" i="79" s="1"/>
  <c r="J16" i="79" s="1"/>
  <c r="J25" i="79" s="1"/>
  <c r="F63" i="79"/>
  <c r="C62" i="79" s="1"/>
  <c r="C59" i="79" s="1"/>
  <c r="C34" i="79"/>
  <c r="C31" i="79" s="1"/>
  <c r="C19" i="67"/>
  <c r="C20" i="67" s="1"/>
  <c r="C26" i="67" s="1"/>
  <c r="C34" i="67"/>
  <c r="F63" i="67"/>
  <c r="C62" i="67" s="1"/>
  <c r="J20" i="67"/>
  <c r="C18" i="15"/>
  <c r="C15" i="15"/>
  <c r="C41" i="68"/>
  <c r="C49" i="68" s="1"/>
  <c r="C51" i="68" s="1"/>
  <c r="T16" i="1"/>
  <c r="C22" i="69"/>
  <c r="C31" i="69" s="1"/>
  <c r="C41" i="11"/>
  <c r="C49" i="11" s="1"/>
  <c r="C51" i="11" s="1"/>
  <c r="C52" i="11" s="1"/>
  <c r="B2" i="11" s="1"/>
  <c r="B3" i="11" s="1"/>
  <c r="C41" i="69"/>
  <c r="B3" i="76"/>
  <c r="C28" i="68"/>
  <c r="C27" i="68" s="1"/>
  <c r="C31" i="68" s="1"/>
  <c r="H19" i="6"/>
  <c r="S19" i="6"/>
  <c r="S27" i="6" s="1"/>
  <c r="I27" i="6"/>
  <c r="C32" i="12"/>
  <c r="B2" i="12" s="1"/>
  <c r="B3" i="12" s="1"/>
  <c r="C46" i="69"/>
  <c r="C45" i="69" s="1"/>
  <c r="I63" i="40"/>
  <c r="H65" i="40"/>
  <c r="I58" i="21"/>
  <c r="J58" i="21" s="1"/>
  <c r="K58" i="21" s="1"/>
  <c r="L58" i="21" s="1"/>
  <c r="M58" i="21" s="1"/>
  <c r="N58" i="21" s="1"/>
  <c r="O58" i="21" s="1"/>
  <c r="H7" i="21" s="1"/>
  <c r="F7" i="21"/>
  <c r="J48" i="35"/>
  <c r="J7" i="21" l="1"/>
  <c r="I70" i="39"/>
  <c r="J68" i="39"/>
  <c r="C30" i="79"/>
  <c r="C39" i="79" s="1"/>
  <c r="C40" i="79" s="1"/>
  <c r="C58" i="79"/>
  <c r="C67" i="79" s="1"/>
  <c r="C68" i="79" s="1"/>
  <c r="C71" i="79" s="1"/>
  <c r="C49" i="69"/>
  <c r="C51" i="69" s="1"/>
  <c r="C52" i="69" s="1"/>
  <c r="B2" i="69" s="1"/>
  <c r="B3" i="69" s="1"/>
  <c r="C23" i="67"/>
  <c r="C29" i="67" s="1"/>
  <c r="J59" i="67" s="1"/>
  <c r="J60" i="67" s="1"/>
  <c r="Q48" i="67" s="1"/>
  <c r="C19" i="15"/>
  <c r="C20" i="15" s="1"/>
  <c r="C26" i="15" s="1"/>
  <c r="C52" i="68"/>
  <c r="B2" i="68" s="1"/>
  <c r="B3" i="68" s="1"/>
  <c r="H27" i="6"/>
  <c r="R19" i="6"/>
  <c r="U7" i="21"/>
  <c r="AB7" i="21"/>
  <c r="T48" i="21" s="1"/>
  <c r="G48" i="21" s="1"/>
  <c r="S7" i="21"/>
  <c r="AA7" i="21"/>
  <c r="R48" i="21" s="1"/>
  <c r="J63" i="40"/>
  <c r="I65" i="40"/>
  <c r="K48" i="35"/>
  <c r="L48" i="35" s="1"/>
  <c r="M48" i="35" s="1"/>
  <c r="N48" i="35" s="1"/>
  <c r="O48" i="35" s="1"/>
  <c r="H7" i="35" s="1"/>
  <c r="AC7" i="21"/>
  <c r="V48" i="21" s="1"/>
  <c r="I48" i="21" s="1"/>
  <c r="W7" i="21"/>
  <c r="C56" i="11"/>
  <c r="C57" i="11" s="1"/>
  <c r="L51" i="79"/>
  <c r="C19" i="9"/>
  <c r="C20" i="9"/>
  <c r="K68" i="39" l="1"/>
  <c r="J70" i="39"/>
  <c r="Q69" i="79"/>
  <c r="Q68" i="79" s="1"/>
  <c r="C80" i="79"/>
  <c r="C79" i="79" s="1"/>
  <c r="Q67" i="79"/>
  <c r="Q65" i="79"/>
  <c r="Q75" i="79" s="1"/>
  <c r="Q56" i="79"/>
  <c r="Q62" i="79" s="1"/>
  <c r="Q47" i="79"/>
  <c r="Q53" i="79" s="1"/>
  <c r="C43" i="79"/>
  <c r="D2" i="79"/>
  <c r="C83" i="79"/>
  <c r="C82" i="79" s="1"/>
  <c r="C45" i="79"/>
  <c r="C46" i="79" s="1"/>
  <c r="C103" i="9"/>
  <c r="C102" i="9"/>
  <c r="C21" i="9"/>
  <c r="C57" i="69"/>
  <c r="C56" i="69" s="1"/>
  <c r="Q49" i="67"/>
  <c r="C13" i="67"/>
  <c r="C75" i="67" s="1"/>
  <c r="J14" i="67"/>
  <c r="J13" i="67" s="1"/>
  <c r="J23" i="67" s="1"/>
  <c r="C57" i="67"/>
  <c r="C61" i="67" s="1"/>
  <c r="C59" i="67" s="1"/>
  <c r="C33" i="67"/>
  <c r="C31" i="67" s="1"/>
  <c r="J19" i="67"/>
  <c r="J17" i="67" s="1"/>
  <c r="C36" i="67"/>
  <c r="C64" i="67"/>
  <c r="C23" i="15"/>
  <c r="C29" i="15" s="1"/>
  <c r="J59" i="15" s="1"/>
  <c r="J60" i="15" s="1"/>
  <c r="Q48" i="15" s="1"/>
  <c r="C57" i="68"/>
  <c r="R27" i="6"/>
  <c r="R6" i="1"/>
  <c r="J7" i="35"/>
  <c r="W7" i="35" s="1"/>
  <c r="J65" i="40"/>
  <c r="K63" i="40"/>
  <c r="I52" i="21"/>
  <c r="J52" i="21" s="1"/>
  <c r="U7" i="35"/>
  <c r="AB7" i="35"/>
  <c r="T38" i="35" s="1"/>
  <c r="G38" i="35" s="1"/>
  <c r="R49" i="21"/>
  <c r="E48" i="21"/>
  <c r="G52" i="21"/>
  <c r="H52" i="21" s="1"/>
  <c r="G53" i="21"/>
  <c r="H53" i="21" s="1"/>
  <c r="F7" i="35"/>
  <c r="F35" i="15"/>
  <c r="M21" i="15"/>
  <c r="D35" i="9"/>
  <c r="K70" i="39" l="1"/>
  <c r="L68" i="39"/>
  <c r="B3" i="79"/>
  <c r="B2" i="79"/>
  <c r="C56" i="68"/>
  <c r="C34" i="15"/>
  <c r="F63" i="15"/>
  <c r="C62" i="15" s="1"/>
  <c r="J20" i="15"/>
  <c r="R16" i="1"/>
  <c r="Q70" i="67"/>
  <c r="J22" i="67"/>
  <c r="J16" i="67" s="1"/>
  <c r="J25" i="67" s="1"/>
  <c r="C37" i="67"/>
  <c r="C30" i="67" s="1"/>
  <c r="C39" i="67" s="1"/>
  <c r="Q69" i="67" s="1"/>
  <c r="Q68" i="67" s="1"/>
  <c r="C56" i="67"/>
  <c r="C65" i="67" s="1"/>
  <c r="C58" i="67" s="1"/>
  <c r="C67" i="67" s="1"/>
  <c r="C68" i="67" s="1"/>
  <c r="C57" i="15"/>
  <c r="C33" i="15"/>
  <c r="Q49" i="15"/>
  <c r="J14" i="15"/>
  <c r="C36" i="15"/>
  <c r="C13" i="15"/>
  <c r="J19" i="15"/>
  <c r="J17" i="15"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D34" i="9"/>
  <c r="AO8" i="1"/>
  <c r="M68" i="39" l="1"/>
  <c r="L70" i="39"/>
  <c r="B8" i="70"/>
  <c r="C31" i="15"/>
  <c r="L57" i="67"/>
  <c r="L60" i="67" s="1"/>
  <c r="Q57" i="67" s="1"/>
  <c r="C40" i="67"/>
  <c r="C45" i="67" s="1"/>
  <c r="C46" i="67" s="1"/>
  <c r="C80" i="67"/>
  <c r="C79" i="67" s="1"/>
  <c r="C61" i="15"/>
  <c r="C59" i="15" s="1"/>
  <c r="C64" i="15"/>
  <c r="C71" i="67"/>
  <c r="Q70" i="15"/>
  <c r="C75" i="15"/>
  <c r="C56" i="15"/>
  <c r="C65" i="15" s="1"/>
  <c r="C37" i="15"/>
  <c r="J13" i="15"/>
  <c r="J23" i="15" s="1"/>
  <c r="J22" i="15"/>
  <c r="R39" i="35"/>
  <c r="E38" i="35"/>
  <c r="M63" i="40"/>
  <c r="L65" i="40"/>
  <c r="L51" i="67"/>
  <c r="M70" i="39" l="1"/>
  <c r="N68" i="39"/>
  <c r="Q67" i="67"/>
  <c r="C30" i="15"/>
  <c r="C39" i="15" s="1"/>
  <c r="Q69" i="15" s="1"/>
  <c r="Q68" i="15" s="1"/>
  <c r="Q47" i="67"/>
  <c r="Q53" i="67" s="1"/>
  <c r="C83" i="67"/>
  <c r="C82" i="67" s="1"/>
  <c r="Q56" i="67"/>
  <c r="Q62" i="67" s="1"/>
  <c r="Q65" i="67"/>
  <c r="C43" i="67"/>
  <c r="L46" i="67"/>
  <c r="D2" i="67" s="1"/>
  <c r="B2" i="67" s="1"/>
  <c r="Q66" i="67"/>
  <c r="J16" i="15"/>
  <c r="J25" i="15" s="1"/>
  <c r="C58" i="15"/>
  <c r="C67" i="15" s="1"/>
  <c r="C68" i="15" s="1"/>
  <c r="C71" i="15" s="1"/>
  <c r="C39" i="35"/>
  <c r="B2" i="35" s="1"/>
  <c r="B3" i="35" s="1"/>
  <c r="C38" i="35"/>
  <c r="N63" i="40"/>
  <c r="M65" i="40"/>
  <c r="E43" i="35"/>
  <c r="F43" i="35" s="1"/>
  <c r="E42" i="35"/>
  <c r="F42" i="35" s="1"/>
  <c r="I43" i="35"/>
  <c r="J43" i="35" s="1"/>
  <c r="AO7" i="1"/>
  <c r="N70" i="39" l="1"/>
  <c r="F7" i="39" s="1"/>
  <c r="O68" i="39"/>
  <c r="O70" i="39" s="1"/>
  <c r="H7" i="39"/>
  <c r="J7" i="39"/>
  <c r="L57" i="15"/>
  <c r="L60" i="15" s="1"/>
  <c r="Q57" i="15" s="1"/>
  <c r="C80" i="15"/>
  <c r="C79" i="15" s="1"/>
  <c r="C40" i="15"/>
  <c r="C46" i="15" s="1"/>
  <c r="B7" i="70"/>
  <c r="B3" i="67"/>
  <c r="Q75" i="67"/>
  <c r="L46" i="15"/>
  <c r="O63" i="40"/>
  <c r="O65" i="40" s="1"/>
  <c r="N65" i="40"/>
  <c r="L51" i="15"/>
  <c r="AC7" i="39" l="1"/>
  <c r="V47" i="39" s="1"/>
  <c r="I47" i="39" s="1"/>
  <c r="W7" i="39"/>
  <c r="AB7" i="39"/>
  <c r="T47" i="39" s="1"/>
  <c r="G47" i="39" s="1"/>
  <c r="U7" i="39"/>
  <c r="AA7" i="39"/>
  <c r="R47" i="39" s="1"/>
  <c r="S7" i="39"/>
  <c r="Q67" i="15"/>
  <c r="Q66" i="15"/>
  <c r="Q47" i="15"/>
  <c r="Q53" i="15" s="1"/>
  <c r="C83" i="15"/>
  <c r="C82" i="15" s="1"/>
  <c r="B2" i="15"/>
  <c r="C43" i="15"/>
  <c r="Q56" i="15"/>
  <c r="Q62" i="15" s="1"/>
  <c r="Q65" i="15"/>
  <c r="Q75" i="15" s="1"/>
  <c r="J7" i="40"/>
  <c r="F7" i="40"/>
  <c r="H7" i="40"/>
  <c r="AO6" i="1"/>
  <c r="R48" i="39" l="1"/>
  <c r="E47" i="39"/>
  <c r="G51" i="39"/>
  <c r="H51" i="39" s="1"/>
  <c r="G52" i="39"/>
  <c r="H52" i="39" s="1"/>
  <c r="I51" i="39"/>
  <c r="J51" i="39" s="1"/>
  <c r="I52" i="39"/>
  <c r="J52" i="39" s="1"/>
  <c r="B6" i="70"/>
  <c r="B2" i="70" s="1"/>
  <c r="B3" i="15"/>
  <c r="U7" i="40"/>
  <c r="AB7" i="40"/>
  <c r="T42" i="40" s="1"/>
  <c r="G42" i="40" s="1"/>
  <c r="AA7" i="40"/>
  <c r="R42" i="40" s="1"/>
  <c r="S7" i="40"/>
  <c r="AC7" i="40"/>
  <c r="V42" i="40" s="1"/>
  <c r="I42" i="40" s="1"/>
  <c r="W7" i="40"/>
  <c r="D19" i="9"/>
  <c r="E52" i="39" l="1"/>
  <c r="F52" i="39" s="1"/>
  <c r="E51" i="39"/>
  <c r="F51" i="39" s="1"/>
  <c r="C48" i="39"/>
  <c r="C47" i="39"/>
  <c r="D102" i="9"/>
  <c r="D21" i="9"/>
  <c r="D22" i="9"/>
  <c r="G19" i="9"/>
  <c r="G21" i="9" s="1"/>
  <c r="B3" i="70"/>
  <c r="I46" i="40"/>
  <c r="J46" i="40" s="1"/>
  <c r="R43" i="40"/>
  <c r="E42" i="40"/>
  <c r="G47" i="40"/>
  <c r="H47" i="40" s="1"/>
  <c r="G46" i="40"/>
  <c r="H46" i="40" s="1"/>
  <c r="D20" i="9"/>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103" i="9"/>
  <c r="G20" i="9"/>
  <c r="C32" i="9" s="1"/>
  <c r="C35" i="9" s="1"/>
  <c r="C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C104" i="9" s="1"/>
  <c r="D119" i="9" l="1"/>
  <c r="D5" i="52" s="1"/>
  <c r="B49" i="72" s="1"/>
  <c r="F119" i="9"/>
  <c r="F5" i="52" s="1"/>
  <c r="B53" i="72" s="1"/>
  <c r="H4" i="52"/>
  <c r="H101" i="9"/>
  <c r="I118" i="9"/>
  <c r="F4" i="52"/>
  <c r="B51" i="72" s="1"/>
  <c r="H119" i="9"/>
  <c r="H5" i="52" s="1"/>
  <c r="D14" i="74"/>
  <c r="I4" i="52" l="1"/>
  <c r="H102" i="9"/>
  <c r="D7" i="53" s="1"/>
  <c r="B21" i="72" s="1"/>
  <c r="E118" i="9"/>
  <c r="E4" i="52" s="1"/>
  <c r="B48" i="72" s="1"/>
  <c r="C105" i="9"/>
  <c r="F14" i="74"/>
  <c r="E14" i="74"/>
  <c r="B5" i="74"/>
  <c r="M48" i="9"/>
  <c r="D5" i="53"/>
  <c r="D45" i="9"/>
  <c r="H107" i="9"/>
  <c r="M49" i="9" l="1"/>
  <c r="H108" i="9"/>
  <c r="D15" i="53" s="1"/>
  <c r="B31" i="72" s="1"/>
  <c r="D13" i="53"/>
  <c r="D122" i="9"/>
  <c r="D5" i="74"/>
  <c r="C5" i="74"/>
  <c r="D53" i="9"/>
  <c r="C93" i="9"/>
  <c r="C86" i="9" s="1"/>
  <c r="C78" i="9"/>
  <c r="C73" i="9" s="1"/>
  <c r="C72" i="9"/>
  <c r="C64" i="9"/>
  <c r="C63" i="9" s="1"/>
  <c r="C67" i="9" s="1"/>
  <c r="C85" i="9"/>
  <c r="D52" i="9"/>
  <c r="D55" i="9"/>
  <c r="M53" i="9" s="1"/>
  <c r="B20" i="72"/>
  <c r="D6" i="53"/>
  <c r="B22" i="72" s="1"/>
  <c r="C95" i="9" l="1"/>
  <c r="C96" i="9" s="1"/>
  <c r="E96" i="9" s="1"/>
  <c r="E97" i="9" s="1"/>
  <c r="C79" i="9"/>
  <c r="G14" i="74"/>
  <c r="B6" i="74" s="1"/>
  <c r="D123" i="9"/>
  <c r="D9" i="52" s="1"/>
  <c r="D8" i="52"/>
  <c r="C68" i="9"/>
  <c r="D54" i="9" s="1"/>
  <c r="D59" i="9"/>
  <c r="M55" i="9" s="1"/>
  <c r="B30" i="72"/>
  <c r="D14" i="53"/>
  <c r="B32" i="72" s="1"/>
  <c r="L68" i="9"/>
  <c r="M68" i="9" s="1"/>
  <c r="L65" i="9"/>
  <c r="M65" i="9" s="1"/>
  <c r="L63" i="9"/>
  <c r="M63" i="9" s="1"/>
  <c r="L64" i="9"/>
  <c r="M64" i="9" s="1"/>
  <c r="L67" i="9"/>
  <c r="M67" i="9" s="1"/>
  <c r="L66" i="9"/>
  <c r="M66" i="9" s="1"/>
  <c r="C97" i="9" l="1"/>
  <c r="D58" i="9" s="1"/>
  <c r="D56" i="9" s="1"/>
  <c r="M54" i="9" s="1"/>
  <c r="N57" i="9" s="1"/>
  <c r="P57" i="9" s="1"/>
  <c r="M69" i="9"/>
  <c r="N69" i="9" s="1"/>
  <c r="C80" i="9"/>
  <c r="E80" i="9" s="1"/>
  <c r="E81" i="9" s="1"/>
  <c r="D6" i="74"/>
  <c r="C6" i="74"/>
  <c r="N59" i="9" l="1"/>
  <c r="N60" i="9" s="1"/>
  <c r="N58"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<sst xmlns="http://schemas.openxmlformats.org/spreadsheetml/2006/main" count="8621" uniqueCount="3363">
  <si>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</si>
  <si>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</si>
  <si>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</si>
  <si>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</si>
  <si>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</si>
  <si>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</si>
  <si>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</si>
  <si>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</si>
  <si>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</si>
  <si>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</si>
  <si>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</si>
  <si>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</si>
  <si>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</si>
  <si>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</si>
  <si>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</si>
  <si>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</si>
  <si>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</si>
  <si>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</si>
  <si>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</si>
  <si>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</si>
  <si>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</si>
  <si>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</si>
  <si>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</si>
  <si>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</si>
  <si>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</si>
  <si>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</si>
  <si>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</si>
  <si>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</si>
  <si>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</si>
  <si>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</si>
  <si>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</si>
  <si>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</si>
  <si>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</si>
  <si>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</si>
  <si>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</si>
  <si>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</si>
  <si>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</si>
  <si>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</si>
  <si>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</si>
  <si>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</si>
  <si>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</si>
  <si>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</si>
  <si>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</si>
  <si>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</si>
  <si>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</si>
  <si>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</si>
  <si>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</si>
  <si>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</si>
  <si>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</si>
  <si>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</si>
  <si>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</si>
  <si>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</si>
  <si>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</si>
  <si>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</si>
  <si>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</si>
  <si>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</si>
  <si>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</si>
  <si>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</si>
  <si>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</si>
  <si>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</si>
  <si>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</si>
  <si>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</si>
  <si>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</si>
  <si>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</si>
  <si>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</si>
  <si>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</si>
  <si>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</si>
  <si>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</si>
  <si>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</si>
  <si>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</si>
  <si>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</si>
  <si>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</si>
  <si>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</si>
  <si>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</si>
  <si>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</si>
  <si>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</si>
  <si>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</si>
  <si>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</si>
  <si>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</si>
  <si>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</si>
  <si>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</si>
  <si>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</si>
  <si>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</si>
  <si>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</si>
  <si>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</si>
  <si>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</si>
  <si>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</si>
  <si>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</si>
  <si>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</si>
  <si>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</si>
  <si>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</si>
  <si>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</si>
  <si>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</si>
  <si>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</si>
  <si>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</si>
  <si>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</si>
  <si>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</si>
  <si>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</si>
  <si>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</si>
  <si>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</si>
  <si>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</si>
  <si>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</si>
  <si>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</si>
  <si>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</si>
  <si>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</si>
  <si>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</si>
  <si>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</si>
  <si>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</si>
  <si>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</si>
  <si>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</si>
  <si>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</si>
  <si>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</si>
  <si>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</si>
  <si>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</si>
  <si>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</si>
  <si>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</si>
  <si>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</si>
  <si>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</si>
  <si>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</si>
  <si>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</si>
  <si>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</si>
  <si>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</si>
  <si>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</si>
  <si>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</si>
  <si>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</si>
  <si>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</si>
  <si>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</si>
  <si>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</si>
  <si>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</si>
  <si>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</si>
  <si>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</si>
  <si>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</si>
  <si>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</si>
  <si>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</si>
  <si>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</si>
  <si>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</si>
  <si>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</si>
  <si>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</si>
  <si>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</si>
  <si>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</si>
  <si>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</si>
  <si>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</si>
  <si>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</si>
  <si>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</si>
  <si>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</si>
  <si>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</si>
  <si>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</si>
  <si>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</si>
  <si>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</si>
  <si>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</si>
  <si>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</si>
  <si>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</si>
  <si>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</si>
  <si>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</si>
  <si>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</si>
  <si>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</si>
  <si>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</si>
  <si>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</si>
  <si>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</si>
  <si>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</si>
  <si>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</si>
  <si>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</si>
  <si>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</si>
  <si>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</si>
  <si>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</si>
  <si>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</si>
  <si>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</si>
  <si>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</si>
  <si>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</si>
  <si>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</si>
  <si>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</si>
  <si>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</si>
  <si>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</si>
  <si>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</si>
  <si>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</si>
  <si>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</si>
  <si>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</si>
  <si>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</si>
  <si>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</si>
  <si>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</si>
  <si>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</si>
  <si>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</si>
  <si>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</si>
  <si>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</si>
  <si>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</si>
  <si>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</si>
  <si>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</si>
  <si>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</si>
  <si>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</si>
  <si>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</si>
  <si>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</si>
  <si>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</si>
  <si>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</si>
  <si>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</si>
  <si>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</si>
  <si>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</si>
  <si>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</si>
  <si>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</si>
  <si>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</si>
  <si>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</si>
  <si>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</si>
  <si>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</si>
  <si>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</si>
  <si>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</si>
  <si>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</si>
  <si>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</si>
  <si>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</si>
  <si>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</si>
  <si>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</si>
  <si>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</si>
  <si>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</si>
  <si>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</si>
  <si>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</si>
  <si>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</si>
  <si>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</si>
  <si>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</si>
  <si>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</si>
  <si>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</si>
  <si>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</si>
  <si>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</si>
  <si>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</si>
  <si>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</si>
  <si>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</si>
  <si>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</si>
  <si>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</si>
  <si>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</si>
  <si>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</si>
  <si>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</si>
  <si>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</si>
  <si>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</si>
  <si>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</si>
  <si>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</si>
  <si>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</si>
  <si>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</si>
  <si>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</si>
  <si>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</si>
  <si>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</si>
  <si>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</si>
  <si>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</si>
  <si>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</si>
  <si>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</si>
  <si>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</si>
  <si>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</si>
  <si>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</si>
  <si>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</si>
  <si>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</si>
  <si>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</si>
  <si>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</si>
  <si>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</si>
  <si>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</si>
  <si>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</si>
  <si>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</si>
  <si>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</si>
  <si>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</si>
  <si>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</si>
  <si>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</si>
  <si>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</si>
  <si>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</si>
  <si>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</si>
  <si>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</si>
  <si>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</si>
  <si>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</si>
  <si>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</si>
  <si>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</si>
  <si>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</si>
  <si>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</si>
  <si>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</si>
  <si>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</si>
  <si>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</si>
  <si>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</si>
  <si>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</si>
  <si>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</si>
  <si>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</si>
  <si>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</si>
  <si>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</si>
  <si>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</si>
  <si>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</si>
  <si>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</si>
  <si>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</si>
  <si>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</si>
  <si>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</si>
  <si>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</si>
  <si>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</si>
  <si>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</si>
  <si>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</si>
  <si>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</si>
  <si>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</si>
  <si>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</si>
  <si>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</si>
  <si>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</si>
  <si>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</si>
  <si>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</si>
  <si>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</si>
  <si>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</si>
  <si>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</si>
  <si>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</si>
  <si>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</si>
  <si>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</si>
  <si>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</si>
  <si>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</si>
  <si>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</si>
  <si>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</si>
  <si>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</si>
  <si>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</si>
  <si>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</si>
  <si>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</si>
  <si>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</si>
  <si>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</si>
  <si>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</si>
  <si>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</si>
  <si>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</si>
  <si>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</si>
  <si>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</si>
  <si>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</si>
  <si>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</si>
  <si>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</si>
  <si>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</si>
  <si>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</si>
  <si>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</si>
  <si>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</si>
  <si>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</si>
  <si>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</si>
  <si>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</si>
  <si>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</si>
  <si>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</si>
  <si>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</si>
  <si>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</si>
  <si>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</si>
  <si>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</si>
  <si>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</si>
  <si>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</si>
  <si>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</si>
  <si>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</si>
  <si>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</si>
  <si>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</si>
  <si>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</si>
  <si>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</si>
  <si>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</si>
  <si>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</si>
  <si>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</si>
  <si>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</si>
  <si>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</si>
  <si>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</si>
  <si>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</si>
  <si>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</si>
  <si>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</si>
  <si>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</si>
  <si>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</si>
  <si>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</si>
  <si>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</si>
  <si>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</si>
  <si>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</si>
  <si>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</si>
  <si>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</si>
  <si>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</si>
  <si>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</si>
  <si>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</si>
  <si>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</si>
  <si>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</si>
  <si>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</si>
  <si>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</si>
  <si>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</si>
  <si>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</si>
  <si>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</si>
  <si>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</si>
  <si>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</si>
  <si>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</si>
  <si>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</si>
  <si>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</si>
  <si>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</si>
  <si>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</si>
  <si>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</si>
  <si>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</si>
  <si>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</si>
  <si>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</si>
  <si>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</si>
  <si>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</si>
  <si>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</si>
  <si>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</si>
  <si>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</si>
  <si>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</si>
  <si>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</si>
  <si>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</si>
  <si>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</si>
  <si>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</si>
  <si>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</si>
  <si>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</si>
  <si>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</si>
  <si>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</si>
  <si>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</si>
  <si>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</si>
  <si>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</si>
  <si>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</si>
  <si>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</si>
  <si>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</si>
  <si>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</si>
  <si>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</si>
  <si>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</si>
  <si>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</si>
  <si>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</si>
  <si>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</si>
  <si>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</si>
  <si>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</si>
  <si>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</si>
  <si>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</si>
  <si>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</si>
  <si>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</si>
  <si>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</si>
  <si>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</si>
  <si>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</si>
  <si>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</si>
  <si>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</si>
  <si>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</si>
  <si>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</si>
  <si>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</si>
  <si>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</si>
  <si>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</si>
  <si>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</si>
  <si>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</si>
  <si>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</si>
  <si>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</si>
  <si>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</si>
  <si>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</si>
  <si>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</si>
  <si>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</si>
  <si>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</si>
  <si>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</si>
  <si>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</si>
  <si>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</si>
  <si>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</si>
  <si>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</si>
  <si>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</si>
  <si>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</si>
  <si>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</si>
  <si>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</si>
  <si>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</si>
  <si>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</si>
  <si>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</si>
  <si>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</si>
  <si>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</si>
  <si>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</si>
  <si>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</si>
  <si>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</si>
  <si>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</si>
  <si>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</si>
  <si>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</si>
  <si>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</si>
  <si>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</si>
  <si>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</si>
  <si>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</si>
  <si>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</si>
  <si>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</si>
  <si>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</si>
  <si>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</si>
  <si>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</si>
  <si>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</si>
  <si>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</si>
  <si>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</si>
  <si>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</si>
  <si>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</si>
  <si>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</si>
  <si>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</si>
  <si>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</si>
  <si>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</si>
  <si>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</si>
  <si>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</si>
  <si>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</si>
  <si>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</si>
  <si>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</si>
  <si>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</si>
  <si>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</si>
  <si>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</si>
  <si>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</si>
  <si>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</si>
  <si>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</si>
  <si>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</si>
  <si>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</si>
  <si>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</si>
  <si>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</si>
  <si>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</si>
  <si>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</si>
  <si>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</si>
  <si>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</si>
  <si>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</si>
  <si>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</si>
  <si>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</si>
  <si>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</si>
  <si>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</si>
  <si>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</si>
  <si>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</si>
  <si>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</si>
  <si>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</si>
  <si>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</si>
  <si>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</si>
  <si>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</si>
  <si>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</si>
  <si>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</si>
  <si>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</si>
  <si>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</si>
  <si>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</si>
  <si>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</si>
  <si>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</si>
  <si>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</si>
  <si>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</si>
  <si>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</si>
  <si>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</si>
  <si>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</si>
  <si>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</si>
  <si>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</si>
  <si>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</si>
  <si>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</si>
  <si>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</si>
  <si>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</si>
  <si>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</si>
  <si>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</si>
  <si>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</si>
  <si>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</si>
  <si>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</si>
  <si>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</si>
  <si>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</si>
  <si>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</si>
  <si>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</si>
  <si>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</si>
  <si>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</si>
  <si>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</si>
  <si>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</si>
  <si>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</si>
  <si>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</si>
  <si>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</si>
  <si>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</si>
  <si>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</si>
  <si>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</si>
  <si>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</si>
  <si>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</si>
  <si>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</si>
  <si>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</si>
  <si>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</si>
  <si>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</si>
  <si>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</si>
  <si>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</si>
  <si>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</si>
  <si>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</si>
  <si>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</si>
  <si>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</si>
  <si>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</si>
  <si>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</si>
  <si>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</si>
  <si>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</si>
  <si>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</si>
  <si>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</si>
  <si>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</si>
  <si>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</si>
  <si>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</si>
  <si>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</si>
  <si>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</si>
  <si>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</si>
  <si>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</si>
  <si>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</si>
  <si>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</si>
  <si>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</si>
  <si>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</si>
  <si>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</si>
  <si>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</si>
  <si>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</si>
  <si>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</si>
  <si>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</si>
  <si>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</si>
  <si>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</si>
  <si>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</si>
  <si>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</si>
  <si>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</si>
  <si>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</si>
  <si>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</si>
  <si>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</si>
  <si>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</si>
  <si>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</si>
  <si>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</si>
  <si>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</si>
  <si>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</si>
  <si>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</si>
  <si>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</si>
  <si>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</si>
  <si>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</si>
  <si>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</si>
  <si>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</si>
  <si>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</si>
  <si>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</si>
  <si>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</si>
  <si>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</si>
  <si>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</si>
  <si>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</si>
  <si>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</si>
  <si>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</si>
  <si>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</si>
  <si>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</si>
  <si>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</si>
  <si>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</si>
  <si>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</si>
  <si>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</si>
  <si>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</si>
  <si>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</si>
  <si>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</si>
  <si>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</si>
  <si>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</si>
  <si>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</si>
  <si>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</si>
  <si>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</si>
  <si>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</si>
  <si>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</si>
  <si>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</si>
  <si>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</si>
  <si>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</si>
  <si>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</si>
  <si>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</si>
  <si>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</si>
  <si>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</si>
  <si>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</si>
  <si>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</si>
  <si>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</si>
  <si>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</si>
  <si>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</si>
  <si>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</si>
  <si>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</si>
  <si>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</si>
  <si>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</si>
  <si>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</si>
  <si>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</si>
  <si>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</si>
  <si>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</si>
  <si>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</si>
  <si>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</si>
  <si>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</si>
  <si>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</si>
  <si>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</si>
  <si>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</si>
  <si>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</si>
  <si>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</si>
  <si>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</si>
  <si>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</si>
  <si>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</si>
  <si>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</si>
  <si>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</si>
  <si>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</si>
  <si>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</si>
  <si>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</si>
  <si>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</si>
  <si>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</si>
  <si>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</si>
  <si>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</si>
  <si>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</si>
  <si>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</si>
  <si>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</si>
  <si>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</si>
  <si>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</si>
  <si>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</si>
  <si>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</si>
  <si>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</si>
  <si>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</si>
  <si>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</si>
  <si>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</si>
  <si>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</si>
  <si>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</si>
  <si>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</si>
  <si>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</si>
  <si>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</si>
  <si>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</si>
  <si>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</si>
  <si>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</si>
  <si>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</si>
  <si>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</si>
  <si>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</si>
  <si>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</si>
  <si>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</si>
  <si>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</si>
  <si>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</si>
  <si>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</si>
  <si>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</si>
  <si>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</si>
  <si>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</si>
  <si>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</si>
  <si>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</si>
  <si>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</si>
  <si>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</si>
  <si>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</si>
  <si>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</si>
  <si>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</si>
  <si>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</si>
  <si>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</si>
  <si>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</si>
  <si>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</si>
  <si>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</si>
  <si>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</si>
  <si>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</si>
  <si>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</si>
  <si>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</si>
  <si>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</si>
  <si>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</si>
  <si>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</si>
  <si>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</si>
  <si>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</si>
  <si>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</si>
  <si>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</si>
  <si>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</si>
  <si>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</si>
  <si>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</si>
  <si>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</si>
  <si>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</si>
  <si>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</si>
  <si>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</si>
  <si>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</si>
  <si>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</si>
  <si>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</si>
  <si>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</si>
  <si>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</si>
  <si>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</si>
  <si>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</si>
  <si>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</si>
  <si>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</si>
  <si>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</si>
  <si>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</si>
  <si>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</si>
  <si>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</si>
  <si>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</si>
  <si>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</si>
  <si>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</si>
  <si>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</si>
  <si>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</si>
  <si>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</si>
  <si>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</si>
  <si>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</si>
  <si>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</si>
  <si>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</si>
  <si>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</si>
  <si>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</si>
  <si>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</si>
  <si>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</si>
  <si>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</si>
  <si>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</si>
  <si>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</si>
  <si>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</si>
  <si>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</si>
  <si>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</si>
  <si>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</si>
  <si>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</si>
  <si>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</si>
  <si>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</si>
  <si>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</si>
  <si>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</si>
  <si>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</si>
  <si>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</si>
  <si>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</si>
  <si>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</si>
  <si>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</si>
  <si>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</si>
  <si>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</si>
  <si>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</si>
  <si>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</si>
  <si>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</si>
  <si>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</si>
  <si>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</si>
  <si>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</si>
  <si>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</si>
  <si>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</si>
  <si>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</si>
  <si>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</si>
  <si>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</si>
  <si>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</si>
  <si>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</si>
  <si>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</si>
  <si>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</si>
  <si>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</si>
  <si>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</si>
  <si>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</si>
  <si>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</si>
  <si>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</si>
  <si>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</si>
  <si>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</si>
  <si>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</si>
  <si>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</si>
  <si>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</si>
  <si>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</si>
  <si>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</si>
  <si>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</si>
  <si>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</si>
  <si>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</si>
  <si>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</si>
  <si>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</si>
  <si>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</si>
  <si>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</si>
  <si>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</si>
  <si>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</si>
  <si>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</si>
  <si>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</si>
  <si>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</si>
  <si>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</si>
  <si>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</si>
  <si>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</si>
  <si>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</si>
  <si>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</si>
  <si>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</si>
  <si>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</si>
  <si>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</si>
  <si>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</si>
  <si>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</si>
  <si>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</si>
  <si>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</si>
  <si>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</si>
  <si>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</si>
  <si>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</si>
  <si>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</si>
  <si>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</si>
  <si>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</si>
  <si>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</si>
  <si>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</si>
  <si>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</si>
  <si>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</si>
  <si>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</si>
  <si>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</si>
  <si>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</si>
  <si>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</si>
  <si>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</si>
  <si>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</si>
  <si>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</si>
  <si>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</si>
  <si>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</si>
  <si>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</si>
  <si>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</si>
  <si>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</si>
  <si>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</si>
  <si>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</si>
  <si>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</si>
  <si>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</si>
  <si>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</si>
  <si>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</si>
  <si>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</si>
  <si>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</si>
  <si>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</si>
  <si>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</si>
  <si>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</si>
  <si>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</si>
  <si>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</si>
  <si>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</si>
  <si>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</si>
  <si>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</si>
  <si>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</si>
  <si>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</si>
  <si>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</si>
  <si>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</si>
  <si>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</si>
  <si>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</si>
  <si>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</si>
  <si>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</si>
  <si>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</si>
  <si>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</si>
  <si>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</si>
  <si>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</si>
  <si>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</si>
  <si>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</si>
  <si>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</si>
  <si>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</si>
  <si>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</si>
  <si>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</si>
  <si>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</si>
  <si>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</si>
  <si>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</si>
  <si>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</si>
  <si>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</si>
  <si>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</si>
  <si>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</si>
  <si>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</si>
  <si>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</si>
  <si>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</si>
  <si>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</si>
  <si>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</si>
  <si>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</si>
  <si>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</si>
  <si>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</si>
  <si>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</si>
  <si>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</si>
  <si>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</si>
  <si>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</si>
  <si>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</si>
  <si>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</si>
  <si>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</si>
  <si>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</si>
  <si>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</si>
  <si>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</si>
  <si>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</si>
  <si>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</si>
  <si>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</si>
  <si>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</si>
  <si>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</si>
  <si>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</si>
  <si>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</si>
  <si>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</si>
  <si>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</si>
  <si>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</si>
  <si>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</si>
  <si>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</si>
  <si>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</si>
  <si>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</si>
  <si>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</si>
  <si>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</si>
  <si>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</si>
  <si>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</si>
  <si>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</si>
  <si>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</si>
  <si>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</si>
  <si>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</si>
  <si>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</si>
  <si>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</si>
  <si>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</si>
  <si>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</si>
  <si>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</si>
  <si>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</si>
  <si>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</si>
  <si>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</si>
  <si>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</si>
  <si>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</si>
  <si>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</si>
  <si>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</si>
  <si>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</si>
  <si>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</si>
  <si>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</si>
  <si>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</si>
  <si>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</si>
  <si>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</si>
  <si>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</si>
  <si>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</si>
  <si>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</si>
  <si>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</si>
  <si>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</si>
  <si>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</si>
  <si>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</si>
  <si>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</si>
  <si>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</si>
  <si>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</si>
  <si>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</si>
  <si>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</si>
  <si>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</si>
  <si>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</si>
  <si>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</si>
  <si>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</si>
  <si>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</si>
  <si>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</si>
  <si>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</si>
  <si>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</si>
  <si>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</si>
  <si>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</si>
  <si>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</si>
  <si>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</si>
  <si>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</si>
  <si>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</si>
  <si>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</si>
  <si>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</si>
  <si>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</si>
  <si>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</si>
  <si>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</si>
  <si>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</si>
  <si>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</si>
  <si>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</si>
  <si>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</si>
  <si>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</si>
  <si>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</si>
  <si>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</si>
  <si>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</si>
  <si>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</si>
  <si>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</si>
  <si>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</si>
  <si>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</si>
  <si>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</si>
  <si>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</si>
  <si>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</si>
  <si>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</si>
  <si>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</si>
  <si>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</si>
  <si>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</si>
  <si>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</si>
  <si>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</si>
  <si>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</si>
  <si>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</si>
  <si>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</si>
  <si>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</si>
  <si>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</si>
  <si>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</si>
  <si>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</si>
  <si>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</si>
  <si>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</si>
  <si>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</si>
  <si>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</si>
  <si>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</si>
  <si>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</si>
  <si>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</si>
  <si>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</si>
  <si>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</si>
  <si>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</si>
  <si>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</si>
  <si>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</si>
  <si>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</si>
  <si>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</si>
  <si>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</si>
  <si>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</si>
  <si>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</si>
  <si>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</si>
  <si>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</si>
  <si>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</si>
  <si>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</si>
  <si>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</si>
  <si>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</si>
  <si>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</si>
  <si>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</si>
  <si>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</si>
  <si>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</si>
  <si>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</si>
  <si>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</si>
  <si>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</si>
  <si>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</si>
  <si>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</si>
  <si>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</si>
  <si>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</si>
  <si>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</si>
  <si>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</si>
  <si>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</si>
  <si>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</si>
  <si>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</si>
  <si>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</si>
  <si>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</si>
  <si>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</si>
  <si>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</si>
  <si>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</si>
  <si>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</si>
  <si>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</si>
  <si>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</si>
  <si>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</si>
  <si>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</si>
  <si>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</si>
  <si>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</si>
  <si>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</si>
  <si>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</si>
  <si>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</si>
  <si>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</si>
  <si>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</si>
  <si>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</si>
  <si>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</si>
  <si>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</si>
  <si>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</si>
  <si>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</si>
  <si>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</si>
  <si>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</si>
  <si>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</si>
  <si>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</si>
  <si>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</si>
  <si>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</si>
  <si>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</si>
  <si>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</si>
  <si>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</si>
  <si>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</si>
  <si>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</si>
  <si>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</si>
  <si>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</si>
  <si>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</si>
  <si>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</si>
  <si>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</si>
  <si>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</si>
  <si>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</si>
  <si>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</si>
  <si>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</si>
  <si>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</si>
  <si>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</si>
  <si>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</si>
  <si>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</si>
  <si>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</si>
  <si>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</si>
  <si>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</si>
  <si>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</si>
  <si>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</si>
  <si>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</si>
  <si>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</si>
  <si>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</si>
  <si>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</si>
  <si>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</si>
  <si>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</si>
  <si>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</si>
  <si>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</si>
  <si>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</si>
  <si>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</si>
  <si>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</si>
  <si>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</si>
  <si>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</si>
  <si>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</si>
  <si>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</si>
  <si>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</si>
  <si>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</si>
  <si>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</si>
  <si>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</si>
  <si>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</si>
  <si>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</si>
  <si>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</si>
  <si>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</si>
  <si>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</si>
  <si>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</si>
  <si>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</si>
  <si>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</si>
  <si>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</si>
  <si>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</si>
  <si>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</si>
  <si>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</si>
  <si>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</si>
  <si>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</si>
  <si>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</si>
  <si>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</si>
  <si>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</si>
  <si>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</si>
  <si>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</si>
  <si>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</si>
  <si>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</si>
  <si>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</si>
  <si>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</si>
  <si>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</si>
  <si>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</si>
  <si>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</si>
  <si>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</si>
  <si>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</si>
  <si>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</si>
  <si>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</si>
  <si>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</si>
  <si>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</si>
  <si>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</si>
  <si>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</si>
  <si>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</si>
  <si>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</si>
  <si>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</si>
  <si>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</si>
  <si>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</si>
  <si>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</si>
  <si>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</si>
  <si>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</si>
  <si>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</si>
  <si>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</si>
  <si>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</si>
  <si>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</si>
  <si>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</si>
  <si>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</si>
  <si>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</si>
  <si>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</si>
  <si>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</si>
  <si>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</si>
  <si>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</si>
  <si>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</si>
  <si>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</si>
  <si>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</si>
  <si>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</si>
  <si>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</si>
  <si>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</si>
  <si>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</si>
  <si>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</si>
  <si>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</si>
  <si>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</si>
  <si>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</si>
  <si>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</si>
  <si>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</si>
  <si>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</si>
  <si>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</si>
  <si>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</si>
  <si>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</si>
  <si>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</si>
  <si>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</si>
  <si>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</si>
  <si>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</si>
  <si>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</si>
  <si>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</si>
  <si>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</si>
  <si>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</si>
  <si>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</si>
  <si>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</si>
  <si>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</si>
  <si>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</si>
  <si>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</si>
  <si>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</si>
  <si>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</si>
  <si>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</si>
  <si>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</si>
  <si>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</si>
  <si>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</si>
  <si>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</si>
  <si>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</si>
  <si>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</si>
  <si>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</si>
  <si>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</si>
  <si>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</si>
  <si>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</si>
  <si>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</si>
  <si>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</si>
  <si>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</si>
  <si>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</si>
  <si>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</si>
  <si>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</si>
  <si>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</si>
  <si>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</si>
  <si>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</si>
  <si>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</si>
  <si>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</si>
  <si>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</si>
  <si>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</si>
  <si>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</si>
  <si>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</si>
  <si>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</si>
  <si>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</si>
  <si>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</si>
  <si>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</si>
  <si>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</si>
  <si>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</si>
  <si>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</si>
  <si>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</si>
  <si>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</si>
  <si>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</si>
  <si>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</si>
  <si>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</si>
  <si>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</si>
  <si>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</si>
  <si>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</si>
  <si>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</si>
  <si>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</si>
  <si>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</si>
  <si>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</si>
  <si>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</si>
  <si>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</si>
  <si>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</si>
  <si>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</si>
  <si>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</si>
  <si>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</si>
  <si>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</si>
  <si>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</si>
  <si>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</si>
  <si>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</si>
  <si>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</si>
  <si>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</si>
  <si>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</si>
  <si>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</si>
  <si>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</si>
  <si>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</si>
  <si>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</si>
  <si>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</si>
  <si>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</si>
  <si>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</si>
  <si>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</si>
  <si>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</si>
  <si>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</si>
  <si>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</si>
  <si>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</si>
  <si>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</si>
  <si>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</si>
  <si>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</si>
  <si>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</si>
  <si>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</si>
  <si>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</si>
  <si>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</si>
  <si>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</si>
  <si>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</si>
  <si>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</si>
  <si>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</si>
  <si>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</si>
  <si>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</si>
  <si>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</si>
  <si>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</si>
  <si>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</si>
  <si>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</si>
  <si>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</si>
  <si>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</si>
  <si>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</si>
  <si>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</si>
  <si>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</si>
  <si>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</si>
  <si>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</si>
  <si>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</si>
  <si>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</si>
  <si>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</si>
  <si>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</si>
  <si>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</si>
  <si>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</si>
  <si>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</si>
  <si>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</si>
  <si>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</si>
  <si>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</si>
  <si>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</si>
  <si>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</si>
  <si>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</si>
  <si>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</si>
  <si>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</si>
  <si>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</si>
  <si>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</si>
  <si>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</si>
  <si>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</si>
  <si>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</si>
  <si>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</si>
  <si>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</si>
  <si>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</si>
  <si>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</si>
  <si>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</si>
  <si>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</si>
  <si>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</si>
  <si>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</si>
  <si>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</si>
  <si>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</si>
  <si>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</si>
  <si>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</si>
  <si>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</si>
  <si>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</si>
  <si>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</si>
  <si>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</si>
  <si>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</si>
  <si>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</si>
  <si>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</si>
  <si>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</si>
  <si>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</si>
  <si>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</si>
  <si>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</si>
  <si>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</si>
  <si>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</si>
  <si>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</si>
  <si>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</si>
  <si>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</si>
  <si>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</si>
  <si>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</si>
  <si>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</si>
  <si>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</si>
  <si>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</si>
  <si>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</si>
  <si>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</si>
  <si>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</si>
  <si>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</si>
  <si>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</si>
  <si>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</si>
  <si>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</si>
  <si>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</si>
  <si>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</si>
  <si>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</si>
  <si>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</si>
  <si>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</si>
  <si>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</si>
  <si>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</si>
  <si>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</si>
  <si>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</si>
  <si>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</si>
  <si>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</si>
  <si>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</si>
  <si>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</si>
  <si>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</si>
  <si>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</si>
  <si>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</si>
  <si>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</si>
  <si>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</si>
  <si>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</si>
  <si>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</si>
  <si>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</si>
  <si>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</si>
  <si>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</si>
  <si>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</si>
  <si>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</si>
  <si>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</si>
  <si>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</si>
  <si>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</si>
  <si>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</si>
  <si>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</si>
  <si>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</si>
  <si>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</si>
  <si>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</si>
  <si>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</si>
  <si>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</si>
  <si>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</si>
  <si>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</si>
  <si>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</si>
  <si>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</si>
  <si>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</si>
  <si>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</si>
  <si>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</si>
  <si>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</si>
  <si>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</si>
  <si>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</si>
  <si>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</si>
  <si>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</si>
  <si>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</si>
  <si>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</si>
  <si>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</si>
  <si>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</si>
  <si>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</si>
  <si>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</si>
  <si>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</si>
  <si>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</si>
  <si>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</si>
  <si>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</si>
  <si>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</si>
  <si>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</si>
  <si>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</si>
  <si>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</si>
  <si>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</si>
  <si>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</si>
  <si>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</si>
  <si>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</si>
  <si>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</si>
  <si>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</si>
  <si>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</si>
  <si>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</si>
  <si>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</si>
  <si>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</si>
  <si>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</si>
  <si>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</si>
  <si>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</si>
  <si>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</si>
  <si>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</si>
  <si>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</si>
  <si>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</si>
  <si>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</si>
  <si>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</si>
  <si>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</si>
  <si>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</si>
  <si>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</si>
  <si>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</si>
  <si>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</si>
  <si>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</si>
  <si>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</si>
  <si>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</si>
  <si>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</si>
  <si>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</si>
  <si>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</si>
  <si>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</si>
  <si>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</si>
  <si>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</si>
  <si>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</si>
  <si>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</si>
  <si>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</si>
  <si>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</si>
  <si>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</si>
  <si>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</si>
  <si>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</si>
  <si>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</si>
  <si>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</si>
  <si>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</si>
  <si>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</si>
  <si>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</si>
  <si>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</si>
  <si>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</si>
  <si>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</si>
  <si>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</si>
  <si>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</si>
  <si>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</si>
  <si>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</si>
  <si>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</si>
  <si>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</si>
  <si>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</si>
  <si>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</si>
  <si>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</si>
  <si>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</si>
  <si>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</si>
  <si>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</si>
  <si>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</si>
  <si>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</si>
  <si>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</si>
  <si>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</si>
  <si>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</si>
  <si>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</si>
  <si>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</si>
  <si>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</si>
  <si>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</si>
  <si>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</si>
  <si>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</si>
  <si>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</si>
  <si>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</si>
  <si>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</si>
  <si>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</si>
  <si>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</si>
  <si>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</si>
  <si>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</si>
  <si>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</si>
  <si>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</si>
  <si>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</si>
  <si>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</si>
  <si>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</si>
  <si>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</si>
  <si>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</si>
  <si>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</si>
  <si>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</si>
  <si>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</si>
  <si>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</si>
  <si>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</si>
  <si>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</si>
  <si>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</si>
  <si>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</si>
  <si>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</si>
  <si>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</si>
  <si>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</si>
  <si>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</si>
  <si>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</si>
  <si>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</si>
  <si>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</si>
  <si>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</si>
  <si>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</si>
  <si>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</si>
  <si>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</si>
  <si>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</si>
  <si>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</si>
  <si>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</si>
  <si>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</si>
  <si>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</si>
  <si>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</si>
  <si>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</si>
  <si>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</si>
  <si>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</si>
  <si>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</si>
  <si>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</si>
  <si>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</si>
  <si>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</si>
  <si>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</si>
  <si>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</si>
  <si>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</si>
  <si>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</si>
  <si>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</si>
  <si>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</si>
  <si>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</si>
  <si>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</si>
  <si>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</si>
  <si>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</si>
  <si>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</si>
  <si>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</si>
  <si>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</si>
  <si>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</si>
  <si>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</si>
  <si>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</si>
  <si>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</si>
  <si>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</si>
  <si>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</si>
  <si>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</si>
  <si>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</si>
  <si>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</si>
  <si>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</si>
  <si>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</si>
  <si>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</si>
  <si>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</si>
  <si>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</si>
  <si>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</si>
  <si>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</si>
  <si>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</si>
  <si>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</si>
  <si>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</si>
  <si>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</si>
  <si>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</si>
  <si>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</si>
  <si>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</si>
  <si>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</si>
  <si>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</si>
  <si>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</si>
  <si>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</si>
  <si>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</si>
  <si>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</si>
  <si>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</si>
  <si>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</si>
  <si>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</si>
  <si>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</si>
  <si>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</si>
  <si>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</si>
  <si>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</si>
  <si>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</si>
  <si>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</si>
  <si>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</si>
  <si>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</si>
  <si>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</si>
  <si>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</si>
  <si>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</si>
  <si>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</si>
  <si>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</si>
  <si>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</si>
  <si>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</si>
  <si>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</si>
  <si>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</si>
  <si>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</si>
  <si>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</si>
  <si>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</si>
  <si>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</si>
  <si>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</si>
  <si>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</si>
  <si>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</si>
  <si>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</si>
  <si>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</si>
  <si>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</si>
  <si>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</si>
  <si>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</si>
  <si>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</si>
  <si>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</si>
  <si>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</si>
  <si>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</si>
  <si>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</si>
  <si>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</si>
  <si>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</si>
  <si>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</si>
  <si>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</si>
  <si>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</si>
  <si>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</si>
  <si>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</si>
  <si>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</si>
  <si>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</si>
  <si>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</si>
  <si>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</si>
  <si>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</si>
  <si>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</si>
  <si>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</si>
  <si>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</si>
  <si>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</si>
  <si>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</si>
  <si>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</si>
  <si>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</si>
  <si>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</si>
  <si>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</si>
  <si>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</si>
  <si>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</si>
  <si>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</si>
  <si>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</si>
  <si>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</si>
  <si>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</si>
  <si>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</si>
  <si>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</si>
  <si>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</si>
  <si>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</si>
  <si>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</si>
  <si>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</si>
  <si>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</si>
  <si>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</si>
  <si>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</si>
  <si>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</si>
  <si>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</si>
  <si>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</si>
  <si>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</si>
  <si>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</si>
  <si>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</si>
  <si>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</si>
  <si>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</si>
  <si>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</si>
  <si>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</si>
  <si>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</si>
  <si>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</si>
  <si>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</si>
  <si>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</si>
  <si>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</si>
  <si>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</si>
  <si>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</si>
  <si>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</si>
  <si>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</si>
  <si>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</si>
  <si>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</si>
  <si>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</si>
  <si>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</si>
  <si>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</si>
  <si>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</si>
  <si>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</si>
  <si>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</si>
  <si>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</si>
  <si>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</si>
  <si>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</si>
  <si>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</si>
  <si>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</si>
  <si>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</si>
  <si>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</si>
  <si>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</si>
  <si>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</si>
  <si>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</si>
  <si>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</si>
  <si>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</si>
  <si>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</si>
  <si>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</si>
  <si>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</si>
  <si>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</si>
  <si>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</si>
  <si>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</si>
  <si>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</si>
  <si>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</si>
  <si>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</si>
  <si>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</si>
  <si>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</si>
  <si>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</si>
  <si>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</si>
  <si>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</si>
  <si>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</si>
  <si>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</si>
  <si>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</si>
  <si>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</si>
  <si>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</si>
  <si>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</si>
  <si>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</si>
  <si>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</si>
  <si>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</si>
  <si>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</si>
  <si>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</si>
  <si>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</si>
  <si>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</si>
  <si>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</si>
  <si>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</si>
  <si>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</si>
  <si>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</si>
  <si>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</si>
  <si>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</si>
  <si>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</si>
  <si>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</si>
  <si>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</si>
  <si>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</si>
  <si>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</si>
  <si>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</si>
  <si>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</si>
  <si>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</si>
  <si>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</si>
  <si>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</si>
  <si>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</si>
  <si>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</si>
  <si>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</si>
  <si>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</si>
  <si>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</si>
  <si>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</si>
  <si>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</si>
  <si>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</si>
  <si>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</si>
  <si>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</si>
  <si>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</si>
  <si>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</si>
  <si>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</si>
  <si>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</si>
  <si>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</si>
  <si>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</si>
  <si>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</si>
  <si>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</si>
  <si>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</si>
  <si>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</si>
  <si>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</si>
  <si>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</si>
  <si>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</si>
  <si>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</si>
  <si>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</si>
  <si>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</si>
  <si>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</si>
  <si>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</si>
  <si>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</si>
  <si>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</si>
  <si>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</si>
  <si>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</si>
  <si>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</si>
  <si>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</si>
  <si>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</si>
  <si>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</si>
  <si>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</si>
  <si>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</si>
  <si>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</si>
  <si>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</si>
  <si>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</si>
  <si>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</si>
  <si>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</si>
  <si>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</si>
  <si>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</si>
  <si>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</si>
  <si>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</si>
  <si>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</si>
  <si>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</si>
  <si>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</si>
  <si>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</si>
  <si>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</si>
  <si>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</si>
  <si>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</si>
  <si>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</si>
  <si>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</si>
  <si>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</si>
  <si>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</si>
  <si>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</si>
  <si>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</si>
  <si>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</si>
  <si>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</si>
  <si>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</si>
  <si>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</si>
  <si>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</si>
  <si>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</si>
  <si>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</si>
  <si>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</si>
  <si>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</si>
  <si>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</si>
  <si>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</si>
  <si>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</si>
  <si>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</si>
  <si>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</si>
  <si>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</si>
  <si>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</si>
  <si>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</si>
  <si>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</si>
  <si>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</si>
  <si>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</si>
  <si>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</si>
  <si>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</si>
  <si>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</si>
  <si>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</si>
  <si>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</si>
  <si>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</si>
  <si>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</si>
  <si>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</si>
  <si>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</si>
  <si>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</si>
  <si>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</si>
  <si>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</si>
  <si>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</si>
  <si>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</si>
  <si>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</si>
  <si>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</si>
  <si>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</si>
  <si>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</si>
  <si>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</si>
  <si>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</si>
  <si>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</si>
  <si>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</si>
  <si>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</si>
  <si>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</si>
  <si>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</si>
  <si>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</si>
  <si>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</si>
  <si>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</si>
  <si>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</si>
  <si>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</si>
  <si>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</si>
  <si>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</si>
  <si>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</si>
  <si>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</si>
  <si>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</si>
  <si>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</si>
  <si>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</si>
  <si>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</si>
  <si>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</si>
  <si>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</si>
  <si>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</si>
  <si>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</si>
  <si>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</si>
  <si>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</si>
  <si>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</si>
  <si>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</si>
  <si>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</si>
  <si>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</si>
  <si>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</si>
  <si>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</si>
  <si>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</si>
  <si>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</si>
  <si>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</si>
  <si>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</si>
  <si>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</si>
  <si>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</si>
  <si>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</si>
  <si>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</si>
  <si>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</si>
  <si>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</si>
  <si>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</si>
  <si>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</si>
  <si>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</si>
  <si>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</si>
  <si>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</si>
  <si>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</si>
  <si>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</si>
  <si>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</si>
  <si>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</si>
  <si>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</si>
  <si>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</si>
  <si>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</si>
  <si>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</si>
  <si>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</si>
  <si>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</si>
  <si>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</si>
  <si>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</si>
  <si>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</si>
  <si>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</si>
  <si>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</si>
  <si>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</si>
  <si>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</si>
  <si>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</si>
  <si>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</si>
  <si>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</si>
  <si>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</si>
  <si>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</si>
  <si>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</si>
  <si>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</si>
  <si>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</si>
  <si>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</si>
  <si>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</si>
  <si>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</si>
  <si>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</si>
  <si>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</si>
  <si>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</si>
  <si>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</si>
  <si>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</si>
  <si>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</si>
  <si>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</si>
  <si>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</si>
  <si>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</si>
  <si>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</si>
  <si>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</si>
  <si>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</si>
  <si>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</si>
  <si>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</si>
  <si>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</si>
  <si>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</si>
  <si>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</si>
  <si>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</si>
  <si>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</si>
  <si>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</si>
  <si>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</si>
  <si>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</si>
  <si>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</si>
  <si>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</si>
  <si>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</si>
  <si>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</si>
  <si>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</si>
  <si>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</si>
  <si>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</si>
  <si>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</si>
  <si>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</si>
  <si>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</si>
  <si>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</si>
  <si>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</si>
  <si>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</si>
  <si>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</si>
  <si>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</si>
  <si>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</si>
  <si>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</si>
  <si>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</si>
  <si>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</si>
  <si>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</si>
  <si>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</si>
  <si>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</si>
  <si>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</si>
  <si>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</si>
  <si>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</si>
  <si>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</si>
  <si>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</si>
  <si>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</si>
  <si>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</si>
  <si>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</si>
  <si>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</si>
  <si>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</si>
  <si>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</si>
  <si>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</si>
  <si>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</si>
  <si>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</si>
  <si>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</si>
  <si>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</si>
  <si>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</si>
  <si>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</si>
  <si>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</si>
  <si>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</si>
  <si>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</si>
  <si>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</si>
  <si>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</si>
  <si>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</si>
  <si>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</si>
  <si>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</si>
  <si>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</si>
  <si>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</si>
  <si>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</si>
  <si>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</si>
  <si>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</si>
  <si>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</si>
  <si>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</si>
  <si>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</si>
  <si>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</si>
  <si>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</si>
  <si>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</si>
  <si>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</si>
  <si>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</si>
  <si>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</si>
  <si>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</si>
  <si>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</si>
  <si>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</si>
  <si>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</si>
  <si>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</si>
  <si>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</si>
  <si>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</si>
  <si>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</si>
  <si>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</si>
  <si>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</si>
  <si>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</si>
  <si>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</si>
  <si>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</si>
  <si>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</si>
  <si>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</si>
  <si>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</si>
  <si>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</si>
  <si>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</si>
  <si>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</si>
  <si>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</si>
  <si>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</si>
  <si>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</si>
  <si>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</si>
  <si>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</si>
  <si>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</si>
  <si>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</si>
  <si>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</si>
  <si>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</si>
  <si>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</si>
  <si>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</si>
  <si>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</si>
  <si>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</si>
  <si>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</si>
  <si>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</si>
  <si>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</si>
  <si>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</si>
  <si>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</si>
  <si>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</si>
  <si>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</si>
  <si>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</si>
  <si>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</si>
  <si>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</si>
  <si>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</si>
  <si>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</si>
  <si>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</si>
  <si>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</si>
  <si>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</si>
  <si>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</si>
  <si>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</si>
  <si>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</si>
  <si>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</si>
  <si>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</si>
  <si>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</si>
  <si>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</si>
  <si>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</si>
  <si>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</si>
  <si>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</si>
  <si>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</si>
  <si>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</si>
  <si>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</si>
  <si>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</si>
  <si>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</si>
  <si>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</si>
  <si>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</si>
  <si>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</si>
  <si>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</si>
  <si>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</si>
  <si>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</si>
  <si>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</si>
  <si>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</si>
  <si>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</si>
  <si>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</si>
  <si>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</si>
  <si>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</si>
  <si>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</si>
  <si>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</si>
  <si>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</si>
  <si>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</si>
  <si>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</si>
  <si>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</si>
  <si>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</si>
  <si>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</si>
  <si>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</si>
  <si>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</si>
  <si>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</si>
  <si>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</si>
  <si>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</si>
  <si>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</si>
  <si>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</si>
  <si>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</si>
  <si>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</si>
  <si>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</si>
  <si>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</si>
  <si>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</si>
  <si>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</si>
  <si>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</si>
  <si>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</si>
  <si>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</si>
  <si>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</si>
  <si>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</si>
  <si>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</si>
  <si>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</si>
  <si>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</si>
  <si>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</si>
  <si>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</si>
  <si>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</si>
  <si>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</si>
  <si>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</si>
  <si>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</si>
  <si>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</si>
  <si>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</si>
  <si>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</si>
  <si>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</si>
  <si>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</si>
  <si>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</si>
  <si>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</si>
  <si>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</si>
  <si>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</si>
  <si>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</si>
  <si>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</si>
  <si>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</si>
  <si>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</si>
  <si>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</si>
  <si>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</si>
  <si>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</si>
  <si>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</si>
  <si>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</si>
  <si>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</si>
  <si>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</si>
  <si>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</si>
  <si>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</si>
  <si>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</si>
  <si>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</si>
  <si>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</si>
  <si>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</si>
  <si>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</si>
  <si>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</si>
  <si>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</si>
  <si>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</si>
  <si>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</si>
  <si>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</si>
  <si>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</si>
  <si>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</si>
  <si>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</si>
  <si>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</si>
  <si>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</si>
  <si>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</si>
  <si>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</si>
  <si>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</si>
  <si>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</si>
  <si>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</si>
  <si>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</si>
  <si>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</si>
  <si>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</si>
  <si>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</si>
  <si>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</si>
  <si>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</si>
  <si>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</si>
  <si>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</si>
  <si>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</si>
  <si>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</si>
  <si>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</si>
  <si>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</si>
  <si>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</si>
  <si>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</si>
  <si>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</si>
  <si>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</si>
  <si>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</si>
  <si>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</si>
  <si>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</si>
  <si>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</si>
  <si>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</si>
  <si>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</si>
  <si>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</si>
  <si>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</si>
  <si>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</si>
  <si>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</si>
  <si>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</si>
  <si>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</si>
  <si>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</si>
  <si>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</si>
  <si>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</si>
  <si>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</si>
  <si>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</si>
  <si>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</si>
  <si>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</si>
  <si>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</si>
  <si>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</si>
  <si>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</si>
  <si>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</si>
  <si>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</si>
  <si>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</si>
  <si>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</si>
  <si>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</si>
  <si>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</si>
  <si>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</si>
  <si>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</si>
  <si>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</si>
  <si>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</si>
  <si>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</si>
  <si>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</si>
  <si>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</si>
  <si>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</si>
  <si>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</si>
  <si>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</si>
  <si>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</si>
  <si>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</si>
  <si>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</si>
  <si>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</si>
  <si>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</si>
  <si>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</si>
  <si>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</si>
  <si>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</si>
  <si>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</si>
  <si>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</si>
  <si>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</si>
  <si>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</si>
  <si>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</si>
  <si>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</si>
  <si>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</si>
  <si>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</si>
  <si>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</si>
  <si>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</si>
  <si>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</si>
  <si>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</si>
  <si>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</si>
  <si>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</si>
  <si>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</si>
  <si>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</si>
  <si>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</si>
  <si>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</si>
  <si>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</si>
  <si>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</si>
  <si>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</si>
  <si>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</si>
  <si>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</si>
  <si>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</si>
  <si>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</si>
  <si>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</si>
  <si>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</si>
  <si>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</si>
  <si>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</si>
  <si>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</si>
  <si>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</si>
  <si>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</si>
  <si>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</si>
  <si>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</si>
  <si>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</si>
  <si>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</si>
  <si>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</si>
  <si>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</si>
  <si>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</si>
  <si>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</si>
  <si>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</si>
  <si>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</si>
  <si>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</si>
  <si>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</si>
  <si>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</si>
  <si>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</si>
  <si>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</si>
  <si>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</si>
  <si>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</si>
  <si>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</si>
  <si>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</si>
  <si>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</si>
  <si>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</si>
  <si>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</si>
  <si>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</si>
  <si>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</si>
  <si>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</si>
  <si>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</si>
  <si>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</si>
  <si>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</si>
  <si>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</si>
  <si>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</si>
  <si>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</si>
  <si>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</si>
  <si>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</si>
  <si>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</si>
  <si>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</si>
  <si>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</si>
  <si>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</si>
  <si>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</si>
  <si>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</si>
  <si>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</si>
  <si>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</si>
  <si>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</si>
  <si>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</si>
  <si>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</si>
  <si>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</si>
  <si>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</si>
  <si>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</si>
  <si>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</si>
  <si>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</si>
  <si>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</si>
  <si>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</si>
  <si>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</si>
  <si>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</si>
  <si>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</si>
  <si>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</si>
  <si>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</si>
  <si>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</si>
  <si>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</si>
  <si>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</si>
  <si>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</si>
  <si>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</si>
  <si>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</si>
  <si>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</si>
  <si>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</si>
  <si>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</si>
  <si>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</si>
  <si>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</si>
  <si>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</si>
  <si>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</si>
  <si>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</si>
  <si>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</si>
  <si>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</si>
  <si>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</si>
  <si>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</si>
  <si>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</si>
  <si>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</si>
  <si>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</si>
  <si>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</si>
  <si>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</si>
  <si>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</si>
  <si>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</si>
  <si>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</si>
  <si>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</si>
  <si>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</si>
  <si>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</si>
  <si>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</si>
  <si>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</si>
  <si>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</si>
  <si>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</si>
  <si>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</si>
  <si>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</si>
  <si>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</si>
  <si>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</si>
  <si>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</si>
  <si>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</si>
  <si>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</si>
  <si>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</si>
  <si>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</si>
  <si>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</si>
  <si>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</si>
  <si>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</si>
  <si>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</si>
  <si>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</si>
  <si>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</si>
  <si>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</si>
  <si>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</si>
  <si>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</si>
  <si>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</si>
  <si>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</si>
  <si>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</si>
  <si>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</si>
  <si>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</si>
  <si>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</si>
  <si>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</si>
  <si>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</si>
  <si>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</si>
  <si>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</si>
  <si>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</si>
  <si>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</si>
  <si>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</si>
  <si>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</si>
  <si>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</si>
  <si>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</si>
  <si>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</si>
  <si>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</si>
  <si>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</si>
  <si>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</si>
  <si>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</si>
  <si>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</si>
  <si>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</si>
  <si>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</si>
  <si>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</si>
  <si>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</si>
  <si>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</si>
  <si>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</si>
  <si>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</si>
  <si>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</si>
  <si>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</si>
  <si>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</si>
  <si>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</si>
  <si>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</si>
  <si>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</si>
  <si>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</si>
  <si>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</si>
  <si>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</si>
  <si>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</si>
  <si>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</si>
  <si>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</si>
  <si>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</si>
  <si>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</si>
  <si>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</si>
  <si>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</si>
  <si>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</si>
  <si>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</si>
  <si>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</si>
  <si>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</si>
  <si>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</si>
  <si>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</si>
  <si>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</si>
  <si>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</si>
  <si>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</si>
  <si>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</si>
  <si>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</si>
  <si>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</si>
  <si>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</si>
  <si>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</si>
  <si>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</si>
  <si>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</si>
  <si>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</si>
  <si>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</si>
  <si>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</si>
  <si>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</si>
  <si>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</si>
  <si>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</si>
  <si>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</si>
  <si>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</si>
  <si>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</si>
  <si>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</si>
  <si>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</si>
  <si>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</si>
  <si>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</si>
  <si>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</si>
  <si>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</si>
  <si>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</si>
  <si>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</si>
  <si>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</si>
  <si>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</si>
  <si>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</si>
  <si>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</si>
  <si>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</si>
  <si>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</si>
  <si>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</si>
  <si>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</si>
  <si>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</si>
  <si>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</si>
  <si>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</si>
  <si>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</si>
  <si>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</si>
  <si>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</si>
  <si>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</si>
  <si>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</si>
  <si>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</si>
  <si>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</si>
  <si>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</si>
  <si>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</si>
  <si>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</si>
  <si>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</si>
  <si>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</si>
  <si>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</si>
  <si>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</si>
  <si>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</si>
  <si>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</si>
  <si>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</si>
  <si>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</si>
  <si>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</si>
  <si>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</si>
  <si>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</si>
  <si>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</si>
  <si>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</si>
  <si>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</si>
  <si>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</si>
  <si>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</si>
  <si>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</si>
  <si>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</si>
  <si>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</si>
  <si>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</si>
  <si>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</si>
  <si>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</si>
  <si>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</si>
  <si>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</si>
  <si>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</si>
  <si>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</si>
  <si>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</si>
  <si>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</si>
  <si>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</si>
  <si>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</si>
  <si>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</si>
  <si>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</si>
  <si>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</si>
  <si>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</si>
  <si>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</si>
  <si>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</si>
  <si>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</si>
  <si>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</si>
  <si>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</si>
  <si>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</si>
  <si>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</si>
  <si>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</si>
  <si>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</si>
  <si>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</si>
  <si>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</si>
  <si>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</si>
  <si>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</si>
  <si>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</si>
  <si>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</si>
  <si>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</si>
  <si>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</si>
  <si>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</si>
  <si>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</si>
  <si>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</si>
  <si>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</si>
  <si>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</si>
  <si>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</si>
  <si>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</si>
  <si>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</si>
  <si>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</si>
  <si>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</si>
  <si>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</si>
  <si>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</si>
  <si>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</si>
  <si>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</si>
  <si>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</si>
  <si>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</si>
  <si>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</si>
  <si>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</si>
  <si>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</si>
  <si>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</si>
  <si>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</si>
  <si>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</si>
  <si>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</si>
  <si>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</si>
  <si>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</si>
  <si>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</si>
  <si>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</si>
  <si>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</si>
  <si>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</si>
  <si>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</si>
  <si>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</si>
  <si>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</si>
  <si>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</si>
  <si>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</si>
  <si>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</si>
  <si>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</si>
  <si>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</si>
  <si>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</si>
  <si>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</si>
  <si>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</si>
  <si>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</si>
  <si>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</si>
  <si>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</si>
  <si>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</si>
  <si>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</si>
  <si>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</si>
  <si>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</si>
  <si>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</si>
  <si>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</si>
  <si>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</si>
  <si>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</si>
  <si>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</si>
  <si>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</si>
  <si>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</si>
  <si>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</si>
  <si>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</si>
  <si>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</si>
  <si>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</si>
  <si>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</si>
  <si>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</si>
  <si>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</si>
  <si>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</si>
  <si>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</si>
  <si>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</si>
  <si>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</si>
  <si>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</si>
  <si>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</si>
  <si>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</si>
  <si>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</si>
  <si>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</si>
  <si>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</si>
  <si>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</si>
  <si>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</si>
  <si>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</si>
  <si>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</si>
  <si>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</si>
  <si>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</si>
  <si>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</si>
  <si>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</si>
  <si>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</si>
  <si>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</si>
  <si>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</si>
  <si>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</si>
  <si>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</si>
  <si>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</si>
  <si>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</si>
  <si>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</si>
  <si>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</si>
  <si>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</si>
  <si>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</si>
  <si>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</si>
  <si>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</si>
  <si>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</si>
  <si>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</si>
  <si>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</si>
  <si>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</si>
  <si>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</si>
  <si>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</si>
  <si>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</si>
  <si>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</si>
  <si>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</si>
  <si>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</si>
  <si>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</si>
  <si>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</si>
  <si>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</si>
  <si>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</si>
  <si>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</si>
  <si>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</si>
  <si>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</si>
  <si>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</si>
  <si>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</si>
  <si>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</si>
  <si>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</si>
  <si>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</si>
  <si>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</si>
  <si>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</si>
  <si>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</si>
  <si>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</si>
  <si>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</si>
  <si>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</si>
  <si>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</si>
  <si>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</si>
  <si>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</si>
  <si>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</si>
  <si>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</si>
  <si>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</si>
  <si>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</si>
  <si>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</si>
  <si>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</si>
  <si>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</si>
  <si>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</si>
  <si>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</si>
  <si>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</si>
  <si>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</si>
  <si>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</si>
  <si>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</si>
  <si>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</si>
  <si>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</si>
  <si>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</si>
  <si>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</si>
  <si>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</si>
  <si>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</si>
  <si>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</si>
  <si>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</si>
  <si>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</si>
  <si>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</si>
  <si>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</si>
  <si>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</si>
  <si>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</si>
  <si>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</si>
  <si>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</si>
  <si>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</si>
  <si>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</si>
  <si>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</si>
  <si>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</si>
  <si>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</si>
  <si>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</si>
  <si>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</si>
  <si>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</si>
  <si>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</si>
  <si>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</si>
  <si>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</si>
  <si>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</si>
  <si>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</si>
  <si>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</si>
  <si>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</si>
  <si>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</si>
  <si>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</si>
  <si>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</si>
  <si>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</si>
  <si>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</si>
  <si>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</si>
  <si>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</si>
  <si>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</si>
  <si>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</si>
  <si>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</si>
  <si>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</si>
  <si>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</si>
  <si>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</si>
  <si>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</si>
  <si>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</si>
  <si>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</si>
  <si>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</si>
  <si>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</si>
  <si>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</si>
  <si>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</si>
  <si>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</si>
  <si>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</si>
  <si>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</si>
  <si>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</si>
  <si>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</si>
  <si>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</si>
  <si>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</si>
  <si>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</si>
  <si>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</si>
  <si>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</si>
  <si>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</si>
  <si>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</si>
  <si>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</si>
  <si>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</si>
  <si>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</si>
  <si>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</si>
  <si>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</si>
  <si>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</si>
  <si>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</si>
  <si>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</si>
  <si>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</si>
  <si>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</si>
  <si>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</si>
  <si>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</si>
  <si>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</si>
  <si>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</si>
  <si>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</si>
  <si>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</si>
  <si>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</si>
  <si>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</si>
  <si>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</si>
  <si>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</si>
  <si>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</si>
  <si>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</si>
  <si>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</si>
  <si>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</si>
  <si>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</si>
  <si>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</si>
  <si>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</si>
  <si>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</si>
  <si>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</si>
  <si>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</si>
  <si>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</si>
  <si>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</si>
  <si>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</si>
  <si>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</si>
  <si>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</si>
  <si>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</si>
  <si>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</si>
  <si>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</si>
  <si>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</si>
  <si>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</si>
  <si>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</si>
  <si>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</si>
  <si>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</si>
  <si>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</si>
  <si>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</si>
  <si>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</si>
  <si>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</si>
  <si>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</si>
  <si>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</si>
  <si>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</si>
  <si>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</si>
  <si>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</si>
  <si>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</si>
  <si>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</si>
  <si>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</si>
  <si>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</si>
  <si>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</si>
  <si>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</si>
  <si>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</si>
  <si>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</si>
  <si>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</si>
  <si>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</si>
  <si>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</si>
  <si>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</si>
  <si>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</si>
  <si>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</si>
  <si>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</si>
  <si>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</si>
  <si>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</si>
  <si>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</si>
  <si>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</si>
  <si>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</si>
  <si>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</si>
  <si>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</si>
  <si>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</si>
  <si>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</si>
  <si>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</si>
  <si>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</si>
  <si>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</si>
  <si>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</si>
  <si>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</si>
  <si>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</si>
  <si>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</si>
  <si>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</si>
  <si>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</si>
  <si>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</si>
  <si>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</si>
  <si>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</si>
  <si>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</si>
  <si>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</si>
  <si>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</si>
  <si>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</si>
  <si>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</si>
  <si>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</si>
  <si>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</si>
  <si>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</si>
  <si>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</si>
  <si>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</si>
  <si>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</si>
  <si>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</si>
  <si>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</si>
  <si>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</si>
  <si>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</si>
  <si>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</si>
  <si>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</si>
  <si>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</si>
  <si>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</si>
  <si>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</si>
  <si>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</si>
  <si>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</si>
  <si>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</si>
  <si>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</si>
  <si>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</si>
  <si>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</si>
  <si>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</si>
  <si>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</si>
  <si>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</si>
  <si>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</si>
  <si>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</si>
  <si>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</si>
  <si>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</si>
  <si>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</si>
  <si>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</si>
  <si>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</si>
  <si>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</si>
  <si>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</si>
  <si>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</si>
  <si>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</si>
  <si>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</si>
  <si>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</si>
  <si>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</si>
  <si>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</si>
  <si>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</si>
  <si>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</si>
  <si>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</si>
  <si>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</si>
  <si>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</si>
  <si>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</si>
  <si>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</si>
  <si>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</si>
  <si>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</si>
  <si>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</si>
  <si>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</si>
  <si>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</si>
  <si>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</si>
  <si>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</si>
  <si>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</si>
  <si>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</si>
  <si>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</si>
  <si>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</si>
  <si>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</si>
  <si>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</si>
  <si>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</si>
  <si>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</si>
  <si>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</si>
  <si>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</si>
  <si>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</si>
  <si>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</si>
  <si>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</si>
  <si>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</si>
  <si>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</si>
  <si>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</si>
  <si>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</si>
  <si>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</si>
  <si>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</si>
  <si>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</si>
  <si>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</si>
  <si>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</si>
  <si>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</si>
  <si>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</si>
  <si>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</si>
  <si>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</si>
  <si>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</si>
  <si>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</si>
  <si>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</si>
  <si>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</si>
  <si>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</si>
  <si>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</si>
  <si>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</si>
  <si>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</si>
  <si>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</si>
  <si>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</si>
  <si>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</si>
  <si>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</si>
  <si>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</si>
  <si>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</si>
  <si>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</si>
  <si>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</si>
  <si>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</si>
  <si>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</si>
  <si>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</si>
  <si>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</si>
  <si>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</si>
  <si>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</si>
  <si>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</si>
  <si>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</si>
  <si>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</si>
  <si>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</si>
  <si>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</si>
  <si>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</si>
  <si>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</si>
  <si>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</si>
  <si>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</si>
  <si>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</si>
  <si>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</si>
  <si>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</si>
  <si>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</si>
  <si>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</si>
  <si>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</si>
  <si>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</si>
  <si>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</si>
  <si>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</si>
  <si>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</si>
  <si>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</si>
  <si>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</si>
  <si>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</si>
  <si>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</si>
  <si>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</si>
  <si>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</si>
  <si>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</si>
  <si>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</si>
  <si>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</si>
  <si>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</si>
  <si>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</si>
  <si>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</si>
  <si>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</si>
  <si>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</si>
  <si>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</si>
  <si>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</si>
  <si>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</si>
  <si>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</si>
  <si>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</si>
  <si>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</si>
  <si>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</si>
  <si>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</si>
  <si>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</si>
  <si>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</si>
  <si>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</si>
  <si>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</si>
  <si>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</si>
  <si>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</si>
  <si>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</si>
  <si>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</si>
  <si>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</si>
  <si>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</si>
  <si>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</si>
  <si>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</si>
  <si>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</si>
  <si>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</si>
  <si>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</si>
  <si>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</si>
  <si>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</si>
  <si>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</si>
  <si>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</si>
  <si>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</si>
  <si>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</si>
  <si>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</si>
  <si>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</si>
  <si>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</si>
  <si>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</si>
  <si>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</si>
  <si>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</si>
  <si>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</si>
  <si>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</si>
  <si>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</si>
  <si>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</si>
  <si>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</si>
  <si>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</si>
  <si>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</si>
  <si>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</si>
  <si>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</si>
  <si>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</si>
  <si>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</si>
  <si>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</si>
  <si>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</si>
  <si>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</si>
  <si>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</si>
  <si>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</si>
  <si>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</si>
  <si>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</si>
  <si>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</si>
  <si>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</si>
  <si>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</si>
  <si>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</si>
  <si>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</si>
  <si>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</si>
  <si>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</si>
  <si>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</si>
  <si>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</si>
  <si>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</si>
  <si>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</si>
  <si>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</si>
  <si>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</si>
  <si>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</si>
  <si>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</si>
  <si>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</si>
  <si>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</si>
  <si>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</si>
  <si>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</si>
  <si>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</si>
  <si>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</si>
  <si>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</si>
  <si>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</si>
  <si>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</si>
  <si>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</si>
  <si>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</si>
  <si>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</si>
  <si>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</si>
  <si>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</si>
  <si>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</si>
  <si>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</si>
  <si>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</si>
  <si>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</si>
  <si>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</si>
  <si>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</si>
  <si>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</si>
  <si>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</si>
  <si>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</si>
  <si>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</si>
  <si>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</si>
  <si>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</si>
  <si>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</si>
  <si>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</si>
  <si>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</si>
  <si>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</si>
  <si>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</si>
  <si>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</si>
  <si>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</si>
  <si>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</si>
  <si>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</si>
  <si>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</si>
  <si>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</si>
  <si>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</si>
  <si>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</si>
  <si>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</si>
  <si>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</si>
  <si>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</si>
  <si>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</si>
  <si>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</si>
  <si>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</si>
  <si>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</si>
  <si>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</si>
  <si>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</si>
  <si>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</si>
  <si>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</si>
  <si>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</si>
  <si>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</si>
  <si>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</si>
  <si>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</si>
  <si>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</si>
  <si>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</si>
  <si>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</si>
  <si>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</si>
  <si>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</si>
  <si>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</si>
  <si>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</si>
  <si>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</si>
  <si>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</si>
  <si>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</si>
  <si>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</si>
  <si>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</si>
  <si>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</si>
  <si>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</si>
  <si>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</si>
  <si>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</si>
  <si>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</si>
  <si>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</si>
  <si>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</si>
  <si>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</si>
  <si>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</si>
  <si>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</si>
  <si>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</si>
  <si>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</si>
  <si>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</si>
  <si>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</si>
  <si>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</si>
  <si>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</si>
  <si>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</si>
  <si>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</si>
  <si>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</si>
  <si>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</si>
  <si>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</si>
  <si>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</si>
  <si>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</si>
  <si>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</si>
  <si>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</si>
  <si>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</si>
  <si>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</si>
  <si>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</si>
  <si>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</si>
  <si>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</si>
  <si>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</si>
  <si>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</si>
  <si>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</si>
  <si>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</si>
  <si>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</si>
  <si>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抵押</t>
  </si>
  <si>
    <t>房地产抵押价值</t>
  </si>
  <si>
    <t>其他：</t>
  </si>
  <si>
    <t>企业</t>
  </si>
  <si>
    <t>出让</t>
  </si>
  <si>
    <t>地上</t>
  </si>
  <si>
    <t>是</t>
  </si>
  <si>
    <t>地下</t>
  </si>
  <si>
    <t>门卫室</t>
    <phoneticPr fontId="7" type="noConversion"/>
  </si>
  <si>
    <t>成新度</t>
  </si>
  <si>
    <t>利息：取LPR加浮动点数</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</si>
  <si>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</si>
  <si>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</si>
  <si>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</si>
  <si>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</si>
  <si>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</si>
  <si>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</si>
  <si>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</si>
  <si>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</si>
  <si>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</si>
  <si>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</si>
  <si>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</si>
  <si>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</si>
  <si>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</si>
  <si>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</si>
  <si>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</si>
  <si>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</si>
  <si>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金山店镇碧溪路东侧、保韦路南侧地块</t>
    <phoneticPr fontId="3" type="noConversion"/>
  </si>
  <si>
    <t>黄石市</t>
  </si>
  <si>
    <t>工业用地</t>
  </si>
  <si>
    <t>大于或等于1</t>
  </si>
  <si>
    <t>挂牌</t>
  </si>
  <si>
    <t>2021-03-12</t>
  </si>
  <si>
    <t>大治市建业钢结构制造有限公司</t>
  </si>
  <si>
    <t>0星</t>
  </si>
  <si>
    <t>城西北工业园铜都大道以东、大冶有色物流园以南地块</t>
    <phoneticPr fontId="3" type="noConversion"/>
  </si>
  <si>
    <t>湖北森牛日化科技有限公司</t>
  </si>
  <si>
    <r>
      <rPr>
        <sz val="10"/>
        <rFont val="宋体"/>
        <family val="3"/>
        <charset val="134"/>
      </rPr>
      <t>城西北工业园开元大道以东、</t>
    </r>
    <r>
      <rPr>
        <sz val="11"/>
        <color theme="1"/>
        <rFont val="宋体"/>
        <family val="3"/>
        <charset val="134"/>
        <scheme val="minor"/>
      </rPr>
      <t>12</t>
    </r>
    <r>
      <rPr>
        <sz val="10"/>
        <rFont val="宋体"/>
        <family val="3"/>
        <charset val="134"/>
      </rPr>
      <t>号路以西地块</t>
    </r>
    <phoneticPr fontId="3" type="noConversion"/>
  </si>
  <si>
    <t>仓储用地</t>
  </si>
  <si>
    <t>中国邮政集团有限公司黄石市分公司</t>
  </si>
  <si>
    <t>大冶市非金属产业园纬四路北侧、经三路东侧地块</t>
    <phoneticPr fontId="3" type="noConversion"/>
  </si>
  <si>
    <t>2021-03-02</t>
  </si>
  <si>
    <t>湖北环沙再生资源有限公司</t>
  </si>
  <si>
    <t>金湖街办大金省道非金属产业园经一路以西地块</t>
  </si>
  <si>
    <t>湖北丰泰新型建材有限公司</t>
  </si>
  <si>
    <t>开发区城西北工业园17号路以北、12号路以西地块</t>
  </si>
  <si>
    <t>大冶市弘丰机械制造有限公司</t>
  </si>
  <si>
    <t>钟山大道以南城际铁路以西A5路以东A-02地块</t>
  </si>
  <si>
    <t>2021-01-20</t>
  </si>
  <si>
    <t>湖北鄂东环保科技有限公司</t>
  </si>
  <si>
    <t>定颖一期以东四棵大道以南大棋路以北</t>
    <phoneticPr fontId="3" type="noConversion"/>
  </si>
  <si>
    <t>2021-01-08</t>
  </si>
  <si>
    <t>定颖电子(黄石)有限公司</t>
  </si>
  <si>
    <t>A35路以东台光电子二期以南四棵大道以北地块</t>
  </si>
  <si>
    <t>2020-12-18</t>
  </si>
  <si>
    <t>湖北信业热能工程有限公司</t>
  </si>
  <si>
    <t>2星</t>
  </si>
  <si>
    <t>光谷大道以西规划三路以北规划四路以东A-02地块</t>
  </si>
  <si>
    <t>湖北宝科智能装备有限公司</t>
  </si>
  <si>
    <t>台光电子二期以东四棵大道以北A-02地块</t>
  </si>
  <si>
    <t>黄石世博机械设备有限公司</t>
  </si>
  <si>
    <t>光谷大道以西规划三路以北规划四路以东A-01地块</t>
  </si>
  <si>
    <t>黄石市汉冶萍建设工程有限公司</t>
  </si>
  <si>
    <t>3星</t>
  </si>
  <si>
    <t>开发区攀宇工业园19号路以北、7号路以西地块</t>
  </si>
  <si>
    <t>2020-12-04</t>
  </si>
  <si>
    <t>湖北威星珠宝有限公司</t>
  </si>
  <si>
    <t>罗桥街办鄢畈村下余湾地块</t>
    <phoneticPr fontId="3" type="noConversion"/>
  </si>
  <si>
    <t>王邻湘</t>
  </si>
  <si>
    <t>1星</t>
  </si>
  <si>
    <t>灵乡镇灵成工业园内灵乡大道以南、灵成大道以西地块</t>
  </si>
  <si>
    <t>湖北万鼎精密制造有限公司</t>
  </si>
  <si>
    <r>
      <rPr>
        <sz val="10"/>
        <rFont val="宋体"/>
        <family val="3"/>
        <charset val="134"/>
      </rPr>
      <t>开发区攀宇工业园</t>
    </r>
    <r>
      <rPr>
        <sz val="11"/>
        <color theme="1"/>
        <rFont val="宋体"/>
        <family val="3"/>
        <charset val="134"/>
        <scheme val="minor"/>
      </rPr>
      <t>19</t>
    </r>
    <r>
      <rPr>
        <sz val="10"/>
        <rFont val="宋体"/>
        <family val="3"/>
        <charset val="134"/>
      </rPr>
      <t>号路以北、</t>
    </r>
    <r>
      <rPr>
        <sz val="11"/>
        <color theme="1"/>
        <rFont val="宋体"/>
        <family val="3"/>
        <charset val="134"/>
        <scheme val="minor"/>
      </rPr>
      <t>4</t>
    </r>
    <r>
      <rPr>
        <sz val="10"/>
        <rFont val="宋体"/>
        <family val="3"/>
        <charset val="134"/>
      </rPr>
      <t>号路以西</t>
    </r>
    <phoneticPr fontId="3" type="noConversion"/>
  </si>
  <si>
    <t>2020-10-27</t>
  </si>
  <si>
    <t>湖北朋成换热设备有限公司</t>
  </si>
  <si>
    <t>开发区城西北工业园8号路以西、湖北梨威地块以南地块</t>
  </si>
  <si>
    <t>湖北铭亿精密制造有限公司</t>
  </si>
  <si>
    <t>开发区攀宇工业园19号路以北、7号路以东地块</t>
  </si>
  <si>
    <t>大冶市瑞隆粉末涂料有限公司</t>
  </si>
  <si>
    <t>大棋路以北A19路以东A-02地块</t>
  </si>
  <si>
    <t>2020-10-15</t>
  </si>
  <si>
    <t>湖北荣呈环保科技有限公司</t>
  </si>
  <si>
    <t>大棋路以北A19路以东A-01地块</t>
  </si>
  <si>
    <t>湖北辉昌环保科技股份有限公司</t>
  </si>
  <si>
    <t>四棵大道以北庆洪路以西</t>
  </si>
  <si>
    <t>黄石市卉垚渣土运输有限责任公司</t>
  </si>
  <si>
    <t>A33路以东王圣大道以南高压走廊以北</t>
  </si>
  <si>
    <t>2020-10-09</t>
  </si>
  <si>
    <t>湖北金钻电子信息有限公司</t>
  </si>
  <si>
    <t>A33路以东四棵大道以南日丰管业以西地块</t>
  </si>
  <si>
    <t>2020-09-04</t>
  </si>
  <si>
    <t>黄石智慧激光产业园有限公司</t>
  </si>
  <si>
    <t>庆洪路以西鹏程大道以南地块</t>
  </si>
  <si>
    <t>湖北亿弘科技有限公司</t>
  </si>
  <si>
    <t>鹏程大道以南A49路以西四棵大道以北A37路以东A-02</t>
  </si>
  <si>
    <t>2020-08-12</t>
  </si>
  <si>
    <t>湖北黄金山科技园投资有限公司</t>
  </si>
  <si>
    <t>鹏程大道以南A49路以西四棵大道以北A37路以东A-01</t>
  </si>
  <si>
    <t>上达电子以东鹏程大道以南地块</t>
  </si>
  <si>
    <t>黄石兢美电子科技有限公司</t>
  </si>
  <si>
    <t>还地桥镇大井村赵家湾以东、东庄村以南地块</t>
  </si>
  <si>
    <t>大于或等于0.25</t>
  </si>
  <si>
    <t>2020-08-07</t>
  </si>
  <si>
    <t>大冶市吉祥烟花炮竹有限公司</t>
  </si>
  <si>
    <t>A49路以东王叶一路以西金山大道以南鹏程大道以北</t>
  </si>
  <si>
    <t>2020-08-03</t>
  </si>
  <si>
    <t>湖北光亮新能源产业投资有限公司</t>
  </si>
  <si>
    <t>金湖街办金珠大道以南、畈李路以东B1地块</t>
  </si>
  <si>
    <t>≥1</t>
  </si>
  <si>
    <t>2020-07-09</t>
  </si>
  <si>
    <t>湖北亿光年电子科技有限公司</t>
  </si>
  <si>
    <t>钟山大道以南城际铁路以西A5路以东</t>
  </si>
  <si>
    <t>2020-04-27</t>
  </si>
  <si>
    <t>钟山大道以南A5路以东</t>
  </si>
  <si>
    <t>湖北仁者机械科技有限公司</t>
  </si>
  <si>
    <t>金湖街办大广高速以东、大金省道以南一期</t>
  </si>
  <si>
    <t>小于或等于0.8</t>
  </si>
  <si>
    <t>2020-01-20</t>
  </si>
  <si>
    <t>湖北海虹物流有限公司</t>
  </si>
  <si>
    <t>A31路以南A33路以西王圣大道以北A-03地块</t>
  </si>
  <si>
    <t>2019-12-24</t>
  </si>
  <si>
    <t>湖北省锐兴智能科技有限公司</t>
  </si>
  <si>
    <t>A31路以南A33路以西王圣大道以北A-01地块</t>
  </si>
  <si>
    <t>湖北三锐科技有限公司</t>
  </si>
  <si>
    <t>A31路以南A33路以西王圣大道以北A-02地块</t>
  </si>
  <si>
    <t>湖北台正智能科技有限公司</t>
  </si>
  <si>
    <t>A3路以东钟山大道以南B1路以北A5路以西</t>
  </si>
  <si>
    <t>2019-12-06</t>
  </si>
  <si>
    <t>黄石广合精密电路有限公司</t>
  </si>
  <si>
    <t>A33路以东A34路以西四棵大道以北</t>
  </si>
  <si>
    <t>禄亿半导体(黄石)有限公司</t>
  </si>
  <si>
    <t>大冶市X008县道以东</t>
  </si>
  <si>
    <t>≤1</t>
  </si>
  <si>
    <t>2019-11-21</t>
  </si>
  <si>
    <t>大冶市奇石园艺有限公司</t>
  </si>
  <si>
    <t>王圣路以北高压走廊以西</t>
  </si>
  <si>
    <t>2019-10-30</t>
  </si>
  <si>
    <t>湖北美光精密刀具有限公司</t>
  </si>
  <si>
    <t>4星</t>
  </si>
  <si>
    <t>庆洪路以东A36路以西金山大道以南鹏程大道以北</t>
  </si>
  <si>
    <t>A路以东鹏程大道以北</t>
  </si>
  <si>
    <t>2019-10-10</t>
  </si>
  <si>
    <t>黄石李时珍药业集团武汉李时珍药业有限公司</t>
  </si>
  <si>
    <t>灵成一路以南、远华路以西</t>
  </si>
  <si>
    <t>2019-09-16</t>
  </si>
  <si>
    <t>湖北瑞信养生用品科技有限公司</t>
  </si>
  <si>
    <t>A36路以东A37路以西金山大道以南鹏程大道以北</t>
  </si>
  <si>
    <t>灵成二路以东、旺成新材料公司以西一期</t>
  </si>
  <si>
    <t>湖北鑫环球铸业有限公司</t>
  </si>
  <si>
    <t>金湖大广高速以东、大金省道以南</t>
  </si>
  <si>
    <t>兴邦商砼以南、有色铁路以东</t>
  </si>
  <si>
    <t>2019-09-04</t>
  </si>
  <si>
    <t>大冶市鑫诚特钢有限公司</t>
  </si>
  <si>
    <t>B3路以南B4路以北A7路以西</t>
  </si>
  <si>
    <t>2019-08-12</t>
  </si>
  <si>
    <t>湖北林泰环境科技有限公司</t>
  </si>
  <si>
    <t>宝山路以西鹏程大道以南山南铁路以北A-02</t>
  </si>
  <si>
    <t>柯回国</t>
  </si>
  <si>
    <t>A49路以东金山大道以南鹏程大道以北</t>
  </si>
  <si>
    <t>黄石电力集团有限公司</t>
  </si>
  <si>
    <t>罗桥工业园老武九铁路以东、大广连接线以南一期</t>
  </si>
  <si>
    <t>2019-07-01</t>
  </si>
  <si>
    <t>2019-07-10</t>
  </si>
  <si>
    <t>湖北楚天香状生物科技有限公司</t>
  </si>
  <si>
    <t>A23路以东鹏程大道以北</t>
  </si>
  <si>
    <t>2019-06-06</t>
  </si>
  <si>
    <t>湖北天健酒业有限公司</t>
  </si>
  <si>
    <t>鹏程大道以南山南铁路以北城际铁路以东</t>
  </si>
  <si>
    <t>黄石中和物流有限公司</t>
  </si>
  <si>
    <t>城西北新区3号路以西、18号路以南</t>
  </si>
  <si>
    <t>大于或等于1并且小于或等于1.5</t>
  </si>
  <si>
    <t>2019-05-29</t>
  </si>
  <si>
    <t>大冶市金欣环保科技有限公司</t>
  </si>
  <si>
    <t>A4路以东A5路以西金山大道以北</t>
  </si>
  <si>
    <t>2019-04-26</t>
  </si>
  <si>
    <t>黄石信博科技有限公司</t>
  </si>
  <si>
    <t>大冶市陈贵镇宏盛煤机以南地块</t>
  </si>
  <si>
    <t>2019-04-18</t>
  </si>
  <si>
    <t>湖北楚天导博新材料有限公司</t>
  </si>
  <si>
    <t>大冶市联富实业有限公司以南、316国道以东</t>
  </si>
  <si>
    <t>大冶市陈实工贸有限公司</t>
  </si>
  <si>
    <t>殷祖镇刘金线以北、秦华泗以东地块</t>
  </si>
  <si>
    <t>湖北铭振古建文化传播有限公司</t>
  </si>
  <si>
    <t>还地桥镇光谷大道东北侧</t>
  </si>
  <si>
    <t>湖北力宇新型建筑构件有限公司</t>
  </si>
  <si>
    <t>大冶市灵成工业园佳恒模具以东、环镇南路以北</t>
  </si>
  <si>
    <t>大冶市佳恒模具科技有限公司</t>
  </si>
  <si>
    <t>还地桥镇锦冶大道以南、欧德比亚以西</t>
  </si>
  <si>
    <t>2019-02-14</t>
  </si>
  <si>
    <t>大冶市红鑫模具科技有限公司</t>
  </si>
  <si>
    <t>锦冶大道以南、铁贺线以东</t>
  </si>
  <si>
    <t>湖北天工元机械有限公司</t>
  </si>
  <si>
    <t>还地桥镇红光村南侧郭桥村北侧</t>
  </si>
  <si>
    <t>大于或等于0.05</t>
  </si>
  <si>
    <t>2019-01-11</t>
  </si>
  <si>
    <t>大冶市民安民用爆炸物品专营有限公司</t>
  </si>
  <si>
    <t>攀宇工业园5号路以东、28号路以南</t>
  </si>
  <si>
    <t>2018-12-27</t>
  </si>
  <si>
    <t>大冶有色金属集团控股有限公司</t>
  </si>
  <si>
    <t>城西北新区8号路以西、22号路以南</t>
  </si>
  <si>
    <t>湖北光宇热工设备有限公司</t>
  </si>
  <si>
    <t>还地桥镇鼎盛铜业以南、2号路以西</t>
  </si>
  <si>
    <t>湖北宏兴智能设备有限公司</t>
  </si>
  <si>
    <t>A6路以东A37路以西鹏程大道以南四棵大道以北</t>
  </si>
  <si>
    <t>2018-12-06</t>
  </si>
  <si>
    <t>黄石宏和电子材料有限公司</t>
  </si>
  <si>
    <t>A33路以东大广高速连接线以南金山大道以北</t>
  </si>
  <si>
    <t>琛菲智能装备(湖北)有限公司</t>
  </si>
  <si>
    <t>城西北新区12号路以东、武九铁路以西</t>
  </si>
  <si>
    <t>湖北汉鹏建筑工程有限公司</t>
  </si>
  <si>
    <t>大冶市金牛镇7号楼以东、金牛大道以南</t>
  </si>
  <si>
    <t>湖北帝豪达服饰有限公司</t>
  </si>
  <si>
    <t>城西北工业园区劲佳包装一期北侧</t>
  </si>
  <si>
    <t>2018-10-12</t>
  </si>
  <si>
    <t>湖北劲佳包装有限公司</t>
  </si>
  <si>
    <t>城西北工业园区3号路以西、18号路以南</t>
  </si>
  <si>
    <t>湖北金力特电气有限公司</t>
  </si>
  <si>
    <t>A4路以东大广高速连接线以南</t>
  </si>
  <si>
    <t>2018-09-20</t>
  </si>
  <si>
    <t>湖北紫丰经贸有限公司</t>
  </si>
  <si>
    <t>快速路西侧城西北新区3号路以西、18号路以南、19号路以北</t>
  </si>
  <si>
    <t>2018-07-16</t>
  </si>
  <si>
    <t>湖北劲源印务有限公司</t>
  </si>
  <si>
    <t>快速路西侧10号路以北,30号路以南</t>
  </si>
  <si>
    <t>劲牌有限公司</t>
  </si>
  <si>
    <t>A23路以东王圣路以南鹏程大道以北</t>
  </si>
  <si>
    <t>2018-06-14</t>
  </si>
  <si>
    <t>A23路以东王圣路以南鹏程大道以北A地块</t>
  </si>
  <si>
    <t>湖北万德福纸业有限公司</t>
  </si>
  <si>
    <t>刘仁八镇上纪村南侧</t>
  </si>
  <si>
    <t>2018-05-28</t>
  </si>
  <si>
    <t>大冶市灵乡镇曹铺村</t>
  </si>
  <si>
    <t>刘仁八镇东面垅村西侧、刘金线南侧</t>
  </si>
  <si>
    <t>保安镇铁贺线以北湖北尹解元石雕艺术有限公司以西</t>
  </si>
  <si>
    <t>2018-05-21</t>
  </si>
  <si>
    <t>湖北东冶包装材料有限公司</t>
  </si>
  <si>
    <t>还地桥镇锦冶大道以北、勤善美纸品厂以东</t>
  </si>
  <si>
    <t>湖北华诚新能源设备有限公司</t>
  </si>
  <si>
    <t>A35路以东四棵大道以南大棋路以北庆洪路以西</t>
  </si>
  <si>
    <t>2018-05-10</t>
  </si>
  <si>
    <t>台光电子材料(黄石)有限公司</t>
  </si>
  <si>
    <t>A35路以东鹏程大道以南四棵大道以北</t>
  </si>
  <si>
    <t>大王山南侧1#地块</t>
  </si>
  <si>
    <t>黄石市鑫溢矿产有限公司</t>
  </si>
  <si>
    <r>
      <rPr>
        <sz val="10"/>
        <rFont val="Arial"/>
        <family val="2"/>
      </rPr>
      <t>2017</t>
    </r>
    <r>
      <rPr>
        <sz val="10"/>
        <rFont val="宋体"/>
        <family val="3"/>
        <charset val="134"/>
      </rPr>
      <t>年成交楼面价</t>
    </r>
    <r>
      <rPr>
        <sz val="10"/>
        <rFont val="Arial"/>
        <family val="2"/>
      </rPr>
      <t>102.45</t>
    </r>
    <phoneticPr fontId="3" type="noConversion"/>
  </si>
  <si>
    <t>未包含在土地购买价格中</t>
  </si>
  <si>
    <t>全部缴纳</t>
  </si>
  <si>
    <t>已包含在土地取得成本中</t>
  </si>
  <si>
    <t>收益法</t>
  </si>
  <si>
    <t>收益法 (元)</t>
  </si>
  <si>
    <t>仓库</t>
  </si>
  <si>
    <t>按租金收入计税</t>
  </si>
  <si>
    <t>按租金收入计税</t>
    <phoneticPr fontId="3" type="noConversion"/>
  </si>
  <si>
    <t>押一</t>
  </si>
  <si>
    <t>钢混</t>
  </si>
  <si>
    <t>钢</t>
  </si>
  <si>
    <t>生产用房</t>
  </si>
  <si>
    <t>否</t>
  </si>
  <si>
    <t>门卫室</t>
  </si>
  <si>
    <t>非生产用房</t>
  </si>
  <si>
    <t>成本法</t>
  </si>
  <si>
    <t>收益法（汇总）</t>
  </si>
  <si>
    <t>总价</t>
  </si>
  <si>
    <t>成本比率</t>
  </si>
  <si>
    <t>车间</t>
  </si>
  <si>
    <t>鄂（2019）大冶市不动产权第0019381号</t>
    <phoneticPr fontId="140" type="noConversion"/>
  </si>
  <si>
    <t>鄂（2019）大冶市不动产权第0019382号</t>
  </si>
  <si>
    <t>鄂（2019）大冶市不动产权第0019383号</t>
  </si>
  <si>
    <t>不动产权证号</t>
    <phoneticPr fontId="140" type="noConversion"/>
  </si>
  <si>
    <t>序号</t>
    <phoneticPr fontId="140" type="noConversion"/>
  </si>
  <si>
    <t>权利人</t>
    <phoneticPr fontId="140" type="noConversion"/>
  </si>
  <si>
    <t>湖北融通高科先进材料有限公司</t>
    <phoneticPr fontId="140" type="noConversion"/>
  </si>
  <si>
    <t>坐落</t>
    <phoneticPr fontId="140" type="noConversion"/>
  </si>
  <si>
    <t>大冶市罗家桥街道长乐大道67号</t>
  </si>
  <si>
    <t>大冶市罗家桥街道长乐大道68号</t>
  </si>
  <si>
    <t>大冶市罗家桥街道长乐大道66号</t>
    <phoneticPr fontId="140" type="noConversion"/>
  </si>
  <si>
    <t>用途</t>
    <phoneticPr fontId="140" type="noConversion"/>
  </si>
  <si>
    <t>工业用地/仓库</t>
    <phoneticPr fontId="140" type="noConversion"/>
  </si>
  <si>
    <t>共用宗地面积</t>
    <phoneticPr fontId="140" type="noConversion"/>
  </si>
  <si>
    <t>建筑面积</t>
    <phoneticPr fontId="140" type="noConversion"/>
  </si>
  <si>
    <t>房屋结构</t>
    <phoneticPr fontId="140" type="noConversion"/>
  </si>
  <si>
    <t>钢结构</t>
    <phoneticPr fontId="140" type="noConversion"/>
  </si>
  <si>
    <t>建成年代</t>
    <phoneticPr fontId="140" type="noConversion"/>
  </si>
  <si>
    <t>国有建设用地使用权</t>
    <phoneticPr fontId="140" type="noConversion"/>
  </si>
  <si>
    <t>总层数</t>
    <phoneticPr fontId="140" type="noConversion"/>
  </si>
  <si>
    <t>1层</t>
    <phoneticPr fontId="140" type="noConversion"/>
  </si>
  <si>
    <t>工业用地/门卫室</t>
    <phoneticPr fontId="140" type="noConversion"/>
  </si>
  <si>
    <t>钢混</t>
    <phoneticPr fontId="140" type="noConversion"/>
  </si>
  <si>
    <t>-1-1层</t>
    <phoneticPr fontId="140" type="noConversion"/>
  </si>
  <si>
    <t>工业用地/车间</t>
    <phoneticPr fontId="140" type="noConversion"/>
  </si>
  <si>
    <t>1层</t>
    <phoneticPr fontId="140" type="noConversion"/>
  </si>
  <si>
    <t>成新率</t>
    <phoneticPr fontId="140" type="noConversion"/>
  </si>
  <si>
    <t>仓库</t>
    <phoneticPr fontId="140" type="noConversion"/>
  </si>
  <si>
    <t>门卫室</t>
    <phoneticPr fontId="140" type="noConversion"/>
  </si>
  <si>
    <t>车间</t>
    <phoneticPr fontId="140" type="noConversion"/>
  </si>
  <si>
    <t>确定厂房腐蚀性后修改</t>
    <phoneticPr fontId="140" type="noConversion"/>
  </si>
  <si>
    <t>车间</t>
    <phoneticPr fontId="7" type="noConversion"/>
  </si>
  <si>
    <t>仓库</t>
    <phoneticPr fontId="7" type="noConversion"/>
  </si>
  <si>
    <t>收益法 (元) (2)</t>
  </si>
  <si>
    <t>收益法 (元) (2)</t>
    <phoneticPr fontId="16"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</si>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</sst>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color theme="1"/>
      <name val="华文细黑"/>
      <family val="3"/>
      <charset val="134"/>
    </font>
    <font>
      <sz val="10"/>
      <color rgb="FFFF0000"/>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0" fontId="55" fillId="0" borderId="0" xfId="17" applyAlignment="1">
      <alignment horizontal="left"/>
    </xf>
    <xf numFmtId="0" fontId="19" fillId="0" borderId="0" xfId="17" applyFont="1" applyAlignment="1">
      <alignment horizontal="left"/>
    </xf>
    <xf numFmtId="0" fontId="19" fillId="9" borderId="0" xfId="17" applyFont="1" applyFill="1" applyAlignment="1">
      <alignment horizontal="left"/>
    </xf>
    <xf numFmtId="0" fontId="55" fillId="9" borderId="0" xfId="17" applyFill="1" applyAlignment="1">
      <alignment horizontal="left"/>
    </xf>
    <xf numFmtId="0" fontId="55" fillId="0" borderId="0" xfId="17" applyFont="1" applyAlignment="1">
      <alignment horizontal="left"/>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2" borderId="1" xfId="0" applyFont="1" applyFill="1" applyBorder="1" applyAlignment="1" applyProtection="1">
      <alignment horizontal="left" vertical="center" wrapText="1"/>
      <protection locked="0"/>
    </xf>
    <xf numFmtId="0" fontId="79" fillId="13" borderId="0" xfId="0" applyFont="1" applyFill="1" applyAlignment="1" applyProtection="1">
      <alignment horizontal="center" vertical="center"/>
      <protection locked="0"/>
    </xf>
    <xf numFmtId="0" fontId="254" fillId="0" borderId="0" xfId="0" applyFont="1" applyAlignment="1">
      <alignment horizontal="left" vertical="center"/>
    </xf>
    <xf numFmtId="14" fontId="254" fillId="0" borderId="0" xfId="0" applyNumberFormat="1" applyFont="1" applyAlignment="1">
      <alignment horizontal="left" vertical="center"/>
    </xf>
    <xf numFmtId="49" fontId="254" fillId="0" borderId="0" xfId="0" applyNumberFormat="1" applyFont="1" applyAlignment="1">
      <alignment horizontal="left" vertical="center"/>
    </xf>
    <xf numFmtId="0" fontId="255" fillId="0" borderId="0" xfId="0" applyFont="1" applyAlignment="1">
      <alignment horizontal="lef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91</xdr:row>
      <xdr:rowOff>0</xdr:rowOff>
    </xdr:from>
    <xdr:to>
      <xdr:col>12</xdr:col>
      <xdr:colOff>560759</xdr:colOff>
      <xdr:row>133</xdr:row>
      <xdr:rowOff>142008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735175"/>
          <a:ext cx="9733334" cy="69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466725</xdr:colOff>
      <xdr:row>1</xdr:row>
      <xdr:rowOff>9525</xdr:rowOff>
    </xdr:from>
    <xdr:to>
      <xdr:col>14</xdr:col>
      <xdr:colOff>17907</xdr:colOff>
      <xdr:row>11</xdr:row>
      <xdr:rowOff>66454</xdr:rowOff>
    </xdr:to>
    <xdr:pic>
      <xdr:nvPicPr>
        <xdr:cNvPr id="2" name="图片 1"/>
        <xdr:cNvPicPr>
          <a:picLocks noChangeAspect="1"/>
        </xdr:cNvPicPr>
      </xdr:nvPicPr>
      <xdr:blipFill>
        <a:blip xmlns:r="http://schemas.openxmlformats.org/officeDocument/2006/relationships" r:embed="rId1"/>
        <a:stretch>
          <a:fillRect/>
        </a:stretch>
      </xdr:blipFill>
      <xdr:spPr>
        <a:xfrm>
          <a:off x="466725" y="180975"/>
          <a:ext cx="9152382" cy="1771429"/>
        </a:xfrm>
        <a:prstGeom prst="rect">
          <a:avLst/>
        </a:prstGeom>
      </xdr:spPr>
    </xdr:pic>
    <xdr:clientData/>
  </xdr:twoCellAnchor>
  <xdr:twoCellAnchor editAs="oneCell">
    <xdr:from>
      <xdr:col>0</xdr:col>
      <xdr:colOff>523875</xdr:colOff>
      <xdr:row>13</xdr:row>
      <xdr:rowOff>76200</xdr:rowOff>
    </xdr:from>
    <xdr:to>
      <xdr:col>13</xdr:col>
      <xdr:colOff>675142</xdr:colOff>
      <xdr:row>25</xdr:row>
      <xdr:rowOff>9276</xdr:rowOff>
    </xdr:to>
    <xdr:pic>
      <xdr:nvPicPr>
        <xdr:cNvPr id="3" name="图片 2"/>
        <xdr:cNvPicPr>
          <a:picLocks noChangeAspect="1"/>
        </xdr:cNvPicPr>
      </xdr:nvPicPr>
      <xdr:blipFill>
        <a:blip xmlns:r="http://schemas.openxmlformats.org/officeDocument/2006/relationships" r:embed="rId2"/>
        <a:stretch>
          <a:fillRect/>
        </a:stretch>
      </xdr:blipFill>
      <xdr:spPr>
        <a:xfrm>
          <a:off x="523875" y="2305050"/>
          <a:ext cx="9066667" cy="1990476"/>
        </a:xfrm>
        <a:prstGeom prst="rect">
          <a:avLst/>
        </a:prstGeom>
      </xdr:spPr>
    </xdr:pic>
    <xdr:clientData/>
  </xdr:twoCellAnchor>
  <xdr:twoCellAnchor editAs="oneCell">
    <xdr:from>
      <xdr:col>0</xdr:col>
      <xdr:colOff>571500</xdr:colOff>
      <xdr:row>26</xdr:row>
      <xdr:rowOff>114300</xdr:rowOff>
    </xdr:from>
    <xdr:to>
      <xdr:col>14</xdr:col>
      <xdr:colOff>141729</xdr:colOff>
      <xdr:row>37</xdr:row>
      <xdr:rowOff>85493</xdr:rowOff>
    </xdr:to>
    <xdr:pic>
      <xdr:nvPicPr>
        <xdr:cNvPr id="4" name="图片 3"/>
        <xdr:cNvPicPr>
          <a:picLocks noChangeAspect="1"/>
        </xdr:cNvPicPr>
      </xdr:nvPicPr>
      <xdr:blipFill>
        <a:blip xmlns:r="http://schemas.openxmlformats.org/officeDocument/2006/relationships" r:embed="rId3"/>
        <a:stretch>
          <a:fillRect/>
        </a:stretch>
      </xdr:blipFill>
      <xdr:spPr>
        <a:xfrm>
          <a:off x="571500" y="4572000"/>
          <a:ext cx="9171429" cy="1857143"/>
        </a:xfrm>
        <a:prstGeom prst="rect">
          <a:avLst/>
        </a:prstGeom>
      </xdr:spPr>
    </xdr:pic>
    <xdr:clientData/>
  </xdr:twoCellAnchor>
  <xdr:twoCellAnchor editAs="oneCell">
    <xdr:from>
      <xdr:col>1</xdr:col>
      <xdr:colOff>0</xdr:colOff>
      <xdr:row>39</xdr:row>
      <xdr:rowOff>0</xdr:rowOff>
    </xdr:from>
    <xdr:to>
      <xdr:col>14</xdr:col>
      <xdr:colOff>227458</xdr:colOff>
      <xdr:row>49</xdr:row>
      <xdr:rowOff>85500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6686550"/>
          <a:ext cx="9142858" cy="1800000"/>
        </a:xfrm>
        <a:prstGeom prst="rect">
          <a:avLst/>
        </a:prstGeom>
      </xdr:spPr>
    </xdr:pic>
    <xdr:clientData/>
  </xdr:twoCellAnchor>
  <xdr:twoCellAnchor editAs="oneCell">
    <xdr:from>
      <xdr:col>1</xdr:col>
      <xdr:colOff>0</xdr:colOff>
      <xdr:row>51</xdr:row>
      <xdr:rowOff>0</xdr:rowOff>
    </xdr:from>
    <xdr:to>
      <xdr:col>14</xdr:col>
      <xdr:colOff>446505</xdr:colOff>
      <xdr:row>61</xdr:row>
      <xdr:rowOff>18833</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8743950"/>
          <a:ext cx="9361905" cy="17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估价对象为房地产，为所有。根据《国有土地使用证》[]，估价对象（分摊）出让国有建设用地使用权面积为21890.49平方米，建筑面积为21976.32平方米。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估价对象为房地产,属开发建设的，该项目尚在开发建设中。根据《国有土地使用证》[]，估价对象（分摊）出让国有建设用地使用权面积为21890.49平方米，规划建筑面积为21976.32平方米。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2021年4月8日</v>
      </c>
    </row>
    <row r="13" spans="1:2" s="1365" customFormat="1">
      <c r="A13" s="1363" t="s">
        <v>1194</v>
      </c>
      <c r="B13" s="1364" t="str">
        <f>'预评函-1'!A18</f>
        <v>本次估价的“房地产价值”是指在正常市场情况下，在价值时点2021年4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4158</v>
      </c>
    </row>
    <row r="21" spans="1:2" s="1365" customFormat="1">
      <c r="A21" s="1363" t="s">
        <v>1202</v>
      </c>
      <c r="B21" s="1364">
        <f ca="1">'预评函-2'!D7</f>
        <v>1892</v>
      </c>
    </row>
    <row r="22" spans="1:2" s="1365" customFormat="1">
      <c r="A22" s="1363" t="s">
        <v>1203</v>
      </c>
      <c r="B22" s="1364" t="str">
        <f ca="1">'预评函-2'!D6</f>
        <v>肆仟壹佰伍拾捌万元整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4158</v>
      </c>
    </row>
    <row r="31" spans="1:2" s="1365" customFormat="1">
      <c r="A31" s="1363" t="s">
        <v>1241</v>
      </c>
      <c r="B31" s="1364">
        <f ca="1">'预评函-2'!D15</f>
        <v>1892</v>
      </c>
    </row>
    <row r="32" spans="1:2" s="1365" customFormat="1">
      <c r="A32" s="1363" t="s">
        <v>1208</v>
      </c>
      <c r="B32" s="1364" t="str">
        <f ca="1">'预评函-2'!D14</f>
        <v>肆仟壹佰伍拾捌万元整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21976.32</v>
      </c>
    </row>
    <row r="44" spans="1:2" s="1365" customFormat="1">
      <c r="A44" s="1363" t="s">
        <v>1240</v>
      </c>
      <c r="B44" s="1364" t="str">
        <f>'预评函-3'!C2</f>
        <v>(分摊)土地面积</v>
      </c>
    </row>
    <row r="45" spans="1:2" s="1365" customFormat="1">
      <c r="A45" s="1363" t="s">
        <v>1212</v>
      </c>
      <c r="B45" s="1364">
        <f>'预评函-3'!C4</f>
        <v>21890.49</v>
      </c>
    </row>
    <row r="46" spans="1:2" s="1365" customFormat="1">
      <c r="A46" s="1363" t="s">
        <v>1238</v>
      </c>
      <c r="B46" s="1364" t="str">
        <f>'预评函-3'!D2</f>
        <v>出让国有建设用地使用权价值</v>
      </c>
    </row>
    <row r="47" spans="1:2" s="1365" customFormat="1">
      <c r="A47" s="1363" t="s">
        <v>1213</v>
      </c>
      <c r="B47" s="1364">
        <f ca="1">'预评函-3'!D4</f>
        <v>674</v>
      </c>
    </row>
    <row r="48" spans="1:2" s="1365" customFormat="1">
      <c r="A48" s="1363" t="s">
        <v>1214</v>
      </c>
      <c r="B48" s="1364">
        <f ca="1">'预评函-3'!E4</f>
        <v>307</v>
      </c>
    </row>
    <row r="49" spans="1:2" s="1365" customFormat="1">
      <c r="A49" s="1363" t="s">
        <v>1215</v>
      </c>
      <c r="B49" s="1364" t="str">
        <f ca="1">'预评函-3'!D5</f>
        <v>陆佰柒拾肆万元整</v>
      </c>
    </row>
    <row r="50" spans="1:2" s="1365" customFormat="1">
      <c r="A50" s="1363" t="s">
        <v>1239</v>
      </c>
      <c r="B50" s="1364" t="str">
        <f>'预评函-3'!F2</f>
        <v>在建建筑物价值</v>
      </c>
    </row>
    <row r="51" spans="1:2" s="1365" customFormat="1">
      <c r="A51" s="1363" t="s">
        <v>1216</v>
      </c>
      <c r="B51" s="1364">
        <f ca="1">'预评函-3'!F4</f>
        <v>3484</v>
      </c>
    </row>
    <row r="52" spans="1:2" s="1365" customFormat="1">
      <c r="A52" s="1363" t="s">
        <v>1217</v>
      </c>
      <c r="B52" s="1364">
        <f ca="1">'预评函-3'!G4</f>
        <v>1585</v>
      </c>
    </row>
    <row r="53" spans="1:2" s="1365" customFormat="1">
      <c r="A53" s="1363" t="s">
        <v>1245</v>
      </c>
      <c r="B53" s="1364" t="str">
        <f ca="1">'预评函-3'!F5</f>
        <v>叁仟肆佰捌拾肆万元整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3039</v>
      </c>
      <c r="C17" s="1733"/>
    </row>
    <row r="18" spans="1:3">
      <c r="A18" s="1732" t="s">
        <v>1732</v>
      </c>
      <c r="B18" s="1732" t="s">
        <v>3361</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18"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8"/>
      <c r="B54" s="1740" t="s">
        <v>832</v>
      </c>
      <c r="C54" s="1737" t="s">
        <v>1248</v>
      </c>
    </row>
    <row r="55" spans="1:4">
      <c r="A55" s="3118"/>
      <c r="B55" s="1740" t="s">
        <v>833</v>
      </c>
      <c r="C55" s="1737" t="s">
        <v>1249</v>
      </c>
    </row>
    <row r="56" spans="1:4">
      <c r="A56" s="3118"/>
      <c r="B56" s="1740" t="s">
        <v>834</v>
      </c>
      <c r="C56" s="1737" t="s">
        <v>1253</v>
      </c>
    </row>
    <row r="57" spans="1:4">
      <c r="A57" s="3118"/>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31" sqref="I31"/>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5"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27" t="str">
        <f>IF(B10="北京市","北京市",C10)&amp;F10&amp;IF(结果表!G1="在建","出让国有建设用地使用权及在建建筑物",IF(结果表!G1="土地","出让国有建设用地使用权",))&amp;B9&amp;"预评估"</f>
        <v>房地产抵押价值预评估</v>
      </c>
      <c r="C1" s="3128"/>
      <c r="D1" s="3128"/>
      <c r="E1" s="3128"/>
      <c r="F1" s="3128"/>
      <c r="G1" s="3128"/>
      <c r="H1" s="3128"/>
      <c r="I1" s="3129"/>
      <c r="J1" s="2697"/>
      <c r="K1" s="2592"/>
      <c r="L1" s="2593"/>
      <c r="M1" s="2593"/>
      <c r="N1" s="2594"/>
      <c r="O1" s="1762"/>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2"/>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2916</v>
      </c>
      <c r="B3" s="2597"/>
      <c r="C3" s="2598" t="s">
        <v>2917</v>
      </c>
      <c r="D3" s="2597">
        <v>44294</v>
      </c>
      <c r="E3" s="2890"/>
      <c r="F3" s="2890"/>
      <c r="G3" s="2890"/>
      <c r="H3" s="2890"/>
      <c r="I3" s="2890"/>
      <c r="J3" s="2697"/>
      <c r="K3" s="2592"/>
      <c r="L3" s="2593"/>
      <c r="M3" s="2593"/>
      <c r="N3" s="2594"/>
      <c r="O3" s="1762"/>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2"/>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2"/>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3062</v>
      </c>
      <c r="C8" s="2614"/>
      <c r="D8" s="3130" t="s">
        <v>2923</v>
      </c>
      <c r="E8" s="2615" t="s">
        <v>3063</v>
      </c>
      <c r="F8" s="2616"/>
      <c r="G8" s="2890"/>
      <c r="H8" s="2890"/>
      <c r="I8" s="2890"/>
      <c r="J8" s="2665"/>
      <c r="K8" s="2840"/>
      <c r="L8" s="2839"/>
      <c r="M8" s="2839"/>
      <c r="N8" s="2665"/>
      <c r="O8" s="2676"/>
      <c r="P8" s="2665"/>
      <c r="Q8" s="2665"/>
      <c r="R8" s="2665"/>
    </row>
    <row r="9" spans="1:28" ht="13.5" thickBot="1">
      <c r="A9" s="2617" t="s">
        <v>2924</v>
      </c>
      <c r="B9" s="2618" t="s">
        <v>3063</v>
      </c>
      <c r="C9" s="2619"/>
      <c r="D9" s="3131"/>
      <c r="E9" s="2618"/>
      <c r="F9" s="2620"/>
      <c r="G9" s="2892"/>
      <c r="H9" s="2892"/>
      <c r="I9" s="2892"/>
      <c r="J9" s="2665"/>
      <c r="K9" s="2842"/>
      <c r="L9" s="2839"/>
      <c r="M9" s="2839"/>
      <c r="N9" s="2665"/>
      <c r="O9" s="2676"/>
      <c r="P9" s="2665"/>
      <c r="Q9" s="2665"/>
      <c r="R9" s="2665"/>
    </row>
    <row r="10" spans="1:28" ht="13.5" thickTop="1">
      <c r="A10" s="2621" t="s">
        <v>2925</v>
      </c>
      <c r="B10" s="2622" t="s">
        <v>3064</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3065</v>
      </c>
      <c r="C11" s="2627"/>
      <c r="D11" s="2628"/>
      <c r="E11" s="2594"/>
      <c r="F11" s="2594"/>
      <c r="G11" s="2594"/>
      <c r="H11" s="2594"/>
      <c r="I11" s="2594"/>
      <c r="J11" s="2665"/>
      <c r="K11" s="2842"/>
      <c r="L11" s="2839"/>
      <c r="M11" s="2839"/>
      <c r="N11" s="2665"/>
      <c r="O11" s="2676"/>
      <c r="P11" s="2665"/>
      <c r="Q11" s="2665"/>
      <c r="R11" s="2665"/>
    </row>
    <row r="12" spans="1:28">
      <c r="A12" s="2629" t="s">
        <v>2928</v>
      </c>
      <c r="B12" s="2626" t="s">
        <v>3066</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c r="F13" s="965"/>
      <c r="G13" s="965"/>
      <c r="H13" s="965"/>
      <c r="I13" s="965">
        <v>61048</v>
      </c>
      <c r="J13" s="2665"/>
      <c r="K13" s="2842"/>
      <c r="L13" s="2839"/>
      <c r="M13" s="2839"/>
      <c r="N13" s="2665"/>
      <c r="O13" s="2676"/>
      <c r="P13" s="2665"/>
      <c r="Q13" s="2665"/>
      <c r="R13" s="2665"/>
    </row>
    <row r="14" spans="1:28">
      <c r="A14" s="1241"/>
      <c r="B14" s="2631"/>
      <c r="C14" s="2632" t="s">
        <v>2937</v>
      </c>
      <c r="D14" s="2633"/>
      <c r="E14" s="2633"/>
      <c r="F14" s="2633"/>
      <c r="G14" s="2633"/>
      <c r="H14" s="2633"/>
      <c r="I14" s="2633">
        <v>50</v>
      </c>
      <c r="J14" s="2665"/>
      <c r="K14" s="2843"/>
      <c r="L14" s="2839"/>
      <c r="M14" s="2839"/>
      <c r="N14" s="2665"/>
      <c r="O14" s="2676"/>
      <c r="P14" s="2665"/>
      <c r="Q14" s="2665"/>
      <c r="R14" s="2665"/>
    </row>
    <row r="15" spans="1:28">
      <c r="A15" s="326"/>
      <c r="B15" s="2634"/>
      <c r="C15" s="2635" t="s">
        <v>2938</v>
      </c>
      <c r="D15" s="2636" t="str">
        <f>IF(B12="出让",IF(D13="","",ROUNDDOWN(MIN((D13-$D$3)/365,D14),2)),D14)</f>
        <v/>
      </c>
      <c r="E15" s="2636" t="str">
        <f>IF(B12="出让",IF(E13="","",ROUNDDOWN(MIN((E13-$D$3)/365,E14),2)),E14)</f>
        <v/>
      </c>
      <c r="F15" s="2636" t="str">
        <f>IF(B12="出让",IF(F13="","",ROUNDDOWN(MIN((F13-$D$3)/365,F14),2)),F14)</f>
        <v/>
      </c>
      <c r="G15" s="2636" t="str">
        <f>IF(B12="出让",IF(G13="","",ROUNDDOWN(MIN((G13-$D$3)/365,G14),2)),G14)</f>
        <v/>
      </c>
      <c r="H15" s="2636" t="str">
        <f>IF(B12="出让",IF(H13="","",ROUNDDOWN(MIN((H13-$D$3)/365,H14),2)),H14)</f>
        <v/>
      </c>
      <c r="I15" s="2636">
        <f>IF(B12="出让",IF(I13="","",ROUNDDOWN(MIN((I13-$D$3)/365,I14),2)),I14)</f>
        <v>45.9</v>
      </c>
      <c r="J15" s="2665"/>
      <c r="K15" s="2844"/>
      <c r="L15" s="2677"/>
      <c r="M15" s="2677"/>
      <c r="N15" s="2735"/>
      <c r="O15" s="2677"/>
      <c r="P15" s="2735"/>
      <c r="Q15" s="2665"/>
      <c r="R15" s="2665"/>
    </row>
    <row r="16" spans="1:28">
      <c r="A16" s="2624" t="s">
        <v>2939</v>
      </c>
      <c r="B16" s="3137"/>
      <c r="C16" s="3138"/>
      <c r="D16" s="3139"/>
      <c r="E16" s="2639" t="s">
        <v>2940</v>
      </c>
      <c r="F16" s="3140"/>
      <c r="G16" s="3141"/>
      <c r="H16" s="3141"/>
      <c r="I16" s="3142"/>
      <c r="J16" s="2665"/>
      <c r="K16" s="2844"/>
      <c r="L16" s="2677"/>
      <c r="M16" s="2677"/>
      <c r="N16" s="2735"/>
      <c r="O16" s="2677"/>
      <c r="P16" s="2735"/>
      <c r="Q16" s="2665"/>
      <c r="R16" s="2665"/>
    </row>
    <row r="17" spans="1:28">
      <c r="A17" s="319" t="s">
        <v>2941</v>
      </c>
      <c r="B17" s="308" t="s">
        <v>2942</v>
      </c>
      <c r="C17" s="11">
        <f>'数据-汇总表'!E3</f>
        <v>21976.32</v>
      </c>
      <c r="D17" s="2545" t="s">
        <v>2943</v>
      </c>
      <c r="E17" s="3143" t="s">
        <v>2944</v>
      </c>
      <c r="F17" s="3144"/>
      <c r="G17" s="3144"/>
      <c r="H17" s="3144"/>
      <c r="I17" s="3145"/>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21890.49</v>
      </c>
      <c r="D18" s="1252" t="s">
        <v>2947</v>
      </c>
      <c r="E18" s="3146" t="s">
        <v>2948</v>
      </c>
      <c r="F18" s="3147"/>
      <c r="G18" s="3147"/>
      <c r="H18" s="3147"/>
      <c r="I18" s="3148"/>
      <c r="J18" s="2665"/>
      <c r="K18" s="2845"/>
      <c r="L18" s="2677"/>
      <c r="M18" s="2677"/>
      <c r="N18" s="2735"/>
      <c r="O18" s="2677"/>
      <c r="P18" s="2735"/>
      <c r="Q18" s="2665"/>
      <c r="R18" s="2665"/>
      <c r="S18" s="2665"/>
      <c r="T18" s="2665"/>
      <c r="U18" s="2665"/>
      <c r="V18" s="2665"/>
    </row>
    <row r="19" spans="1:28" ht="37.5" thickTop="1" thickBot="1">
      <c r="A19" s="333" t="s">
        <v>1741</v>
      </c>
      <c r="B19" s="313" t="s">
        <v>2949</v>
      </c>
      <c r="C19" s="1749"/>
      <c r="D19" s="1750" t="s">
        <v>2950</v>
      </c>
      <c r="E19" s="1751"/>
      <c r="F19" s="1752" t="str">
        <f>IF(AND(C19="是",E19="否"),"是否提供他项权证或相关说明","")</f>
        <v/>
      </c>
      <c r="G19" s="1753"/>
      <c r="H19" s="2891"/>
      <c r="I19" s="2891"/>
      <c r="J19" s="2665"/>
      <c r="K19" s="2842"/>
      <c r="L19" s="2839"/>
      <c r="M19" s="2839"/>
      <c r="N19" s="2735"/>
      <c r="O19" s="2677"/>
      <c r="P19" s="2735"/>
      <c r="Q19" s="2665"/>
      <c r="R19" s="2665"/>
      <c r="S19" s="2665"/>
      <c r="T19" s="2665"/>
      <c r="U19" s="2665"/>
      <c r="V19" s="2665"/>
    </row>
    <row r="20" spans="1:28">
      <c r="A20" s="2859" t="s">
        <v>2951</v>
      </c>
      <c r="B20" s="3133" t="s">
        <v>2952</v>
      </c>
      <c r="C20" s="3134"/>
      <c r="D20" s="3135" t="s">
        <v>2953</v>
      </c>
      <c r="E20" s="3136"/>
      <c r="F20" s="2874" t="s">
        <v>1742</v>
      </c>
      <c r="G20" s="2891"/>
      <c r="H20" s="2891"/>
      <c r="I20" s="2891"/>
      <c r="J20" s="2665"/>
      <c r="K20" s="3132"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4" t="s">
        <v>2956</v>
      </c>
      <c r="E21" s="2862" t="s">
        <v>1743</v>
      </c>
      <c r="F21" s="2875"/>
      <c r="G21" s="2891"/>
      <c r="H21" s="2891"/>
      <c r="I21" s="2891"/>
      <c r="J21" s="2665"/>
      <c r="K21" s="313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3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20" t="s">
        <v>2960</v>
      </c>
      <c r="B27" s="326" t="s">
        <v>2961</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20"/>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20"/>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21"/>
      <c r="B30" s="308" t="s">
        <v>2964</v>
      </c>
      <c r="C30" s="3122"/>
      <c r="D30" s="3123"/>
      <c r="E30" s="2891"/>
      <c r="F30" s="2891"/>
      <c r="G30" s="2891"/>
      <c r="H30" s="2891"/>
      <c r="I30" s="2891"/>
      <c r="J30" s="2665"/>
      <c r="K30" s="2842"/>
      <c r="L30" s="2839"/>
      <c r="M30" s="2839"/>
      <c r="N30" s="2665"/>
      <c r="O30" s="2676"/>
      <c r="P30" s="2665"/>
      <c r="Q30" s="2665"/>
      <c r="R30" s="2665"/>
      <c r="S30" s="2665"/>
      <c r="T30" s="2665"/>
      <c r="U30" s="2665"/>
      <c r="V30" s="2665"/>
    </row>
    <row r="31" spans="1:28">
      <c r="A31" s="3124" t="s">
        <v>2965</v>
      </c>
      <c r="B31" s="2648"/>
      <c r="C31" s="2546" t="str">
        <f>IF(B31="现房","成新及维护状况正常否",IF(B31="在建","工程状态是否正常",IF(B31="土地","是否闲置","-")))</f>
        <v>-</v>
      </c>
      <c r="D31" s="1558"/>
      <c r="E31" s="2649"/>
      <c r="F31" s="2891"/>
      <c r="G31" s="2891"/>
      <c r="H31" s="2891"/>
      <c r="I31" s="2891"/>
      <c r="J31" s="2665"/>
      <c r="K31" s="2841"/>
      <c r="L31" s="2839"/>
      <c r="M31" s="2839"/>
      <c r="N31" s="2665"/>
      <c r="O31" s="2676"/>
      <c r="P31" s="2665"/>
      <c r="Q31" s="2665"/>
      <c r="R31" s="2665"/>
      <c r="S31" s="2665"/>
      <c r="T31" s="2665"/>
      <c r="U31" s="2665"/>
      <c r="V31" s="2665"/>
    </row>
    <row r="32" spans="1:28">
      <c r="A32" s="3125"/>
      <c r="B32" s="2648"/>
      <c r="C32" s="2546" t="str">
        <f>IF(B32="现房","成新及维护状况是否正常",IF(B32="在建","工程状态是否正常",IF(B32="土地","是否闲置","-")))</f>
        <v>-</v>
      </c>
      <c r="D32" s="1558"/>
      <c r="E32" s="2649"/>
      <c r="F32" s="2891"/>
      <c r="G32" s="2891"/>
      <c r="H32" s="2891"/>
      <c r="I32" s="2891"/>
      <c r="J32" s="2665"/>
      <c r="K32" s="2842"/>
      <c r="L32" s="2839"/>
      <c r="M32" s="2839"/>
      <c r="N32" s="2665"/>
      <c r="O32" s="2676"/>
      <c r="P32" s="2665"/>
      <c r="Q32" s="2665"/>
      <c r="R32" s="2665"/>
      <c r="S32" s="2665"/>
      <c r="T32" s="2665"/>
      <c r="U32" s="2665"/>
      <c r="V32" s="2665"/>
    </row>
    <row r="33" spans="1:30">
      <c r="A33" s="3125"/>
      <c r="B33" s="2651"/>
      <c r="C33" s="1776" t="str">
        <f>IF(B33="现房","成新及维护状况是否正常",IF(B33="在建","工程状态是否正常",IF(B33="土地","是否闲置","-")))</f>
        <v>-</v>
      </c>
      <c r="D33" s="1550"/>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c r="C34" s="2214"/>
      <c r="D34" s="2214"/>
      <c r="E34" s="2214"/>
      <c r="F34" s="2214"/>
      <c r="G34" s="2214"/>
      <c r="H34" s="2214"/>
      <c r="I34" s="2891"/>
      <c r="J34" s="2665"/>
      <c r="K34" s="2653">
        <f>COUNTIF(B34:H34,"——")</f>
        <v>0</v>
      </c>
      <c r="L34" s="329" t="s">
        <v>2967</v>
      </c>
      <c r="M34" s="329" t="s">
        <v>2968</v>
      </c>
      <c r="N34" s="329" t="s">
        <v>2969</v>
      </c>
      <c r="O34" s="329" t="s">
        <v>2970</v>
      </c>
      <c r="P34" s="329" t="s">
        <v>2971</v>
      </c>
      <c r="Q34" s="329" t="s">
        <v>2972</v>
      </c>
      <c r="R34" s="329" t="s">
        <v>2973</v>
      </c>
      <c r="S34" s="3119" t="s">
        <v>2974</v>
      </c>
      <c r="T34" s="2654" t="str">
        <f>NUMBERSTRING(7-K34,1)&amp;"通"</f>
        <v>七通</v>
      </c>
      <c r="U34" s="2665"/>
      <c r="V34" s="2665"/>
    </row>
    <row r="35" spans="1:30">
      <c r="A35" s="2655"/>
      <c r="B35" s="3126" t="s">
        <v>2975</v>
      </c>
      <c r="C35" s="3126"/>
      <c r="D35" s="3126"/>
      <c r="E35" s="3126"/>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9"/>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4"/>
      <c r="J40" s="2735"/>
      <c r="K40" s="2841"/>
      <c r="L40" s="2677"/>
      <c r="M40" s="2677"/>
      <c r="N40" s="2735"/>
      <c r="O40" s="2677"/>
      <c r="P40" s="2665"/>
      <c r="Q40" s="2665"/>
      <c r="R40" s="2665"/>
      <c r="S40" s="2665"/>
      <c r="T40" s="2665"/>
      <c r="U40" s="2665"/>
      <c r="V40" s="2665"/>
    </row>
    <row r="41" spans="1:30">
      <c r="A41" s="2662" t="s">
        <v>2979</v>
      </c>
      <c r="B41" s="1943"/>
      <c r="C41" s="1558"/>
      <c r="D41" s="2594"/>
      <c r="E41" s="2594"/>
      <c r="F41" s="2594"/>
      <c r="G41" s="2594"/>
      <c r="H41" s="2594"/>
      <c r="I41" s="1762"/>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6"/>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6"/>
      <c r="B44" s="1756"/>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6"/>
      <c r="B45" s="1756"/>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6"/>
      <c r="B46" s="1756"/>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6"/>
      <c r="B47" s="1756"/>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6"/>
      <c r="B48" s="1756"/>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6"/>
      <c r="B49" s="1756"/>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6"/>
      <c r="B50" s="1756"/>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6"/>
      <c r="B51" s="1756"/>
      <c r="C51" s="1182"/>
      <c r="D51" s="1182"/>
      <c r="E51" s="1182"/>
      <c r="F51" s="1182"/>
      <c r="G51" s="1182"/>
      <c r="H51" s="1182"/>
      <c r="I51" s="1182"/>
      <c r="J51" s="2663"/>
      <c r="K51" s="2664"/>
      <c r="L51" s="2664"/>
      <c r="M51" s="1182"/>
      <c r="N51" s="1182"/>
      <c r="O51" s="1182"/>
      <c r="P51" s="1182"/>
      <c r="Q51" s="1182"/>
      <c r="R51" s="1182"/>
    </row>
    <row r="52" spans="1:22" s="1929" customFormat="1">
      <c r="A52" s="1756"/>
      <c r="B52" s="1756"/>
      <c r="C52" s="1756"/>
      <c r="D52" s="1756"/>
      <c r="E52" s="1756"/>
      <c r="F52" s="1182"/>
      <c r="G52" s="1756"/>
      <c r="H52" s="1756"/>
      <c r="I52" s="1756"/>
      <c r="J52" s="2666"/>
      <c r="K52" s="2664"/>
      <c r="L52" s="2664"/>
      <c r="M52" s="2664"/>
      <c r="N52" s="1756"/>
      <c r="O52" s="1756"/>
      <c r="P52" s="1756"/>
      <c r="Q52" s="1756"/>
      <c r="R52" s="1756"/>
    </row>
    <row r="53" spans="1:22" s="1929" customFormat="1">
      <c r="A53" s="1756"/>
      <c r="B53" s="1756"/>
      <c r="C53" s="1756"/>
      <c r="D53" s="1756"/>
      <c r="E53" s="1756"/>
      <c r="F53" s="1182"/>
      <c r="G53" s="1756"/>
      <c r="H53" s="1756"/>
      <c r="I53" s="1756"/>
      <c r="J53" s="2666"/>
      <c r="K53" s="2664"/>
      <c r="L53" s="2664"/>
      <c r="M53" s="2664"/>
      <c r="N53" s="1756"/>
      <c r="O53" s="1756"/>
      <c r="P53" s="1756"/>
      <c r="Q53" s="1756"/>
      <c r="R53" s="1756"/>
    </row>
    <row r="54" spans="1:22" s="1929" customFormat="1">
      <c r="A54" s="1756"/>
      <c r="B54" s="1756"/>
      <c r="C54" s="1756"/>
      <c r="D54" s="1756"/>
      <c r="E54" s="1756"/>
      <c r="F54" s="1182"/>
      <c r="G54" s="1756"/>
      <c r="H54" s="1756"/>
      <c r="I54" s="1756"/>
      <c r="J54" s="2666"/>
      <c r="K54" s="2664"/>
      <c r="L54" s="2664"/>
      <c r="M54" s="2664"/>
      <c r="N54" s="1756"/>
      <c r="O54" s="1756"/>
      <c r="P54" s="1756"/>
      <c r="Q54" s="1756"/>
      <c r="R54" s="1756"/>
    </row>
    <row r="55" spans="1:22" s="1929" customFormat="1">
      <c r="A55" s="1756"/>
      <c r="B55" s="1756"/>
      <c r="C55" s="1756"/>
      <c r="D55" s="1756"/>
      <c r="E55" s="1756"/>
      <c r="F55" s="1182"/>
      <c r="G55" s="1756"/>
      <c r="H55" s="1756"/>
      <c r="I55" s="1756"/>
      <c r="J55" s="2666"/>
      <c r="K55" s="2664"/>
      <c r="L55" s="2664"/>
      <c r="M55" s="2664"/>
      <c r="N55" s="1756"/>
      <c r="O55" s="1756"/>
      <c r="P55" s="1756"/>
      <c r="Q55" s="1756"/>
      <c r="R55" s="1756"/>
    </row>
    <row r="56" spans="1:22" s="1929" customFormat="1">
      <c r="A56" s="1756"/>
      <c r="B56" s="1756"/>
      <c r="C56" s="1756"/>
      <c r="D56" s="1756"/>
      <c r="E56" s="1756"/>
      <c r="F56" s="1182"/>
      <c r="G56" s="1756"/>
      <c r="H56" s="1756"/>
      <c r="I56" s="1756"/>
      <c r="J56" s="2666"/>
      <c r="K56" s="2664"/>
      <c r="L56" s="2664"/>
      <c r="M56" s="2664"/>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21890.49</v>
      </c>
      <c r="B3" s="14">
        <f>IF(C3="否",G5-AT5,G5)</f>
        <v>21976.32</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21976.32</v>
      </c>
      <c r="H5" s="16">
        <f t="shared" ref="H5:AT5" si="0">SUM(H13:H656)</f>
        <v>21976.32</v>
      </c>
      <c r="I5" s="16">
        <f t="shared" si="0"/>
        <v>21257.94</v>
      </c>
      <c r="J5" s="16">
        <f t="shared" si="0"/>
        <v>0</v>
      </c>
      <c r="K5" s="16">
        <f t="shared" si="0"/>
        <v>546.71</v>
      </c>
      <c r="L5" s="16">
        <f t="shared" si="0"/>
        <v>0</v>
      </c>
      <c r="M5" s="16">
        <f t="shared" si="0"/>
        <v>85.84</v>
      </c>
      <c r="N5" s="16">
        <f t="shared" si="0"/>
        <v>0</v>
      </c>
      <c r="O5" s="16">
        <f t="shared" si="0"/>
        <v>85.829999999999984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21976.32</v>
      </c>
      <c r="BA5" s="18">
        <f t="shared" si="1"/>
        <v>21976.32</v>
      </c>
      <c r="BB5" s="18">
        <f t="shared" si="1"/>
        <v>21257.94</v>
      </c>
      <c r="BC5" s="18">
        <f t="shared" si="1"/>
        <v>546.71</v>
      </c>
      <c r="BD5" s="18">
        <f t="shared" si="1"/>
        <v>85.84</v>
      </c>
      <c r="BE5" s="18">
        <f t="shared" si="1"/>
        <v>85.829999999999984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21890.48</v>
      </c>
      <c r="F6" s="16" t="s">
        <v>1</v>
      </c>
      <c r="G6" s="16" t="s">
        <v>2</v>
      </c>
      <c r="H6" s="20">
        <f>SUMIF(I$12:AB$12,"总值",I6:AB6)</f>
        <v>21890.48</v>
      </c>
      <c r="I6" s="16">
        <f t="shared" ref="I6:AB6" si="2">ROUND($A$3*I5/$B$3,2)</f>
        <v>21174.92</v>
      </c>
      <c r="J6" s="16">
        <f t="shared" si="2"/>
        <v>0</v>
      </c>
      <c r="K6" s="16">
        <f t="shared" si="2"/>
        <v>544.57000000000005</v>
      </c>
      <c r="L6" s="16">
        <f t="shared" si="2"/>
        <v>0</v>
      </c>
      <c r="M6" s="16">
        <f t="shared" si="2"/>
        <v>85.5</v>
      </c>
      <c r="N6" s="16">
        <f t="shared" si="2"/>
        <v>0</v>
      </c>
      <c r="O6" s="16">
        <f t="shared" si="2"/>
        <v>85.49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21890.49</v>
      </c>
      <c r="AZ6" s="16" t="s">
        <v>3</v>
      </c>
      <c r="BA6" s="16">
        <f>ROUND($AY$6*BA5/$AZ$5,2)</f>
        <v>21890.49</v>
      </c>
      <c r="BB6" s="16">
        <f>ROUND($AY$6*BB5/$AZ$5,2)</f>
        <v>21174.92</v>
      </c>
      <c r="BC6" s="16">
        <f t="shared" ref="BC6:BH6" si="4">ROUND($AY$6*BC5/$AZ$5,2)</f>
        <v>544.57000000000005</v>
      </c>
      <c r="BD6" s="16">
        <f t="shared" si="4"/>
        <v>85.5</v>
      </c>
      <c r="BE6" s="16">
        <f t="shared" si="4"/>
        <v>85.49</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3067</v>
      </c>
      <c r="J9" s="918"/>
      <c r="K9" s="1789" t="s">
        <v>3067</v>
      </c>
      <c r="L9" s="918"/>
      <c r="M9" s="1789" t="s">
        <v>3067</v>
      </c>
      <c r="N9" s="918"/>
      <c r="O9" s="1789" t="s">
        <v>3069</v>
      </c>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6</v>
      </c>
      <c r="J10" s="918"/>
      <c r="K10" s="1795" t="s">
        <v>6</v>
      </c>
      <c r="L10" s="918"/>
      <c r="M10" s="1795" t="s">
        <v>6</v>
      </c>
      <c r="N10" s="918"/>
      <c r="O10" s="1795" t="s">
        <v>6</v>
      </c>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t="str">
        <f>K9</f>
        <v>地上</v>
      </c>
      <c r="BD10" s="29" t="str">
        <f>M9</f>
        <v>地上</v>
      </c>
      <c r="BE10" s="29" t="str">
        <f>O9</f>
        <v>地下</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工业</v>
      </c>
      <c r="BC11" s="1785" t="str">
        <f>K10</f>
        <v>工业</v>
      </c>
      <c r="BD11" s="1785" t="str">
        <f>M10</f>
        <v>工业</v>
      </c>
      <c r="BE11" s="1785" t="str">
        <f>O10</f>
        <v>工业</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3068</v>
      </c>
      <c r="E13" s="16">
        <f>IF($C$3="是",ROUND($A$3*G13/$B$3,2),ROUND($A$3*(G13-AT13)/$B$3,2))</f>
        <v>21890.49</v>
      </c>
      <c r="F13" s="32"/>
      <c r="G13" s="33">
        <f>H13+AC13+AT13</f>
        <v>21976.32</v>
      </c>
      <c r="H13" s="20">
        <f>SUMIF(I$12:AB$12,"总值",I13:AB13)</f>
        <v>21976.32</v>
      </c>
      <c r="I13" s="1812">
        <f>Sheet1!G4</f>
        <v>21257.94</v>
      </c>
      <c r="J13" s="1812"/>
      <c r="K13" s="1812">
        <f>Sheet1!G2</f>
        <v>546.71</v>
      </c>
      <c r="L13" s="1812"/>
      <c r="M13" s="1812">
        <f>ROUND(Sheet1!G3/2,2)</f>
        <v>85.84</v>
      </c>
      <c r="N13" s="1812"/>
      <c r="O13" s="1812">
        <f>Sheet1!G3-'数据-基础表'!M13</f>
        <v>85.829999999999984</v>
      </c>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21890.49</v>
      </c>
      <c r="AZ13" s="16">
        <f>BA13+BL13</f>
        <v>21976.32</v>
      </c>
      <c r="BA13" s="16">
        <f>SUM(BB13:BK13)</f>
        <v>21976.32</v>
      </c>
      <c r="BB13" s="16">
        <f>IF($D13="是",I13-J13,0)</f>
        <v>21257.94</v>
      </c>
      <c r="BC13" s="16">
        <f>IF($D13="是",K13-L13,0)</f>
        <v>546.71</v>
      </c>
      <c r="BD13" s="16">
        <f>IF($D13="是",M13-N13,0)</f>
        <v>85.84</v>
      </c>
      <c r="BE13" s="16">
        <f>IF($D13="是",O13-P13,0)</f>
        <v>85.829999999999984</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9" t="s">
        <v>0</v>
      </c>
      <c r="B1" s="3149" t="s">
        <v>4</v>
      </c>
      <c r="C1" s="3149" t="s">
        <v>5</v>
      </c>
      <c r="D1" s="3150" t="s">
        <v>53</v>
      </c>
      <c r="E1" s="3150" t="s">
        <v>54</v>
      </c>
      <c r="F1" s="3150"/>
      <c r="G1" s="3150"/>
      <c r="H1" s="3150"/>
      <c r="I1" s="3150"/>
      <c r="J1" s="3150"/>
      <c r="K1" s="3150"/>
      <c r="L1" s="3150"/>
      <c r="M1" s="3150"/>
    </row>
    <row r="2" spans="1:13" ht="27" customHeight="1">
      <c r="A2" s="3149"/>
      <c r="B2" s="3149"/>
      <c r="C2" s="3149"/>
      <c r="D2" s="3150"/>
      <c r="E2" s="3150" t="s">
        <v>37</v>
      </c>
      <c r="F2" s="3150" t="s">
        <v>38</v>
      </c>
      <c r="G2" s="3150"/>
      <c r="H2" s="3150"/>
      <c r="I2" s="3150"/>
      <c r="J2" s="3150" t="s">
        <v>39</v>
      </c>
      <c r="K2" s="3150"/>
      <c r="L2" s="3150"/>
      <c r="M2" s="3150"/>
    </row>
    <row r="3" spans="1:13" ht="28.5">
      <c r="A3" s="3149"/>
      <c r="B3" s="3149"/>
      <c r="C3" s="3149"/>
      <c r="D3" s="3150"/>
      <c r="E3" s="31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0" t="s">
        <v>55</v>
      </c>
      <c r="B9" s="3150"/>
      <c r="C9" s="31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G15" sqref="G15"/>
    </sheetView>
  </sheetViews>
  <sheetFormatPr defaultRowHeight="14.25"/>
  <cols>
    <col min="1" max="1" width="3.75" style="3072" customWidth="1"/>
    <col min="2" max="2" width="30" style="3072" customWidth="1"/>
    <col min="3" max="3" width="24.375" style="3072" customWidth="1"/>
    <col min="4" max="4" width="24.25" style="3072" customWidth="1"/>
    <col min="5" max="5" width="11.375" style="3072" customWidth="1"/>
    <col min="6" max="6" width="10.875" style="3072" customWidth="1"/>
    <col min="7" max="8" width="9" style="3072"/>
    <col min="9" max="10" width="7.75" style="3072" customWidth="1"/>
    <col min="11" max="11" width="15.5" style="3072" customWidth="1"/>
    <col min="12" max="16384" width="9" style="3072"/>
  </cols>
  <sheetData>
    <row r="1" spans="1:11">
      <c r="A1" s="3072" t="s">
        <v>3331</v>
      </c>
      <c r="B1" s="3072" t="s">
        <v>3330</v>
      </c>
      <c r="C1" s="3072" t="s">
        <v>3332</v>
      </c>
      <c r="D1" s="3072" t="s">
        <v>3334</v>
      </c>
      <c r="E1" s="3072" t="s">
        <v>3338</v>
      </c>
      <c r="F1" s="3072" t="s">
        <v>3340</v>
      </c>
      <c r="G1" s="3072" t="s">
        <v>3341</v>
      </c>
      <c r="H1" s="3072" t="s">
        <v>3342</v>
      </c>
      <c r="I1" s="3072" t="s">
        <v>3344</v>
      </c>
      <c r="J1" s="3072" t="s">
        <v>3346</v>
      </c>
      <c r="K1" s="3072" t="s">
        <v>3345</v>
      </c>
    </row>
    <row r="2" spans="1:11">
      <c r="A2" s="3072">
        <v>1</v>
      </c>
      <c r="B2" s="3072" t="s">
        <v>3327</v>
      </c>
      <c r="C2" s="3072" t="s">
        <v>3333</v>
      </c>
      <c r="D2" s="3072" t="s">
        <v>3337</v>
      </c>
      <c r="E2" s="3072" t="s">
        <v>3339</v>
      </c>
      <c r="F2" s="3072">
        <v>103722.29</v>
      </c>
      <c r="G2" s="3072">
        <v>546.71</v>
      </c>
      <c r="H2" s="3072" t="s">
        <v>3343</v>
      </c>
      <c r="I2" s="3072">
        <v>2018</v>
      </c>
      <c r="J2" s="3072" t="s">
        <v>3347</v>
      </c>
      <c r="K2" s="3073">
        <v>61048</v>
      </c>
    </row>
    <row r="3" spans="1:11">
      <c r="A3" s="3072">
        <v>2</v>
      </c>
      <c r="B3" s="3072" t="s">
        <v>3328</v>
      </c>
      <c r="C3" s="3072" t="s">
        <v>3333</v>
      </c>
      <c r="D3" s="3072" t="s">
        <v>3335</v>
      </c>
      <c r="E3" s="3072" t="s">
        <v>3348</v>
      </c>
      <c r="F3" s="3072">
        <v>103722.29</v>
      </c>
      <c r="G3" s="3072">
        <v>171.67</v>
      </c>
      <c r="H3" s="3072" t="s">
        <v>3349</v>
      </c>
      <c r="I3" s="3072">
        <v>2018</v>
      </c>
      <c r="J3" s="3074" t="s">
        <v>3350</v>
      </c>
      <c r="K3" s="3073">
        <v>61048</v>
      </c>
    </row>
    <row r="4" spans="1:11">
      <c r="A4" s="3072">
        <v>3</v>
      </c>
      <c r="B4" s="3072" t="s">
        <v>3329</v>
      </c>
      <c r="C4" s="3072" t="s">
        <v>3333</v>
      </c>
      <c r="D4" s="3072" t="s">
        <v>3336</v>
      </c>
      <c r="E4" s="3072" t="s">
        <v>3351</v>
      </c>
      <c r="F4" s="3072">
        <v>103722.29</v>
      </c>
      <c r="G4" s="3072">
        <v>21257.94</v>
      </c>
      <c r="H4" s="3072" t="s">
        <v>3343</v>
      </c>
      <c r="I4" s="3072">
        <v>2018</v>
      </c>
      <c r="J4" s="3072" t="s">
        <v>3352</v>
      </c>
      <c r="K4" s="3073">
        <v>61048</v>
      </c>
    </row>
    <row r="5" spans="1:11">
      <c r="G5" s="3072">
        <f>SUM(G2:G4)</f>
        <v>21976.32</v>
      </c>
    </row>
    <row r="7" spans="1:11">
      <c r="F7" s="3072" t="s">
        <v>3353</v>
      </c>
    </row>
    <row r="8" spans="1:11">
      <c r="E8" s="3072" t="s">
        <v>3354</v>
      </c>
      <c r="F8" s="3072">
        <f>ROUND(1-(1-2%)*(2021-I2)/80,2)</f>
        <v>0.96</v>
      </c>
    </row>
    <row r="9" spans="1:11">
      <c r="E9" s="3072" t="s">
        <v>3355</v>
      </c>
      <c r="F9" s="3072">
        <f>ROUND(1-(2021-I3)/60,2)</f>
        <v>0.95</v>
      </c>
    </row>
    <row r="10" spans="1:11">
      <c r="E10" s="3072" t="s">
        <v>3356</v>
      </c>
      <c r="F10" s="3075">
        <f>ROUND(1-(1-2%)*(2021-I2)/50,2)</f>
        <v>0.94</v>
      </c>
      <c r="G10" s="3072" t="s">
        <v>3357</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zoomScaleSheetLayoutView="70" workbookViewId="0">
      <selection activeCell="E46" sqref="E46"/>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6"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60" t="s">
        <v>1817</v>
      </c>
      <c r="B2" s="3160"/>
      <c r="C2" s="3160"/>
      <c r="D2" s="904" t="s">
        <v>1793</v>
      </c>
      <c r="E2" s="1825" t="s">
        <v>1794</v>
      </c>
      <c r="F2" s="2886"/>
      <c r="G2" s="2877"/>
      <c r="H2" s="2878"/>
      <c r="I2" s="2548" t="s">
        <v>1818</v>
      </c>
      <c r="J2" s="2886"/>
      <c r="K2" s="2886"/>
      <c r="L2" s="2886"/>
      <c r="M2" s="2886"/>
      <c r="N2" s="2888"/>
      <c r="O2" s="2886"/>
      <c r="P2" s="2886"/>
    </row>
    <row r="3" spans="1:16" ht="15.75" thickBot="1">
      <c r="A3" s="3161" t="s">
        <v>1791</v>
      </c>
      <c r="B3" s="3161"/>
      <c r="C3" s="3161"/>
      <c r="D3" s="46">
        <f>'数据-基础表'!AY6</f>
        <v>21890.49</v>
      </c>
      <c r="E3" s="46">
        <f>'数据-基础表'!AZ5</f>
        <v>21976.32</v>
      </c>
      <c r="F3" s="2886"/>
      <c r="G3" s="1307"/>
      <c r="H3" s="1157" t="s">
        <v>1792</v>
      </c>
      <c r="I3" s="964">
        <f>ROUND('数据-基础表'!B3/'数据-基础表'!A3,2)</f>
        <v>1</v>
      </c>
      <c r="J3" s="2886"/>
      <c r="K3" s="2886"/>
      <c r="L3" s="2886"/>
      <c r="M3" s="2886"/>
      <c r="N3" s="2888"/>
      <c r="O3" s="2886"/>
      <c r="P3" s="2886"/>
    </row>
    <row r="4" spans="1:16" ht="15">
      <c r="A4" s="3162"/>
      <c r="B4" s="3163"/>
      <c r="C4" s="3164"/>
      <c r="D4" s="1827" t="s">
        <v>1793</v>
      </c>
      <c r="E4" s="1828" t="s">
        <v>1794</v>
      </c>
      <c r="F4" s="2886"/>
      <c r="G4" s="2879" t="s">
        <v>1819</v>
      </c>
      <c r="H4" s="1157" t="s">
        <v>1799</v>
      </c>
      <c r="I4" s="964">
        <f>ROUND(SUMIF('数据-基础表'!I9:AS9,"地上",'数据-基础表'!I5:AS5)/'数据-基础表'!A3,2)</f>
        <v>1</v>
      </c>
      <c r="J4" s="2886"/>
      <c r="K4" s="2886"/>
      <c r="L4" s="2886"/>
      <c r="M4" s="2886"/>
      <c r="N4" s="2888"/>
      <c r="O4" s="2886"/>
      <c r="P4" s="2886"/>
    </row>
    <row r="5" spans="1:16">
      <c r="A5" s="47" t="s">
        <v>1795</v>
      </c>
      <c r="B5" s="3165" t="s">
        <v>1796</v>
      </c>
      <c r="C5" s="3165"/>
      <c r="D5" s="48">
        <f>ROUND($D$3*E5/$E$3,2)</f>
        <v>0</v>
      </c>
      <c r="E5" s="49">
        <f>SUMIF('数据-基础表'!$11:$11,"住宅",'数据-基础表'!$5:$5)</f>
        <v>0</v>
      </c>
      <c r="F5" s="2886"/>
      <c r="G5" s="1307"/>
      <c r="H5" s="1157" t="s">
        <v>1792</v>
      </c>
      <c r="I5" s="964">
        <f>ROUND(E31/D31,2)</f>
        <v>1</v>
      </c>
      <c r="J5" s="2886"/>
      <c r="K5" s="2886"/>
      <c r="L5" s="2886"/>
      <c r="M5" s="2886"/>
      <c r="N5" s="2886"/>
      <c r="O5" s="2886"/>
      <c r="P5" s="2886"/>
    </row>
    <row r="6" spans="1:16" ht="15" thickBot="1">
      <c r="A6" s="1830"/>
      <c r="B6" s="3165" t="s">
        <v>1797</v>
      </c>
      <c r="C6" s="3165"/>
      <c r="D6" s="48">
        <f>ROUND($D$3*E6/$E$3,2)</f>
        <v>21890.49</v>
      </c>
      <c r="E6" s="49">
        <f>E3-E5</f>
        <v>21976.32</v>
      </c>
      <c r="F6" s="2886"/>
      <c r="G6" s="2880" t="s">
        <v>1798</v>
      </c>
      <c r="H6" s="1308" t="s">
        <v>1799</v>
      </c>
      <c r="I6" s="2881">
        <f>ROUND(F31/D31,2)</f>
        <v>1</v>
      </c>
      <c r="J6" s="2886"/>
      <c r="K6" s="2886"/>
      <c r="L6" s="2886"/>
      <c r="M6" s="2886"/>
      <c r="N6" s="2886"/>
      <c r="O6" s="2886"/>
      <c r="P6" s="2886"/>
    </row>
    <row r="7" spans="1:16" ht="15.75" thickBot="1">
      <c r="A7" s="3157"/>
      <c r="B7" s="3158"/>
      <c r="C7" s="3159"/>
      <c r="D7" s="1827" t="s">
        <v>1793</v>
      </c>
      <c r="E7" s="1831"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21805</v>
      </c>
      <c r="E8" s="51">
        <f>SUMIF('数据-基础表'!BB10:BK10,"地上",'数据-基础表'!BB5:BK5)</f>
        <v>21890.489999999998</v>
      </c>
      <c r="F8" s="2886"/>
      <c r="G8" s="2887"/>
      <c r="H8" s="2887"/>
      <c r="I8" s="2886"/>
      <c r="J8" s="2886"/>
      <c r="K8" s="2886"/>
      <c r="L8" s="2886"/>
      <c r="M8" s="2886"/>
      <c r="N8" s="2886"/>
      <c r="O8" s="2886"/>
      <c r="P8" s="2886"/>
    </row>
    <row r="9" spans="1:16">
      <c r="A9" s="1832"/>
      <c r="B9" s="1833"/>
      <c r="C9" s="48" t="s">
        <v>1805</v>
      </c>
      <c r="D9" s="48">
        <f t="shared" si="0"/>
        <v>0</v>
      </c>
      <c r="E9" s="52">
        <v>0</v>
      </c>
      <c r="F9" s="2886"/>
      <c r="G9" s="2887"/>
      <c r="H9" s="2887"/>
      <c r="I9" s="2886"/>
      <c r="J9" s="2886"/>
      <c r="K9" s="2886"/>
      <c r="L9" s="2886"/>
      <c r="M9" s="2886"/>
      <c r="N9" s="2886"/>
      <c r="O9" s="2886"/>
      <c r="P9" s="2886"/>
    </row>
    <row r="10" spans="1:16">
      <c r="A10" s="1832"/>
      <c r="B10" s="1833"/>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2"/>
      <c r="B11" s="1833"/>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2"/>
      <c r="B12" s="1833"/>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2"/>
      <c r="B13" s="1833"/>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2"/>
      <c r="B14" s="1833"/>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2"/>
      <c r="B15" s="1833"/>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0"/>
      <c r="B16" s="1833"/>
      <c r="C16" s="50" t="s">
        <v>1809</v>
      </c>
      <c r="D16" s="50">
        <f>SUM(D8:D15)</f>
        <v>21805</v>
      </c>
      <c r="E16" s="53">
        <f>SUM(E8:E15)</f>
        <v>21890.489999999998</v>
      </c>
      <c r="F16" s="2886"/>
      <c r="G16" s="2887"/>
      <c r="H16" s="1834" t="s">
        <v>1821</v>
      </c>
      <c r="I16" s="1835"/>
      <c r="J16" s="1301"/>
      <c r="K16" s="3154" t="s">
        <v>1821</v>
      </c>
      <c r="L16" s="3155"/>
      <c r="M16" s="3155"/>
      <c r="N16" s="3155"/>
      <c r="O16" s="3155"/>
      <c r="P16" s="3156"/>
    </row>
    <row r="17" spans="1:19" ht="15">
      <c r="A17" s="1836" t="s">
        <v>1822</v>
      </c>
      <c r="B17" s="1837" t="s">
        <v>1823</v>
      </c>
      <c r="C17" s="1838" t="s">
        <v>1824</v>
      </c>
      <c r="D17" s="1839" t="s">
        <v>1812</v>
      </c>
      <c r="E17" s="1840" t="s">
        <v>1813</v>
      </c>
      <c r="F17" s="1841"/>
      <c r="G17" s="1842"/>
      <c r="H17" s="1843" t="s">
        <v>1825</v>
      </c>
      <c r="I17" s="1844" t="s">
        <v>1810</v>
      </c>
      <c r="J17" s="1301"/>
      <c r="K17" s="3151" t="s">
        <v>1826</v>
      </c>
      <c r="L17" s="3152"/>
      <c r="M17" s="3153"/>
      <c r="N17" s="3151" t="s">
        <v>1827</v>
      </c>
      <c r="O17" s="3152"/>
      <c r="P17" s="3153"/>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3" t="s">
        <v>3358</v>
      </c>
      <c r="D19" s="48">
        <f>ROUND($D$3*E19/$E$3,2)</f>
        <v>21174.92</v>
      </c>
      <c r="E19" s="56">
        <f t="shared" ref="E19:E26" si="1">SUM(F19:G19)</f>
        <v>21257.94</v>
      </c>
      <c r="F19" s="3026">
        <f>'数据-基础表'!I13</f>
        <v>21257.94</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21174.92</v>
      </c>
      <c r="S19" s="1158">
        <f t="shared" si="5"/>
        <v>21257.94</v>
      </c>
    </row>
    <row r="20" spans="1:19">
      <c r="A20" s="1856"/>
      <c r="B20" s="50" t="s">
        <v>1839</v>
      </c>
      <c r="C20" s="3053" t="s">
        <v>3070</v>
      </c>
      <c r="D20" s="48">
        <f t="shared" ref="D20:D26" si="6">ROUND($D$3*E20/$E$3,2)</f>
        <v>171</v>
      </c>
      <c r="E20" s="56">
        <f t="shared" si="1"/>
        <v>171.67</v>
      </c>
      <c r="F20" s="3026">
        <f>'数据-基础表'!M13</f>
        <v>85.84</v>
      </c>
      <c r="G20" s="3027">
        <f>'数据-基础表'!O13</f>
        <v>85.829999999999984</v>
      </c>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171</v>
      </c>
      <c r="S20" s="1158">
        <f t="shared" si="5"/>
        <v>171.67</v>
      </c>
    </row>
    <row r="21" spans="1:19">
      <c r="A21" s="1856"/>
      <c r="B21" s="50" t="s">
        <v>1839</v>
      </c>
      <c r="C21" s="3053" t="s">
        <v>3359</v>
      </c>
      <c r="D21" s="48">
        <f t="shared" si="6"/>
        <v>544.57000000000005</v>
      </c>
      <c r="E21" s="56">
        <f t="shared" si="1"/>
        <v>546.71</v>
      </c>
      <c r="F21" s="3026">
        <f>'数据-基础表'!K13</f>
        <v>546.71</v>
      </c>
      <c r="G21" s="3027"/>
      <c r="H21" s="679">
        <f t="shared" si="7"/>
        <v>0</v>
      </c>
      <c r="I21" s="51">
        <f t="shared" si="2"/>
        <v>0</v>
      </c>
      <c r="J21" s="1301"/>
      <c r="K21" s="1300">
        <f t="shared" si="3"/>
        <v>0</v>
      </c>
      <c r="L21" s="1157">
        <f t="shared" si="4"/>
        <v>0</v>
      </c>
      <c r="M21" s="1312">
        <f t="shared" si="8"/>
        <v>0</v>
      </c>
      <c r="N21" s="1854"/>
      <c r="O21" s="1855"/>
      <c r="P21" s="1312">
        <f t="shared" si="9"/>
        <v>0</v>
      </c>
      <c r="R21" s="1157">
        <f t="shared" si="5"/>
        <v>544.57000000000005</v>
      </c>
      <c r="S21" s="1158">
        <f t="shared" si="5"/>
        <v>546.71</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21890.489999999998</v>
      </c>
      <c r="E27" s="1303">
        <f>IF(SUM(E19:E26)='数据-基础表'!BA5,SUM(E19:E26),IF(F27="地上面积有误","面积有误","地下面积有误"))</f>
        <v>21976.319999999996</v>
      </c>
      <c r="F27" s="1302">
        <f>IF(SUM(F19:F26)=E8,SUM(F19:F26),"地上面积有误")</f>
        <v>21890.489999999998</v>
      </c>
      <c r="G27" s="1304">
        <f>SUM(G19:G26)</f>
        <v>85.829999999999984</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21890.489999999998</v>
      </c>
      <c r="S27" s="1157">
        <f>IF(SUM(S19:S26)=$E$3,SUM(S19:S26),SUM(S19:S26)&amp;"误差"&amp;ROUND(SUM(S19:S26)-E3,2))</f>
        <v>21976.319999999996</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21890.489999999998</v>
      </c>
      <c r="E31" s="685">
        <f>E27+E30</f>
        <v>21976.319999999996</v>
      </c>
      <c r="F31" s="686">
        <f>F27+F30</f>
        <v>21890.489999999998</v>
      </c>
      <c r="G31" s="687">
        <f>G27+G30</f>
        <v>85.829999999999984</v>
      </c>
      <c r="H31" s="2886"/>
      <c r="I31" s="2886"/>
      <c r="J31" s="2886"/>
      <c r="K31" s="2886"/>
      <c r="L31" s="2886"/>
      <c r="M31" s="2886"/>
      <c r="N31" s="2886"/>
      <c r="O31" s="2886"/>
      <c r="P31" s="2886"/>
    </row>
    <row r="32" spans="1:19">
      <c r="A32" s="1829"/>
      <c r="B32" s="1829" t="s">
        <v>1845</v>
      </c>
      <c r="C32" s="1829"/>
      <c r="D32" s="1829"/>
      <c r="E32" s="1184">
        <f>SUMIF(C19:C26,"*住宅*",E19:E26)</f>
        <v>0</v>
      </c>
      <c r="F32" s="1829"/>
      <c r="G32" s="1829"/>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8" sqref="L8"/>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7"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5" customFormat="1" ht="15.75" thickBot="1">
      <c r="A2" s="1869" t="s">
        <v>1847</v>
      </c>
      <c r="B2" s="1176">
        <f>项目基本情况!D3</f>
        <v>44294</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5" customFormat="1" ht="15" thickBot="1">
      <c r="A3" s="1743"/>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5"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8" t="s">
        <v>1852</v>
      </c>
      <c r="AA4" s="1838"/>
      <c r="AB4" s="1838"/>
      <c r="AC4" s="1838"/>
      <c r="AD4" s="1838"/>
      <c r="AE4" s="1836" t="s">
        <v>1853</v>
      </c>
      <c r="AF4" s="1838"/>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6"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3071</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8" t="s">
        <v>1887</v>
      </c>
      <c r="AP5" s="1159" t="s">
        <v>1888</v>
      </c>
      <c r="AQ5" s="1897" t="s">
        <v>1889</v>
      </c>
      <c r="AR5" s="1897"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8" t="str">
        <f>'数据-汇总表'!C19</f>
        <v>车间</v>
      </c>
      <c r="B6" s="1899" t="str">
        <f>IF(A6=0,"","经营性")</f>
        <v>经营性</v>
      </c>
      <c r="C6" s="1900" t="s">
        <v>6</v>
      </c>
      <c r="D6" s="967">
        <f>SUMIF(项目基本情况!D$12:I$12,C6,项目基本情况!D$14:I$14)</f>
        <v>50</v>
      </c>
      <c r="E6" s="966">
        <f>IF(B6="","",SUMIF(项目基本情况!D$12:I$12,C6,项目基本情况!D$13:I$13))</f>
        <v>61048</v>
      </c>
      <c r="F6" s="68">
        <f>SUMIF(项目基本情况!D$12:I$12,C6,项目基本情况!D$15:I$15)</f>
        <v>45.9</v>
      </c>
      <c r="G6" s="69">
        <f>IF(ISERROR(ROUND(POWER(1+H6,D6-F6)*(POWER(1+H6,F6)-1)/(POWER(1+H6,D6)-1),3)),0,ROUND(POWER(1+H6,D6-F6)*(POWER(1+H6,F6)-1)/(POWER(1+H6,D6)-1),3))</f>
        <v>0.97499999999999998</v>
      </c>
      <c r="H6" s="741">
        <v>4.4999999999999998E-2</v>
      </c>
      <c r="I6" s="741">
        <v>0.05</v>
      </c>
      <c r="J6" s="70">
        <v>8.5000000000000006E-2</v>
      </c>
      <c r="K6" s="1161">
        <f>SUMIF('数据-汇总表'!C$19:C$33,A6,'数据-汇总表'!E$19:E$33)</f>
        <v>21257.94</v>
      </c>
      <c r="L6" s="742">
        <v>1100</v>
      </c>
      <c r="M6" s="71">
        <f t="shared" ref="M6:M14" si="0">ROUND(K6*L6/10000,0)</f>
        <v>2338</v>
      </c>
      <c r="N6" s="740">
        <f>Sheet1!F10</f>
        <v>0.94</v>
      </c>
      <c r="O6" s="71" t="str">
        <f>IF($N$5="成新度","——",ROUND(M6*N6,0))</f>
        <v>——</v>
      </c>
      <c r="P6" s="72" t="str">
        <f>IF($N$5="成新度","——",M6-O6)</f>
        <v>——</v>
      </c>
      <c r="Q6" s="743">
        <v>0.05</v>
      </c>
      <c r="R6" s="73">
        <f ca="1">SUMIF('数据-汇总表'!C$19:C$33,A6,'数据-汇总表'!R$19:R$27)</f>
        <v>21174.92</v>
      </c>
      <c r="S6" s="54">
        <f>IF('数据-汇总表'!$I$17="按面积比例",SUMIF('数据-汇总表'!C$19:C$33,A6,'数据-汇总表'!K$19:K$33),SUMIF('数据-汇总表'!C$19:C$33,A6,'数据-汇总表'!N$19:N$33))</f>
        <v>0</v>
      </c>
      <c r="T6" s="1334">
        <f>ROUND($L$14*S6/10000,0)</f>
        <v>0</v>
      </c>
      <c r="U6" s="74">
        <v>0.4</v>
      </c>
      <c r="V6" s="75">
        <v>0.02</v>
      </c>
      <c r="W6" s="75">
        <v>0.15</v>
      </c>
      <c r="X6" s="1171"/>
      <c r="Y6" s="76">
        <f>N6</f>
        <v>0.94</v>
      </c>
      <c r="Z6" s="77"/>
      <c r="AA6" s="70"/>
      <c r="AB6" s="70"/>
      <c r="AC6" s="1171"/>
      <c r="AD6" s="78"/>
      <c r="AE6" s="1172">
        <f ca="1">IF(AN6="",0,SUMIF(INDIRECT("'"&amp;AN6&amp;"'"&amp;"!E:E"),$AE$5,INDIRECT("'"&amp;AN6&amp;"'"&amp;"!F:F")))</f>
        <v>45.9</v>
      </c>
      <c r="AF6" s="1533"/>
      <c r="AG6" s="143">
        <f>IF(AF6="",0,AE6-AF6)</f>
        <v>0</v>
      </c>
      <c r="AH6" s="79"/>
      <c r="AI6" s="81">
        <v>365</v>
      </c>
      <c r="AJ6" s="82"/>
      <c r="AK6" s="83">
        <v>0.01</v>
      </c>
      <c r="AL6" s="84">
        <v>1.5E-3</v>
      </c>
      <c r="AM6" s="85">
        <v>0.01</v>
      </c>
      <c r="AN6" s="1901" t="s">
        <v>3310</v>
      </c>
      <c r="AO6" s="55">
        <f ca="1">SUMIF(INDIRECT("'"&amp;AN6&amp;"'"&amp;"!A:A"),"总价",INDIRECT("'"&amp;AN6&amp;"'"&amp;"!B:B"))</f>
        <v>4462</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5" customFormat="1" ht="14.25">
      <c r="A7" s="1898" t="str">
        <f>'数据-汇总表'!C20</f>
        <v>门卫室</v>
      </c>
      <c r="B7" s="1899" t="str">
        <f t="shared" ref="B7:B13" si="1">IF(A7=0,"","经营性")</f>
        <v>经营性</v>
      </c>
      <c r="C7" s="1900" t="s">
        <v>6</v>
      </c>
      <c r="D7" s="967">
        <f>SUMIF(项目基本情况!D$12:I$12,C7,项目基本情况!D$14:I$14)</f>
        <v>50</v>
      </c>
      <c r="E7" s="966">
        <f>IF(B7="","",SUMIF(项目基本情况!D$12:I$12,C7,项目基本情况!D$13:I$13))</f>
        <v>61048</v>
      </c>
      <c r="F7" s="68">
        <f>SUMIF(项目基本情况!D$12:I$12,C7,项目基本情况!D$15:I$15)</f>
        <v>45.9</v>
      </c>
      <c r="G7" s="69">
        <f t="shared" ref="G7:G11" si="2">IF(ISERROR(ROUND(POWER(1+H7,D7-F7)*(POWER(1+H7,F7)-1)/(POWER(1+H7,D7)-1),3)),0,ROUND(POWER(1+H7,D7-F7)*(POWER(1+H7,F7)-1)/(POWER(1+H7,D7)-1),3))</f>
        <v>0.97499999999999998</v>
      </c>
      <c r="H7" s="741">
        <f>H6</f>
        <v>4.4999999999999998E-2</v>
      </c>
      <c r="I7" s="741">
        <f>I6</f>
        <v>0.05</v>
      </c>
      <c r="J7" s="70">
        <f>J6</f>
        <v>8.5000000000000006E-2</v>
      </c>
      <c r="K7" s="1161">
        <f>SUMIF('数据-汇总表'!C$19:C$33,A7,'数据-汇总表'!E$19:E$33)</f>
        <v>171.67</v>
      </c>
      <c r="L7" s="742">
        <v>1000</v>
      </c>
      <c r="M7" s="71">
        <f t="shared" si="0"/>
        <v>17</v>
      </c>
      <c r="N7" s="740">
        <f>Sheet1!F9</f>
        <v>0.95</v>
      </c>
      <c r="O7" s="71" t="str">
        <f t="shared" ref="O7:O14" si="3">IF($N$5="成新度","——",ROUND(M7*N7,0))</f>
        <v>——</v>
      </c>
      <c r="P7" s="72" t="str">
        <f t="shared" ref="P7:P14" si="4">IF($N$5="成新度","——",M7-O7)</f>
        <v>——</v>
      </c>
      <c r="Q7" s="743">
        <f>Q6</f>
        <v>0.05</v>
      </c>
      <c r="R7" s="73">
        <f ca="1">SUMIF('数据-汇总表'!C$19:C$33,A7,'数据-汇总表'!R$19:R$27)</f>
        <v>171</v>
      </c>
      <c r="S7" s="54">
        <f>IF('数据-汇总表'!$I$17="按面积比例",SUMIF('数据-汇总表'!C$19:C$33,A7,'数据-汇总表'!K$19:K$33),SUMIF('数据-汇总表'!C$19:C$33,A7,'数据-汇总表'!N$19:N$33))</f>
        <v>0</v>
      </c>
      <c r="T7" s="1334">
        <f t="shared" ref="T7:T13" si="5">ROUND($L$14*S7/10000,0)</f>
        <v>0</v>
      </c>
      <c r="U7" s="74">
        <f>U6</f>
        <v>0.4</v>
      </c>
      <c r="V7" s="75">
        <f>V6</f>
        <v>0.02</v>
      </c>
      <c r="W7" s="75">
        <f>W6</f>
        <v>0.15</v>
      </c>
      <c r="X7" s="1171"/>
      <c r="Y7" s="76">
        <f>N7</f>
        <v>0.95</v>
      </c>
      <c r="Z7" s="77"/>
      <c r="AA7" s="70"/>
      <c r="AB7" s="70"/>
      <c r="AC7" s="1171"/>
      <c r="AD7" s="78"/>
      <c r="AE7" s="1172">
        <f t="shared" ref="AE7:AE13" ca="1" si="6">IF(AN7="",0,SUMIF(INDIRECT("'"&amp;AN7&amp;"'"&amp;"!E:E"),$AE$5,INDIRECT("'"&amp;AN7&amp;"'"&amp;"!F:F")))</f>
        <v>45.9</v>
      </c>
      <c r="AF7" s="1533"/>
      <c r="AG7" s="143">
        <f t="shared" ref="AG7:AG13" si="7">IF(AF7="",0,AE7-AF7)</f>
        <v>0</v>
      </c>
      <c r="AH7" s="79"/>
      <c r="AI7" s="81">
        <v>365</v>
      </c>
      <c r="AJ7" s="82"/>
      <c r="AK7" s="83">
        <f>AK6</f>
        <v>0.01</v>
      </c>
      <c r="AL7" s="84">
        <f>AL6</f>
        <v>1.5E-3</v>
      </c>
      <c r="AM7" s="85">
        <f>AM6</f>
        <v>0.01</v>
      </c>
      <c r="AN7" s="1901" t="s">
        <v>3311</v>
      </c>
      <c r="AO7" s="55">
        <f t="shared" ref="AO7:AO13" ca="1" si="8">SUMIF(INDIRECT("'"&amp;AN7&amp;"'"&amp;"!A:A"),"总价",INDIRECT("'"&amp;AN7&amp;"'"&amp;"!B:B"))</f>
        <v>37</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5" customFormat="1" ht="14.25">
      <c r="A8" s="1898" t="str">
        <f>'数据-汇总表'!C21</f>
        <v>仓库</v>
      </c>
      <c r="B8" s="1899" t="str">
        <f t="shared" si="1"/>
        <v>经营性</v>
      </c>
      <c r="C8" s="1900" t="s">
        <v>6</v>
      </c>
      <c r="D8" s="967">
        <f>SUMIF(项目基本情况!D$12:I$12,C8,项目基本情况!D$14:I$14)</f>
        <v>50</v>
      </c>
      <c r="E8" s="966">
        <f>IF(B8="","",SUMIF(项目基本情况!D$12:I$12,C8,项目基本情况!D$13:I$13))</f>
        <v>61048</v>
      </c>
      <c r="F8" s="68">
        <f>SUMIF(项目基本情况!D$12:I$12,C8,项目基本情况!D$15:I$15)</f>
        <v>45.9</v>
      </c>
      <c r="G8" s="69">
        <f t="shared" si="2"/>
        <v>0.97499999999999998</v>
      </c>
      <c r="H8" s="741">
        <f>H6</f>
        <v>4.4999999999999998E-2</v>
      </c>
      <c r="I8" s="741">
        <f>I6</f>
        <v>0.05</v>
      </c>
      <c r="J8" s="70">
        <f>J6</f>
        <v>8.5000000000000006E-2</v>
      </c>
      <c r="K8" s="1161">
        <f>SUMIF('数据-汇总表'!C$19:C$33,A8,'数据-汇总表'!E$19:E$33)</f>
        <v>546.71</v>
      </c>
      <c r="L8" s="742">
        <f>L6</f>
        <v>1100</v>
      </c>
      <c r="M8" s="71">
        <f>ROUND(K8*L8/10000,0)</f>
        <v>60</v>
      </c>
      <c r="N8" s="740">
        <f>Sheet1!F8</f>
        <v>0.96</v>
      </c>
      <c r="O8" s="71" t="str">
        <f t="shared" si="3"/>
        <v>——</v>
      </c>
      <c r="P8" s="72" t="str">
        <f t="shared" si="4"/>
        <v>——</v>
      </c>
      <c r="Q8" s="743">
        <f>Q6</f>
        <v>0.05</v>
      </c>
      <c r="R8" s="73">
        <f ca="1">SUMIF('数据-汇总表'!C$19:C$33,A8,'数据-汇总表'!R$19:R$27)</f>
        <v>544.57000000000005</v>
      </c>
      <c r="S8" s="54">
        <f>IF('数据-汇总表'!$I$17="按面积比例",SUMIF('数据-汇总表'!C$19:C$33,A8,'数据-汇总表'!K$19:K$33),SUMIF('数据-汇总表'!C$19:C$33,A8,'数据-汇总表'!N$19:N$33))</f>
        <v>0</v>
      </c>
      <c r="T8" s="1334">
        <f t="shared" si="5"/>
        <v>0</v>
      </c>
      <c r="U8" s="744">
        <f>U6</f>
        <v>0.4</v>
      </c>
      <c r="V8" s="745">
        <f>V6</f>
        <v>0.02</v>
      </c>
      <c r="W8" s="745">
        <f>W6</f>
        <v>0.15</v>
      </c>
      <c r="X8" s="1171"/>
      <c r="Y8" s="746">
        <f>N8</f>
        <v>0.96</v>
      </c>
      <c r="Z8" s="77"/>
      <c r="AA8" s="70"/>
      <c r="AB8" s="70"/>
      <c r="AC8" s="1171"/>
      <c r="AD8" s="78"/>
      <c r="AE8" s="1172">
        <f t="shared" ca="1" si="6"/>
        <v>45.9</v>
      </c>
      <c r="AF8" s="1533"/>
      <c r="AG8" s="143">
        <f t="shared" si="7"/>
        <v>0</v>
      </c>
      <c r="AH8" s="747"/>
      <c r="AI8" s="81">
        <v>365</v>
      </c>
      <c r="AJ8" s="82"/>
      <c r="AK8" s="748">
        <f>AK6</f>
        <v>0.01</v>
      </c>
      <c r="AL8" s="749">
        <f>AL6</f>
        <v>1.5E-3</v>
      </c>
      <c r="AM8" s="750">
        <f>AM6</f>
        <v>0.01</v>
      </c>
      <c r="AN8" s="1901" t="s">
        <v>3360</v>
      </c>
      <c r="AO8" s="55">
        <f t="shared" ca="1" si="8"/>
        <v>115</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5"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5"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5"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5"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5"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5"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5"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5" customFormat="1" ht="15.75" thickBot="1">
      <c r="A16" s="1905" t="s">
        <v>1895</v>
      </c>
      <c r="B16" s="93"/>
      <c r="C16" s="942"/>
      <c r="D16" s="1906"/>
      <c r="E16" s="93"/>
      <c r="F16" s="93"/>
      <c r="G16" s="94">
        <f>ROUND(SUMPRODUCT(G6:G13,K6:K13)/SUMPRODUCT((G6:G13&gt;0)*(K6:K13)),3)</f>
        <v>0.97499999999999998</v>
      </c>
      <c r="H16" s="95">
        <f>ROUND(SUMPRODUCT(H6:H13,K6:K13)/SUMPRODUCT((H6:H13&gt;0)*(K6:K13)),3)</f>
        <v>4.4999999999999998E-2</v>
      </c>
      <c r="I16" s="96"/>
      <c r="J16" s="96"/>
      <c r="K16" s="97">
        <f>SUM(K6:K15)</f>
        <v>21976.319999999996</v>
      </c>
      <c r="L16" s="98">
        <f>ROUND(M16*10000/SUM(K6:K14),0)</f>
        <v>1099</v>
      </c>
      <c r="M16" s="98">
        <f>SUM(M6:M14)</f>
        <v>2415</v>
      </c>
      <c r="N16" s="99">
        <f>ROUND(SUMPRODUCT(M6:M14,N6:N14)/M16,3)</f>
        <v>0.94099999999999995</v>
      </c>
      <c r="O16" s="98">
        <f>SUM(O6:O14)</f>
        <v>0</v>
      </c>
      <c r="P16" s="98">
        <f>SUM(P6:P14)</f>
        <v>0</v>
      </c>
      <c r="Q16" s="100">
        <f>ROUND(SUMPRODUCT(Q6:Q13,K6:K13)/SUMPRODUCT((Q6:Q13&gt;0)*(K6:K13)),2)</f>
        <v>0.05</v>
      </c>
      <c r="R16" s="1165">
        <f ca="1">SUM(R6:R13)</f>
        <v>21890.489999999998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v>2018</v>
      </c>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1</v>
      </c>
      <c r="C20" s="3031" t="s">
        <v>3049</v>
      </c>
      <c r="D20" s="2905"/>
      <c r="E20" s="2902"/>
      <c r="F20" s="2902"/>
      <c r="G20" s="2902"/>
      <c r="H20" s="2902"/>
      <c r="I20" s="2902"/>
      <c r="J20" s="2902"/>
      <c r="K20" s="2901"/>
      <c r="L20" s="307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1</v>
      </c>
      <c r="C21" s="2902"/>
      <c r="D21" s="2905"/>
      <c r="E21" s="2902"/>
      <c r="F21" s="2902"/>
      <c r="G21" s="2902"/>
      <c r="H21" s="2902"/>
      <c r="I21" s="2902"/>
      <c r="J21" s="2902"/>
      <c r="K21" s="2901"/>
      <c r="L21" s="307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3"/>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40</v>
      </c>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40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v>88</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150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150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150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0.01</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0.01</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5" t="s">
        <v>3072</v>
      </c>
      <c r="B40" s="1210">
        <f ca="1">IF(A40="利息：取LPR",存贷款利率!G1,存贷款利率!G1+C40)</f>
        <v>4.3499999999999997E-2</v>
      </c>
      <c r="C40" s="3044">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0.04</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0</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8" customWidth="1"/>
    <col min="3" max="3" width="24.5" style="2736" customWidth="1"/>
    <col min="4" max="4" width="2.625" style="2736" customWidth="1"/>
    <col min="5" max="5" width="5.875" style="2736" customWidth="1"/>
    <col min="6" max="6" width="27" style="1758"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66" t="s">
        <v>3032</v>
      </c>
      <c r="B1" s="3167"/>
      <c r="C1" s="3167"/>
      <c r="D1" s="3167"/>
      <c r="E1" s="3167"/>
      <c r="F1" s="3167"/>
      <c r="G1" s="3167"/>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8"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7" sqref="F37"/>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21976.32</v>
      </c>
      <c r="C1" s="2915"/>
      <c r="D1" s="2915"/>
      <c r="E1" s="2915"/>
      <c r="F1" s="2915"/>
      <c r="G1" s="2916"/>
      <c r="H1" s="2917"/>
      <c r="I1" s="2917"/>
      <c r="J1" s="2917"/>
      <c r="K1" s="2917"/>
    </row>
    <row r="2" spans="1:11" ht="16.5">
      <c r="A2" s="2738" t="s">
        <v>1319</v>
      </c>
      <c r="B2" s="2738">
        <f>SUM(C14:C23)</f>
        <v>21890.49</v>
      </c>
      <c r="C2" s="2915"/>
      <c r="D2" s="2915"/>
      <c r="E2" s="2915"/>
      <c r="F2" s="2915"/>
      <c r="G2" s="2916"/>
      <c r="H2" s="2917"/>
      <c r="I2" s="2917"/>
      <c r="J2" s="2917"/>
      <c r="K2" s="2917"/>
    </row>
    <row r="3" spans="1:11" ht="16.5">
      <c r="A3" s="2738" t="s">
        <v>1328</v>
      </c>
      <c r="B3" s="2740">
        <f>项目基本情况!D3</f>
        <v>44294</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4158</v>
      </c>
      <c r="C5" s="2738">
        <f ca="1">ROUND(B5*10000/$B$1,0)</f>
        <v>1892</v>
      </c>
      <c r="D5" s="2738">
        <f ca="1">ROUND(B5*10000/$B$2,0)</f>
        <v>1899</v>
      </c>
      <c r="E5" s="2915"/>
      <c r="F5" s="2916"/>
      <c r="G5" s="2916"/>
      <c r="H5" s="2917"/>
      <c r="I5" s="2917"/>
      <c r="J5" s="2917"/>
      <c r="K5" s="2917"/>
    </row>
    <row r="6" spans="1:11" ht="16.5">
      <c r="A6" s="2738" t="s">
        <v>1322</v>
      </c>
      <c r="B6" s="2738">
        <f ca="1">SUM(G14:G23)</f>
        <v>4158</v>
      </c>
      <c r="C6" s="2738">
        <f ca="1">ROUND(B6*10000/$B$1,0)</f>
        <v>1892</v>
      </c>
      <c r="D6" s="2738">
        <f ca="1">ROUND(B6*10000/$B$2,0)</f>
        <v>1899</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21976.32</v>
      </c>
      <c r="C14" s="2744">
        <f>结果表!C118</f>
        <v>21890.49</v>
      </c>
      <c r="D14" s="2744">
        <f ca="1">结果表!H118</f>
        <v>4158</v>
      </c>
      <c r="E14" s="2744">
        <f ca="1">ROUND(D14*10000/B14,0)</f>
        <v>1892</v>
      </c>
      <c r="F14" s="2744">
        <f ca="1">ROUND(D14*10000/C14,0)</f>
        <v>1899</v>
      </c>
      <c r="G14" s="2744">
        <f ca="1">结果表!D122</f>
        <v>4158</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1"/>
      <c r="H15" s="1501"/>
      <c r="I15" s="2745"/>
      <c r="J15" s="2916"/>
      <c r="K15" s="2917"/>
    </row>
    <row r="16" spans="1:11" ht="16.5">
      <c r="A16" s="2743" t="s">
        <v>1314</v>
      </c>
      <c r="B16" s="2745"/>
      <c r="C16" s="2745"/>
      <c r="D16" s="2745"/>
      <c r="E16" s="2744" t="e">
        <f t="shared" si="0"/>
        <v>#DIV/0!</v>
      </c>
      <c r="F16" s="2744" t="e">
        <f t="shared" si="1"/>
        <v>#DIV/0!</v>
      </c>
      <c r="G16" s="1501"/>
      <c r="H16" s="1501"/>
      <c r="I16" s="2745"/>
      <c r="J16" s="2917"/>
      <c r="K16" s="2917"/>
    </row>
    <row r="17" spans="1:11" ht="16.5">
      <c r="A17" s="2743" t="s">
        <v>1313</v>
      </c>
      <c r="B17" s="2745"/>
      <c r="C17" s="2745"/>
      <c r="D17" s="2745"/>
      <c r="E17" s="2744" t="e">
        <f t="shared" si="0"/>
        <v>#DIV/0!</v>
      </c>
      <c r="F17" s="2744" t="e">
        <f t="shared" si="1"/>
        <v>#DIV/0!</v>
      </c>
      <c r="G17" s="1501"/>
      <c r="H17" s="1501"/>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I24" sqref="I2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3" t="s">
        <v>1948</v>
      </c>
      <c r="B1" s="1933"/>
      <c r="C1" s="1934"/>
      <c r="D1" s="1933"/>
      <c r="E1" s="1933"/>
      <c r="F1" s="1935" t="s">
        <v>1949</v>
      </c>
      <c r="G1" s="1747"/>
      <c r="H1" s="1936" t="str">
        <f>IF(G1="现房","——","估价对象范围")</f>
        <v>估价对象范围</v>
      </c>
      <c r="I1" s="1937"/>
    </row>
    <row r="2" spans="1:12" ht="21.75" customHeight="1" thickBot="1">
      <c r="A2" s="3202" t="str">
        <f>项目基本情况!S2</f>
        <v>房地产</v>
      </c>
      <c r="B2" s="3203"/>
      <c r="C2" s="3203"/>
      <c r="D2" s="3203"/>
      <c r="E2" s="3203"/>
      <c r="F2" s="3203"/>
      <c r="G2" s="3203"/>
      <c r="H2" s="3203"/>
      <c r="I2" s="3204"/>
    </row>
    <row r="3" spans="1:12" ht="12.75">
      <c r="A3" s="3206" t="s">
        <v>1950</v>
      </c>
      <c r="B3" s="3207"/>
      <c r="C3" s="3207"/>
      <c r="D3" s="3207"/>
      <c r="E3" s="3207"/>
      <c r="F3" s="3207"/>
      <c r="G3" s="3207"/>
      <c r="H3" s="3207"/>
      <c r="I3" s="3207"/>
    </row>
    <row r="4" spans="1:12" ht="14.25">
      <c r="A4" s="1940" t="s">
        <v>1951</v>
      </c>
      <c r="B4" s="1941" t="s">
        <v>1952</v>
      </c>
      <c r="C4" s="1942" t="s">
        <v>3322</v>
      </c>
      <c r="D4" s="1942" t="s">
        <v>3323</v>
      </c>
      <c r="E4" s="3208" t="s">
        <v>1953</v>
      </c>
      <c r="F4" s="3209"/>
      <c r="G4" s="3209"/>
      <c r="H4" s="3209"/>
      <c r="I4" s="321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2" t="s">
        <v>1954</v>
      </c>
      <c r="B5" s="3169">
        <v>25</v>
      </c>
      <c r="C5" s="3185"/>
      <c r="D5" s="3205"/>
      <c r="E5" s="136" t="s">
        <v>1955</v>
      </c>
      <c r="F5" s="1943"/>
      <c r="G5" s="1943"/>
      <c r="H5" s="1943"/>
      <c r="I5" s="1558"/>
    </row>
    <row r="6" spans="1:12" ht="12.75">
      <c r="A6" s="3182"/>
      <c r="B6" s="3169"/>
      <c r="C6" s="3186"/>
      <c r="D6" s="3205"/>
      <c r="E6" s="136" t="s">
        <v>1956</v>
      </c>
      <c r="F6" s="1943"/>
      <c r="G6" s="1943"/>
      <c r="H6" s="1943"/>
      <c r="I6" s="1558"/>
    </row>
    <row r="7" spans="1:12" ht="12.75">
      <c r="A7" s="3182"/>
      <c r="B7" s="3169"/>
      <c r="C7" s="3187"/>
      <c r="D7" s="3205"/>
      <c r="E7" s="136" t="s">
        <v>1957</v>
      </c>
      <c r="F7" s="1943"/>
      <c r="G7" s="1943"/>
      <c r="H7" s="1943"/>
      <c r="I7" s="1558"/>
    </row>
    <row r="8" spans="1:12" ht="12.75">
      <c r="A8" s="3182" t="s">
        <v>1958</v>
      </c>
      <c r="B8" s="3169">
        <v>15</v>
      </c>
      <c r="C8" s="3185"/>
      <c r="D8" s="3205"/>
      <c r="E8" s="136" t="s">
        <v>1959</v>
      </c>
      <c r="F8" s="1943"/>
      <c r="G8" s="1943"/>
      <c r="H8" s="1943"/>
      <c r="I8" s="1558"/>
    </row>
    <row r="9" spans="1:12" ht="12.75">
      <c r="A9" s="3182"/>
      <c r="B9" s="3169"/>
      <c r="C9" s="3187"/>
      <c r="D9" s="3205"/>
      <c r="E9" s="136" t="s">
        <v>1960</v>
      </c>
      <c r="F9" s="1943"/>
      <c r="G9" s="1943"/>
      <c r="H9" s="1943"/>
      <c r="I9" s="1558"/>
    </row>
    <row r="10" spans="1:12" ht="12.75">
      <c r="A10" s="3182" t="s">
        <v>1961</v>
      </c>
      <c r="B10" s="3169">
        <v>15</v>
      </c>
      <c r="C10" s="3185"/>
      <c r="D10" s="3205"/>
      <c r="E10" s="136" t="s">
        <v>1962</v>
      </c>
      <c r="F10" s="1943"/>
      <c r="G10" s="1943"/>
      <c r="H10" s="1943"/>
      <c r="I10" s="1558"/>
    </row>
    <row r="11" spans="1:12" ht="12.75">
      <c r="A11" s="3182"/>
      <c r="B11" s="3169"/>
      <c r="C11" s="3187"/>
      <c r="D11" s="3205"/>
      <c r="E11" s="136" t="s">
        <v>1963</v>
      </c>
      <c r="F11" s="1943"/>
      <c r="G11" s="1943"/>
      <c r="H11" s="1943"/>
      <c r="I11" s="1558"/>
    </row>
    <row r="12" spans="1:12" ht="12.75">
      <c r="A12" s="3182" t="s">
        <v>1964</v>
      </c>
      <c r="B12" s="3169">
        <v>15</v>
      </c>
      <c r="C12" s="3185"/>
      <c r="D12" s="3205"/>
      <c r="E12" s="136" t="s">
        <v>1965</v>
      </c>
      <c r="F12" s="1943"/>
      <c r="G12" s="1943"/>
      <c r="H12" s="1943"/>
      <c r="I12" s="1558"/>
    </row>
    <row r="13" spans="1:12" ht="12.75">
      <c r="A13" s="3182"/>
      <c r="B13" s="3169"/>
      <c r="C13" s="3187"/>
      <c r="D13" s="3205"/>
      <c r="E13" s="136" t="s">
        <v>1966</v>
      </c>
      <c r="F13" s="1943"/>
      <c r="G13" s="1943"/>
      <c r="H13" s="1943"/>
      <c r="I13" s="1558"/>
    </row>
    <row r="14" spans="1:12" ht="12.75">
      <c r="A14" s="3182" t="s">
        <v>1967</v>
      </c>
      <c r="B14" s="3169">
        <v>30</v>
      </c>
      <c r="C14" s="3185">
        <v>5</v>
      </c>
      <c r="D14" s="3205">
        <v>5</v>
      </c>
      <c r="E14" s="136" t="s">
        <v>1968</v>
      </c>
      <c r="F14" s="1943"/>
      <c r="G14" s="1943"/>
      <c r="H14" s="1943"/>
      <c r="I14" s="1558"/>
    </row>
    <row r="15" spans="1:12" ht="12.75">
      <c r="A15" s="3182"/>
      <c r="B15" s="3169"/>
      <c r="C15" s="3186"/>
      <c r="D15" s="3205"/>
      <c r="E15" s="136" t="s">
        <v>1969</v>
      </c>
      <c r="F15" s="1943"/>
      <c r="G15" s="1943"/>
      <c r="H15" s="1943"/>
      <c r="I15" s="1558"/>
    </row>
    <row r="16" spans="1:12" ht="12.75">
      <c r="A16" s="3182"/>
      <c r="B16" s="3169"/>
      <c r="C16" s="3187"/>
      <c r="D16" s="3205"/>
      <c r="E16" s="136" t="s">
        <v>1970</v>
      </c>
      <c r="F16" s="1943"/>
      <c r="G16" s="1943"/>
      <c r="H16" s="1943"/>
      <c r="I16" s="1558"/>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192" t="s">
        <v>2873</v>
      </c>
      <c r="F18" s="3193"/>
      <c r="G18" s="3193"/>
      <c r="H18" s="3193"/>
      <c r="I18" s="3193"/>
      <c r="K18" s="308" t="s">
        <v>1975</v>
      </c>
      <c r="L18" s="308">
        <f>IF(C1="",'数据-汇总表'!E3,SUMIF(项目类型,C1,'数据-汇总表'!E17:E26)+SUMIF(项目类型,C1,'数据-汇总表'!I17:I26))</f>
        <v>21976.32</v>
      </c>
      <c r="M18" s="308">
        <f>IF(C1="",'数据-汇总表'!E3,SUMIF(项目类型,C1,'数据-汇总表'!E17:E26))</f>
        <v>21976.32</v>
      </c>
    </row>
    <row r="19" spans="1:36" ht="15">
      <c r="A19" s="1947" t="s">
        <v>1976</v>
      </c>
      <c r="B19" s="1948" t="s">
        <v>1977</v>
      </c>
      <c r="C19" s="139">
        <f ca="1">SUMIF(INDIRECT("'"&amp;C4&amp;"'"&amp;"!A:A"),结果表!B19,INDIRECT("'"&amp;C4&amp;"'"&amp;"!B:B"))</f>
        <v>3702</v>
      </c>
      <c r="D19" s="140">
        <f ca="1">SUMIF(INDIRECT("'"&amp;D4&amp;"'"&amp;"!A:A"),结果表!B19,INDIRECT("'"&amp;D4&amp;"'"&amp;"!B:B"))</f>
        <v>4614</v>
      </c>
      <c r="E19" s="1947" t="s">
        <v>1978</v>
      </c>
      <c r="F19" s="1948" t="s">
        <v>1977</v>
      </c>
      <c r="G19" s="141">
        <f ca="1">ROUND(C19*$C$18+D19*$D$18,0)</f>
        <v>4158</v>
      </c>
      <c r="H19" s="1949" t="s">
        <v>1979</v>
      </c>
      <c r="I19" s="134"/>
      <c r="K19" s="308" t="s">
        <v>1980</v>
      </c>
      <c r="L19" s="308">
        <f>IF(C1="",'数据-汇总表'!D3,SUMIF(项目类型,C1,'数据-汇总表'!D17:D26)+SUMIF(项目类型,C1,'数据-汇总表'!H17:H27))</f>
        <v>21890.49</v>
      </c>
      <c r="M19" s="308">
        <f>IF(C1="",'数据-汇总表'!D3,SUMIF(项目类型,C1,'数据-汇总表'!D17:D26))</f>
        <v>21890.49</v>
      </c>
    </row>
    <row r="20" spans="1:36" ht="15">
      <c r="A20" s="1950"/>
      <c r="B20" s="1157" t="s">
        <v>1981</v>
      </c>
      <c r="C20" s="142">
        <f ca="1">SUMIF(INDIRECT("'"&amp;C4&amp;"'"&amp;"!A:A"),结果表!B20,INDIRECT("'"&amp;C4&amp;"'"&amp;"!B:B"))</f>
        <v>1685</v>
      </c>
      <c r="D20" s="143">
        <f ca="1">SUMIF(INDIRECT("'"&amp;D4&amp;"'"&amp;"!A:A"),结果表!B20,INDIRECT("'"&amp;D4&amp;"'"&amp;"!B:B"))</f>
        <v>2100</v>
      </c>
      <c r="E20" s="1950"/>
      <c r="F20" s="1157" t="s">
        <v>1981</v>
      </c>
      <c r="G20" s="144">
        <f ca="1">ROUND(C20*$C$18+D20*$D$18,0)</f>
        <v>1893</v>
      </c>
      <c r="H20" s="917" t="s">
        <v>1982</v>
      </c>
      <c r="I20" s="134"/>
    </row>
    <row r="21" spans="1:36" ht="15" customHeight="1" thickBot="1">
      <c r="A21" s="937"/>
      <c r="B21" s="1951" t="s">
        <v>1983</v>
      </c>
      <c r="C21" s="728">
        <f ca="1">ROUND(C19*10000/L19,0)</f>
        <v>1691</v>
      </c>
      <c r="D21" s="729">
        <f ca="1">ROUND(D19*10000/L19,0)</f>
        <v>2108</v>
      </c>
      <c r="E21" s="937"/>
      <c r="F21" s="1951" t="s">
        <v>1983</v>
      </c>
      <c r="G21" s="145">
        <f ca="1">ROUND(G19*10000/L19,0)</f>
        <v>1899</v>
      </c>
      <c r="H21" s="1952" t="s">
        <v>1982</v>
      </c>
      <c r="I21" s="134"/>
    </row>
    <row r="22" spans="1:36" ht="15" thickBot="1">
      <c r="A22" s="1874" t="s">
        <v>1984</v>
      </c>
      <c r="B22" s="1953"/>
      <c r="C22" s="1954"/>
      <c r="D22" s="730">
        <f ca="1">IF(C19&lt;D19,D19/C19-1,C19/D19-1)</f>
        <v>0.24635332252836295</v>
      </c>
      <c r="E22" s="134"/>
      <c r="F22" s="134"/>
      <c r="G22" s="134"/>
      <c r="H22" s="134"/>
      <c r="I22" s="134"/>
    </row>
    <row r="23" spans="1:36" ht="13.5" thickBot="1">
      <c r="A23" s="1933"/>
      <c r="B23" s="1933"/>
      <c r="C23" s="1933"/>
      <c r="D23" s="1933"/>
      <c r="E23" s="134"/>
      <c r="F23" s="134"/>
      <c r="G23" s="134"/>
      <c r="H23" s="134"/>
      <c r="I23" s="134"/>
    </row>
    <row r="24" spans="1:36" ht="14.25">
      <c r="A24" s="3176" t="s">
        <v>1985</v>
      </c>
      <c r="B24" s="1948" t="s">
        <v>1977</v>
      </c>
      <c r="C24" s="141">
        <f>IF(B30=0,0,D30)</f>
        <v>0</v>
      </c>
      <c r="D24" s="1955"/>
      <c r="E24" s="134"/>
      <c r="F24" s="134"/>
      <c r="G24" s="134"/>
      <c r="H24" s="134"/>
      <c r="I24" s="134"/>
    </row>
    <row r="25" spans="1:36" ht="14.25">
      <c r="A25" s="3177"/>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4158</v>
      </c>
      <c r="D32" s="1961" t="s">
        <v>3324</v>
      </c>
      <c r="E32" s="134"/>
      <c r="F32" s="134"/>
      <c r="G32" s="134"/>
      <c r="H32" s="134"/>
      <c r="I32" s="134"/>
    </row>
    <row r="33" spans="1:15" ht="15">
      <c r="A33" s="894" t="s">
        <v>1992</v>
      </c>
      <c r="B33" s="1962"/>
      <c r="C33" s="1963" t="s">
        <v>3325</v>
      </c>
      <c r="D33" s="1964" t="s">
        <v>3322</v>
      </c>
      <c r="E33" s="1965" t="s">
        <v>1993</v>
      </c>
      <c r="F33" s="1966" t="str">
        <f>IF(D32="楼面单价","取值（单价）","取值（总价）")</f>
        <v>取值（总价）</v>
      </c>
      <c r="G33" s="134"/>
      <c r="H33" s="134"/>
      <c r="I33" s="134"/>
    </row>
    <row r="34" spans="1:15" ht="15">
      <c r="A34" s="1967"/>
      <c r="B34" s="1968" t="s">
        <v>1994</v>
      </c>
      <c r="C34" s="153">
        <f ca="1">IF(C33="自定义",F34,C32-C35)</f>
        <v>674</v>
      </c>
      <c r="D34" s="970">
        <f ca="1">IF(C33="自定义",ROUND(C34/C32,3),IF(C33="收益比率",SUMIF(INDIRECT("'"&amp;D33&amp;"'"&amp;"!b:b"),"土地收益比率",INDIRECT("'"&amp;D33&amp;"'"&amp;"!c:c")),SUMIF(INDIRECT("'"&amp;D33&amp;"'"&amp;"!b:b"),"土地成本比率",INDIRECT("'"&amp;D33&amp;"'"&amp;"!c:c"))))</f>
        <v>0.16200000000000003</v>
      </c>
      <c r="E34" s="1969" t="s">
        <v>1995</v>
      </c>
      <c r="F34" s="1499"/>
      <c r="G34" s="134"/>
      <c r="H34" s="134"/>
      <c r="I34" s="134"/>
    </row>
    <row r="35" spans="1:15" ht="15.75" thickBot="1">
      <c r="A35" s="1970"/>
      <c r="B35" s="1971" t="s">
        <v>1996</v>
      </c>
      <c r="C35" s="1332">
        <f ca="1">IF(C33="自定义",F35,ROUND(C32*D35,0))</f>
        <v>3484</v>
      </c>
      <c r="D35" s="1333">
        <f ca="1">IF(C33="自定义",ROUND(C35/C32,3),IF(C33="收益比率",SUMIF(INDIRECT("'"&amp;D33&amp;"'"&amp;"!b:b"),"建筑物收益比率",INDIRECT("'"&amp;D33&amp;"'"&amp;"!c:c")),SUMIF(INDIRECT("'"&amp;D33&amp;"'"&amp;"!b:b"),"建筑物成本比率",INDIRECT("'"&amp;D33&amp;"'"&amp;"!c:c"))))</f>
        <v>0.83799999999999997</v>
      </c>
      <c r="E35" s="1972" t="s">
        <v>1997</v>
      </c>
      <c r="F35" s="159"/>
      <c r="G35" s="134"/>
      <c r="H35" s="134"/>
      <c r="I35" s="134"/>
    </row>
    <row r="36" spans="1:15" ht="15.75" thickBot="1">
      <c r="A36" s="3196" t="s">
        <v>1998</v>
      </c>
      <c r="B36" s="1973" t="s">
        <v>1999</v>
      </c>
      <c r="C36" s="150"/>
      <c r="D36" s="1974"/>
      <c r="E36" s="1975"/>
      <c r="F36" s="1976"/>
      <c r="G36" s="134"/>
      <c r="H36" s="134"/>
      <c r="I36" s="134"/>
    </row>
    <row r="37" spans="1:15" ht="15.75" thickBot="1">
      <c r="A37" s="3197"/>
      <c r="B37" s="1860" t="s">
        <v>2000</v>
      </c>
      <c r="C37" s="152"/>
      <c r="D37" s="1301"/>
      <c r="E37" s="1301"/>
      <c r="F37" s="1976"/>
      <c r="G37" s="134"/>
      <c r="H37" s="134"/>
      <c r="I37" s="134"/>
    </row>
    <row r="38" spans="1:15" ht="15.75" thickBot="1">
      <c r="A38" s="3198"/>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3"/>
      <c r="B43" s="1763"/>
      <c r="C43" s="1763"/>
      <c r="D43" s="1763"/>
      <c r="E43" s="1763"/>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73" t="s">
        <v>2012</v>
      </c>
      <c r="B45" s="3174"/>
      <c r="C45" s="3175"/>
      <c r="D45" s="160">
        <f ca="1">ROUND(H101*F45,0)</f>
        <v>4158</v>
      </c>
      <c r="E45" s="161" t="s">
        <v>2013</v>
      </c>
      <c r="F45" s="162">
        <v>1</v>
      </c>
      <c r="G45" s="163" t="s">
        <v>2014</v>
      </c>
      <c r="H45" s="134"/>
      <c r="I45" s="134"/>
      <c r="J45" s="3254" t="s">
        <v>2015</v>
      </c>
      <c r="K45" s="3254"/>
      <c r="L45" s="3254"/>
      <c r="M45" s="3254"/>
      <c r="N45" s="3254"/>
      <c r="O45" s="3254"/>
    </row>
    <row r="46" spans="1:15" ht="14.25" customHeight="1">
      <c r="A46" s="3170" t="s">
        <v>2016</v>
      </c>
      <c r="B46" s="3171"/>
      <c r="C46" s="3171"/>
      <c r="D46" s="3171"/>
      <c r="E46" s="3171"/>
      <c r="F46" s="3171"/>
      <c r="G46" s="3172"/>
      <c r="H46" s="1992"/>
      <c r="I46" s="164"/>
      <c r="J46" s="2749">
        <v>1</v>
      </c>
      <c r="K46" s="3235" t="s">
        <v>2017</v>
      </c>
      <c r="L46" s="3235"/>
      <c r="M46" s="3255"/>
      <c r="N46" s="3255"/>
      <c r="O46" s="3255"/>
    </row>
    <row r="47" spans="1:15" ht="12" customHeight="1">
      <c r="A47" s="165" t="s">
        <v>2018</v>
      </c>
      <c r="B47" s="166"/>
      <c r="C47" s="167"/>
      <c r="D47" s="1247" t="s">
        <v>2019</v>
      </c>
      <c r="E47" s="308" t="s">
        <v>2020</v>
      </c>
      <c r="F47" s="168" t="s">
        <v>2021</v>
      </c>
      <c r="G47" s="2772" t="s">
        <v>2022</v>
      </c>
      <c r="H47" s="2773"/>
      <c r="I47" s="164"/>
      <c r="J47" s="2749">
        <v>2</v>
      </c>
      <c r="K47" s="3235" t="s">
        <v>2023</v>
      </c>
      <c r="L47" s="3235"/>
      <c r="M47" s="3256">
        <f>'数据-取费表'!B2</f>
        <v>44294</v>
      </c>
      <c r="N47" s="3256"/>
      <c r="O47" s="3256"/>
    </row>
    <row r="48" spans="1:15" ht="25.5">
      <c r="A48" s="3201" t="s">
        <v>2024</v>
      </c>
      <c r="B48" s="3184"/>
      <c r="C48" s="3184"/>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235" t="s">
        <v>2026</v>
      </c>
      <c r="L48" s="3235"/>
      <c r="M48" s="3257">
        <f ca="1">H101</f>
        <v>4158</v>
      </c>
      <c r="N48" s="3257"/>
      <c r="O48" s="3257"/>
    </row>
    <row r="49" spans="1:35" ht="25.5" customHeight="1">
      <c r="A49" s="2556" t="s">
        <v>2027</v>
      </c>
      <c r="B49" s="3168" t="s">
        <v>2028</v>
      </c>
      <c r="C49" s="3168"/>
      <c r="D49" s="1776">
        <v>0</v>
      </c>
      <c r="E49" s="330" t="s">
        <v>2029</v>
      </c>
      <c r="F49" s="2650" t="s">
        <v>34</v>
      </c>
      <c r="G49" s="3241"/>
      <c r="H49" s="2528" t="s">
        <v>2876</v>
      </c>
      <c r="I49" s="2529"/>
      <c r="J49" s="2749">
        <v>4</v>
      </c>
      <c r="K49" s="3235" t="str">
        <f>IF(项目基本情况!E8="房地产抵押价值","房地产抵押价值","抵押担保权已注销时的房地产抵押价值")</f>
        <v>房地产抵押价值</v>
      </c>
      <c r="L49" s="3235"/>
      <c r="M49" s="3257">
        <f ca="1">IF(项目基本情况!E8="房地产抵押价值",H107,H109)</f>
        <v>4158</v>
      </c>
      <c r="N49" s="3257"/>
      <c r="O49" s="3257"/>
    </row>
    <row r="50" spans="1:35" ht="25.5" customHeight="1">
      <c r="A50" s="2777"/>
      <c r="B50" s="3168" t="s">
        <v>2030</v>
      </c>
      <c r="C50" s="3168"/>
      <c r="D50" s="2778"/>
      <c r="E50" s="338"/>
      <c r="F50" s="2650"/>
      <c r="G50" s="3242"/>
      <c r="H50" s="2530" t="s">
        <v>2877</v>
      </c>
      <c r="I50" s="2529"/>
      <c r="J50" s="3254" t="s">
        <v>2031</v>
      </c>
      <c r="K50" s="3254"/>
      <c r="L50" s="3254"/>
      <c r="M50" s="3254"/>
      <c r="N50" s="3254"/>
      <c r="O50" s="3254"/>
    </row>
    <row r="51" spans="1:35" ht="20.45" customHeight="1">
      <c r="A51" s="2779"/>
      <c r="B51" s="3168" t="s">
        <v>2032</v>
      </c>
      <c r="C51" s="3168"/>
      <c r="D51" s="1247"/>
      <c r="E51" s="333"/>
      <c r="F51" s="2650"/>
      <c r="G51" s="3243"/>
      <c r="H51" s="2530" t="s">
        <v>2878</v>
      </c>
      <c r="I51" s="2529"/>
      <c r="J51" s="2750" t="s">
        <v>2033</v>
      </c>
      <c r="K51" s="3235" t="s">
        <v>2034</v>
      </c>
      <c r="L51" s="3235"/>
      <c r="M51" s="2750" t="s">
        <v>2035</v>
      </c>
      <c r="N51" s="2750" t="s">
        <v>2036</v>
      </c>
      <c r="O51" s="2750" t="s">
        <v>2037</v>
      </c>
    </row>
    <row r="52" spans="1:35" ht="24" customHeight="1">
      <c r="A52" s="2558" t="s">
        <v>2038</v>
      </c>
      <c r="B52" s="3168" t="s">
        <v>2039</v>
      </c>
      <c r="C52" s="3168"/>
      <c r="D52" s="1247">
        <f ca="1">ROUND(D45*'数据-取费表'!B41/(1+'数据-取费表'!C42),0)</f>
        <v>218</v>
      </c>
      <c r="E52" s="2557" t="s">
        <v>2040</v>
      </c>
      <c r="F52" s="2780">
        <f>'数据-取费表'!B41</f>
        <v>5.5000000000000007E-2</v>
      </c>
      <c r="G52" s="2781"/>
      <c r="H52" s="2770"/>
      <c r="I52" s="1993"/>
      <c r="J52" s="2749">
        <v>1</v>
      </c>
      <c r="K52" s="3236" t="s">
        <v>2041</v>
      </c>
      <c r="L52" s="3236"/>
      <c r="M52" s="2751" t="b">
        <f>D48</f>
        <v>0</v>
      </c>
      <c r="N52" s="2749" t="str">
        <f>E48</f>
        <v>销售额×税（费）率</v>
      </c>
      <c r="O52" s="2752">
        <f>F48</f>
        <v>5.5000000000000007E-2</v>
      </c>
    </row>
    <row r="53" spans="1:35" ht="12" customHeight="1">
      <c r="A53" s="2558" t="s">
        <v>2042</v>
      </c>
      <c r="B53" s="3194" t="s">
        <v>3037</v>
      </c>
      <c r="C53" s="3195"/>
      <c r="D53" s="1247">
        <f ca="1">ROUND(D45*'数据-取费表'!B41/(1+'数据-取费表'!C42),0)</f>
        <v>218</v>
      </c>
      <c r="E53" s="2557" t="s">
        <v>2040</v>
      </c>
      <c r="F53" s="2780">
        <f>'数据-取费表'!B41</f>
        <v>5.5000000000000007E-2</v>
      </c>
      <c r="G53" s="2781"/>
      <c r="H53" s="2770"/>
      <c r="I53" s="1993"/>
      <c r="J53" s="2749">
        <v>2</v>
      </c>
      <c r="K53" s="3236" t="s">
        <v>2043</v>
      </c>
      <c r="L53" s="3236"/>
      <c r="M53" s="2751">
        <f t="shared" ref="M53:O54" ca="1" si="0">D55</f>
        <v>2</v>
      </c>
      <c r="N53" s="2749" t="str">
        <f t="shared" si="0"/>
        <v>销售额×税（费）率</v>
      </c>
      <c r="O53" s="2752" t="str">
        <f t="shared" si="0"/>
        <v>免征</v>
      </c>
    </row>
    <row r="54" spans="1:35" ht="12" customHeight="1">
      <c r="A54" s="2558" t="s">
        <v>2044</v>
      </c>
      <c r="B54" s="3194" t="s">
        <v>3038</v>
      </c>
      <c r="C54" s="3195"/>
      <c r="D54" s="1247">
        <f ca="1">C68</f>
        <v>218</v>
      </c>
      <c r="E54" s="333" t="s">
        <v>2045</v>
      </c>
      <c r="F54" s="2780">
        <f>'数据-取费表'!B41</f>
        <v>5.5000000000000007E-2</v>
      </c>
      <c r="G54" s="2781"/>
      <c r="H54" s="2782"/>
      <c r="I54" s="1993"/>
      <c r="J54" s="2749">
        <v>3</v>
      </c>
      <c r="K54" s="3236" t="s">
        <v>2046</v>
      </c>
      <c r="L54" s="3236"/>
      <c r="M54" s="2751">
        <f t="shared" ca="1" si="0"/>
        <v>2357</v>
      </c>
      <c r="N54" s="2749" t="str">
        <f t="shared" si="0"/>
        <v>增值额×税（费）率</v>
      </c>
      <c r="O54" s="2753" t="str">
        <f t="shared" si="0"/>
        <v>免征</v>
      </c>
    </row>
    <row r="55" spans="1:35" ht="24" customHeight="1">
      <c r="A55" s="3183" t="s">
        <v>2047</v>
      </c>
      <c r="B55" s="3184"/>
      <c r="C55" s="3184"/>
      <c r="D55" s="2547">
        <f ca="1">IF(H55="个人住宅",0,ROUND(D45*I55,0))</f>
        <v>2</v>
      </c>
      <c r="E55" s="2557" t="s">
        <v>2048</v>
      </c>
      <c r="F55" s="2780" t="str">
        <f>IF(H55="正常",I55,"免征")</f>
        <v>免征</v>
      </c>
      <c r="G55" s="2781"/>
      <c r="H55" s="2776"/>
      <c r="I55" s="170">
        <f>'数据-取费表'!B49</f>
        <v>5.0000000000000001E-4</v>
      </c>
      <c r="J55" s="2749">
        <f>IF(H59="非个人房产","",4)</f>
        <v>4</v>
      </c>
      <c r="K55" s="3236" t="str">
        <f>IF(H59="非个人房产","——","个人所得税")</f>
        <v>个人所得税</v>
      </c>
      <c r="L55" s="3236"/>
      <c r="M55" s="2754">
        <f ca="1">D59</f>
        <v>40</v>
      </c>
      <c r="N55" s="2228" t="str">
        <f>E59</f>
        <v>差额计税</v>
      </c>
      <c r="O55" s="2755">
        <f>F59</f>
        <v>0.01</v>
      </c>
    </row>
    <row r="56" spans="1:35" ht="24.75">
      <c r="A56" s="3183" t="s">
        <v>2049</v>
      </c>
      <c r="B56" s="3184"/>
      <c r="C56" s="3184"/>
      <c r="D56" s="2547">
        <f ca="1">IF(H56="个人住宅",D57,D58)</f>
        <v>2357</v>
      </c>
      <c r="E56" s="2557" t="s">
        <v>2050</v>
      </c>
      <c r="F56" s="2780" t="str">
        <f>IF(H56="正常",F58,"免征")</f>
        <v>免征</v>
      </c>
      <c r="G56" s="2783" t="s">
        <v>2051</v>
      </c>
      <c r="H56" s="2784"/>
      <c r="I56" s="1994"/>
      <c r="J56" s="2749" t="str">
        <f>IF(项目基本情况!K6="上海银行",IF(J55="",4,J55+1),"")</f>
        <v/>
      </c>
      <c r="K56" s="3259" t="str">
        <f>IF(项目基本情况!K6="上海银行","其他处置费用","")</f>
        <v/>
      </c>
      <c r="L56" s="3260"/>
      <c r="M56" s="2751" t="str">
        <f>IF(项目基本情况!K6="上海银行",M69,"")</f>
        <v/>
      </c>
      <c r="N56" s="3259" t="str">
        <f>IF(项目基本情况!K6="上海银行","包含处置中涉及的律师、诉讼、拍卖、评估等费用","")</f>
        <v/>
      </c>
      <c r="O56" s="3262"/>
    </row>
    <row r="57" spans="1:35" ht="12.75">
      <c r="A57" s="2558" t="s">
        <v>2027</v>
      </c>
      <c r="B57" s="3194" t="s">
        <v>2052</v>
      </c>
      <c r="C57" s="3195"/>
      <c r="D57" s="1776">
        <v>0</v>
      </c>
      <c r="E57" s="330" t="s">
        <v>2029</v>
      </c>
      <c r="F57" s="308"/>
      <c r="G57" s="2781"/>
      <c r="H57" s="2785"/>
      <c r="I57" s="1994"/>
      <c r="J57" s="3236">
        <f>IF(AND(J55="",J56=""),4,IF(项目基本情况!K6="上海银行",结果表!J56+1,结果表!J55+1))</f>
        <v>5</v>
      </c>
      <c r="K57" s="3236" t="s">
        <v>2053</v>
      </c>
      <c r="L57" s="2756" t="s">
        <v>2054</v>
      </c>
      <c r="M57" s="2757"/>
      <c r="N57" s="2758">
        <f ca="1">SUMIF(M52:M56,"&lt;9e307")</f>
        <v>2399</v>
      </c>
      <c r="O57" s="2759"/>
      <c r="P57" s="2919">
        <f ca="1">N57/M49</f>
        <v>0.57696007696007701</v>
      </c>
    </row>
    <row r="58" spans="1:35" ht="24.75">
      <c r="A58" s="2558" t="s">
        <v>2038</v>
      </c>
      <c r="B58" s="3194" t="s">
        <v>2055</v>
      </c>
      <c r="C58" s="3168"/>
      <c r="D58" s="2547">
        <f ca="1">IF(H58="转让取得",C81,C97)</f>
        <v>2357</v>
      </c>
      <c r="E58" s="2557" t="s">
        <v>2050</v>
      </c>
      <c r="F58" s="308" t="s">
        <v>34</v>
      </c>
      <c r="G58" s="2781"/>
      <c r="H58" s="2784"/>
      <c r="I58" s="1994"/>
      <c r="J58" s="3236"/>
      <c r="K58" s="3236"/>
      <c r="L58" s="2756" t="s">
        <v>2056</v>
      </c>
      <c r="M58" s="2760"/>
      <c r="N58" s="2761" t="str">
        <f ca="1">NUMBERSTRING(INT(N57*10000),2)&amp;"元整"</f>
        <v>贰仟叁佰玖拾玖万元整</v>
      </c>
      <c r="O58" s="2762"/>
    </row>
    <row r="59" spans="1:35" ht="24.75" thickBot="1">
      <c r="A59" s="3239" t="s">
        <v>2057</v>
      </c>
      <c r="B59" s="3240"/>
      <c r="C59" s="3240"/>
      <c r="D59" s="2786">
        <f ca="1">IF(H59="非个人房产","——",IF(H59="个人住宅（满五唯一有凭证）",0,IF(H59="个人其他（无凭证）",ROUND(D45*F59,0),ROUND(C67*F59,0))))</f>
        <v>40</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2879</v>
      </c>
      <c r="J59" s="3237">
        <f>J57+1</f>
        <v>6</v>
      </c>
      <c r="K59" s="3236" t="s">
        <v>2058</v>
      </c>
      <c r="L59" s="2749" t="s">
        <v>2054</v>
      </c>
      <c r="M59" s="2763"/>
      <c r="N59" s="2764">
        <f ca="1">M49-N57</f>
        <v>1759</v>
      </c>
      <c r="O59" s="2765"/>
    </row>
    <row r="60" spans="1:35" ht="12" customHeight="1">
      <c r="A60" s="1995"/>
      <c r="B60" s="1933"/>
      <c r="C60" s="1933"/>
      <c r="D60" s="1933"/>
      <c r="E60" s="1764"/>
      <c r="F60" s="1994"/>
      <c r="G60" s="1994"/>
      <c r="H60" s="1996"/>
      <c r="I60" s="134"/>
      <c r="J60" s="3238"/>
      <c r="K60" s="3236"/>
      <c r="L60" s="2756" t="s">
        <v>2056</v>
      </c>
      <c r="M60" s="2760"/>
      <c r="N60" s="2761" t="str">
        <f ca="1">NUMBERSTRING(INT(N59*10000),2)&amp;"元整"</f>
        <v>壹仟柒佰伍拾玖万元整</v>
      </c>
      <c r="O60" s="2762"/>
    </row>
    <row r="61" spans="1:35" ht="13.5" thickBot="1">
      <c r="A61" s="3181" t="s">
        <v>2059</v>
      </c>
      <c r="B61" s="3181"/>
      <c r="C61" s="3181"/>
      <c r="D61" s="3181"/>
      <c r="E61" s="3181"/>
      <c r="F61" s="1994"/>
      <c r="G61" s="1994"/>
      <c r="H61" s="1996"/>
      <c r="I61" s="134"/>
      <c r="J61" s="2749">
        <f>J59+1</f>
        <v>7</v>
      </c>
      <c r="K61" s="3236" t="s">
        <v>2060</v>
      </c>
      <c r="L61" s="3236"/>
      <c r="M61" s="2766"/>
      <c r="N61" s="2767">
        <f ca="1">ROUND(N59*10000/'数据-汇总表'!E3,0)</f>
        <v>800</v>
      </c>
      <c r="O61" s="2768"/>
    </row>
    <row r="62" spans="1:35" ht="12.75">
      <c r="A62" s="3199" t="s">
        <v>2061</v>
      </c>
      <c r="B62" s="3200"/>
      <c r="C62" s="2209"/>
      <c r="D62" s="2209" t="s">
        <v>2062</v>
      </c>
      <c r="E62" s="171" t="s">
        <v>2063</v>
      </c>
      <c r="F62" s="1994"/>
      <c r="G62" s="1994"/>
      <c r="H62" s="1996"/>
      <c r="I62" s="134"/>
    </row>
    <row r="63" spans="1:35" ht="12.75">
      <c r="A63" s="178" t="s">
        <v>775</v>
      </c>
      <c r="B63" s="172" t="s">
        <v>2064</v>
      </c>
      <c r="C63" s="2790">
        <f ca="1">ROUND((C64+C65)/(1+'数据-取费表'!C42),0)</f>
        <v>3960</v>
      </c>
      <c r="D63" s="172"/>
      <c r="E63" s="173"/>
      <c r="F63" s="1994"/>
      <c r="G63" s="1994"/>
      <c r="H63" s="1996"/>
      <c r="I63" s="134"/>
      <c r="J63" s="3261" t="s">
        <v>2065</v>
      </c>
      <c r="K63" s="1502" t="s">
        <v>2066</v>
      </c>
      <c r="L63" s="1502">
        <f ca="1">IF(M49&gt;10000,M49*0.5%,IF(AND(M49&gt;1000,M49&lt;=10000),M49*1%,IF(AND(M49&gt;100,M49&lt;=1000),M49*3%,IF(AND(M49&gt;10,M49&lt;=100),M49*5%,M49*8%))))</f>
        <v>41.58</v>
      </c>
      <c r="M63" s="308">
        <f ca="1">ROUND(L63,1)</f>
        <v>41.6</v>
      </c>
      <c r="N63" s="2769"/>
      <c r="Z63" s="1938"/>
      <c r="AI63" s="1939"/>
    </row>
    <row r="64" spans="1:35" ht="14.25" customHeight="1">
      <c r="A64" s="174" t="s">
        <v>770</v>
      </c>
      <c r="B64" s="175" t="s">
        <v>2067</v>
      </c>
      <c r="C64" s="2791">
        <f ca="1">D45</f>
        <v>4158</v>
      </c>
      <c r="D64" s="175" t="s">
        <v>32</v>
      </c>
      <c r="E64" s="177"/>
      <c r="F64" s="1994"/>
      <c r="G64" s="1994"/>
      <c r="H64" s="1996"/>
      <c r="I64" s="134"/>
      <c r="J64" s="3261"/>
      <c r="K64" s="1502" t="s">
        <v>2068</v>
      </c>
      <c r="L64" s="1502">
        <f ca="1">IF(M49&gt;2000,M49*0.5%,IF(AND(M49&gt;1000,M49&lt;=2000),M49*0.6%,IF(AND(M49&gt;500,M49&lt;=1000),M49*0.7%,IF(AND(M49&gt;200,M49&lt;=500),M49*0.8%,IF(AND(M49&gt;100,M49&lt;=200),M49*0.9%,IF(AND(M49&gt;50,M49&lt;=100),M49*1%,IF(AND(M49&gt;20,M49&lt;=50),M49*1.5%,IF(AND(M49&gt;10,M49&lt;=20),M49*2%,IF(AND(M49&gt;1,M49&lt;=10),M49*2.5%)))))))))</f>
        <v>20.79</v>
      </c>
      <c r="M64" s="308">
        <f t="shared" ref="M64:M65" ca="1" si="1">ROUND(L64,1)</f>
        <v>20.8</v>
      </c>
      <c r="N64" s="2770" t="s">
        <v>2069</v>
      </c>
      <c r="Z64" s="1938"/>
      <c r="AI64" s="1939"/>
    </row>
    <row r="65" spans="1:35" ht="14.25" customHeight="1">
      <c r="A65" s="174" t="s">
        <v>771</v>
      </c>
      <c r="B65" s="175" t="s">
        <v>2070</v>
      </c>
      <c r="C65" s="2792"/>
      <c r="D65" s="175"/>
      <c r="E65" s="177"/>
      <c r="F65" s="1994"/>
      <c r="G65" s="1994"/>
      <c r="H65" s="1996"/>
      <c r="I65" s="134"/>
      <c r="J65" s="3261"/>
      <c r="K65" s="1502" t="s">
        <v>2071</v>
      </c>
      <c r="L65" s="1502">
        <f ca="1">IF(M49&gt;1000,M49*0.1%,IF(AND(M49&gt;500,M49&lt;=1000),M49*0.5%,IF(AND(M49&gt;50,M49&lt;=500),M49*1%,IF(AND(M49&gt;1,M49&lt;=50),M49*1.5%))))</f>
        <v>4.1580000000000004</v>
      </c>
      <c r="M65" s="308">
        <f t="shared" ca="1" si="1"/>
        <v>4.2</v>
      </c>
      <c r="N65" s="2770" t="s">
        <v>2069</v>
      </c>
      <c r="Z65" s="1938"/>
      <c r="AI65" s="1939"/>
    </row>
    <row r="66" spans="1:35" ht="14.25" customHeight="1">
      <c r="A66" s="178" t="s">
        <v>772</v>
      </c>
      <c r="B66" s="179" t="s">
        <v>2072</v>
      </c>
      <c r="C66" s="2793"/>
      <c r="D66" s="179" t="s">
        <v>32</v>
      </c>
      <c r="E66" s="1510" t="s">
        <v>1337</v>
      </c>
      <c r="F66" s="1994"/>
      <c r="G66" s="1994"/>
      <c r="H66" s="1996"/>
      <c r="I66" s="134"/>
      <c r="J66" s="3261"/>
      <c r="K66" s="1502" t="s">
        <v>2073</v>
      </c>
      <c r="L66" s="1502">
        <f ca="1">M49*0.5%</f>
        <v>20.79</v>
      </c>
      <c r="M66" s="308">
        <f ca="1">IF(L66&gt;0.5,0.5,ROUND(L66,0))</f>
        <v>0.5</v>
      </c>
      <c r="N66" s="2770" t="s">
        <v>2074</v>
      </c>
      <c r="Z66" s="1938"/>
      <c r="AI66" s="1939"/>
    </row>
    <row r="67" spans="1:35" ht="14.25" customHeight="1">
      <c r="A67" s="178" t="s">
        <v>773</v>
      </c>
      <c r="B67" s="179" t="s">
        <v>2075</v>
      </c>
      <c r="C67" s="2794">
        <f ca="1">C63-C66</f>
        <v>3960</v>
      </c>
      <c r="D67" s="175" t="s">
        <v>32</v>
      </c>
      <c r="E67" s="177"/>
      <c r="F67" s="1994"/>
      <c r="G67" s="1994"/>
      <c r="H67" s="1996"/>
      <c r="I67" s="134"/>
      <c r="J67" s="3261"/>
      <c r="K67" s="1502" t="s">
        <v>2076</v>
      </c>
      <c r="L67" s="150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9"/>
      <c r="Z67" s="1938"/>
      <c r="AI67" s="1939"/>
    </row>
    <row r="68" spans="1:35" ht="14.25" customHeight="1" thickBot="1">
      <c r="A68" s="181" t="s">
        <v>774</v>
      </c>
      <c r="B68" s="182" t="s">
        <v>2077</v>
      </c>
      <c r="C68" s="2795">
        <f ca="1">IF(C67&lt;=0,0,ROUND(C67*D68,0))</f>
        <v>218</v>
      </c>
      <c r="D68" s="2796">
        <f>'数据-取费表'!B41</f>
        <v>5.5000000000000007E-2</v>
      </c>
      <c r="E68" s="184"/>
      <c r="F68" s="1994"/>
      <c r="G68" s="1994"/>
      <c r="H68" s="1996"/>
      <c r="I68" s="134"/>
      <c r="J68" s="3261"/>
      <c r="K68" s="1502" t="s">
        <v>2078</v>
      </c>
      <c r="L68" s="1502">
        <f ca="1">IF(M49&gt;10000,M49*0.5%,IF(AND(M49&gt;5000,M49&lt;=10000),M49*1%,IF(AND(M49&gt;1000,M49&lt;=5000),M49*2%,IF(AND(M49&gt;200,M49&lt;=1000),M49*3%,M49*5%))))</f>
        <v>83.16</v>
      </c>
      <c r="M68" s="308">
        <f ca="1">ROUND(L68,1)</f>
        <v>83.2</v>
      </c>
      <c r="N68" s="2769"/>
      <c r="Z68" s="1938"/>
      <c r="AI68" s="1939"/>
    </row>
    <row r="69" spans="1:35" s="1958" customFormat="1" ht="16.5" customHeight="1">
      <c r="A69" s="1997"/>
      <c r="B69" s="1998"/>
      <c r="C69" s="1999"/>
      <c r="D69" s="2000"/>
      <c r="E69" s="2001"/>
      <c r="F69" s="1764"/>
      <c r="G69" s="1764"/>
      <c r="H69" s="1763"/>
      <c r="I69" s="1933"/>
      <c r="J69" s="3261"/>
      <c r="K69" s="1502" t="s">
        <v>2079</v>
      </c>
      <c r="L69" s="1502"/>
      <c r="M69" s="308">
        <f ca="1">ROUND(SUM(M63:M68),0)</f>
        <v>153</v>
      </c>
      <c r="N69" s="2771">
        <f ca="1">M69/M49</f>
        <v>3.67965367965368E-2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0" t="s">
        <v>2080</v>
      </c>
      <c r="B70" s="3221"/>
      <c r="C70" s="3221"/>
      <c r="D70" s="3221"/>
      <c r="E70" s="3221"/>
      <c r="F70" s="3221"/>
      <c r="G70" s="3221"/>
      <c r="H70" s="3221"/>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99" t="s">
        <v>2061</v>
      </c>
      <c r="B71" s="3200"/>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3960</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20</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194" t="s">
        <v>2088</v>
      </c>
      <c r="F76" s="3168"/>
      <c r="G76" s="3168"/>
      <c r="H76" s="321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4.0500000000000001E-2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20</v>
      </c>
      <c r="D78" s="2803">
        <f>'数据-取费表'!B43</f>
        <v>5.000000000000001E-3</v>
      </c>
      <c r="E78" s="3178" t="s">
        <v>2092</v>
      </c>
      <c r="F78" s="3179"/>
      <c r="G78" s="3179"/>
      <c r="H78" s="3188"/>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3940</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197</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2357</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0" t="s">
        <v>2096</v>
      </c>
      <c r="B83" s="3221"/>
      <c r="C83" s="3221"/>
      <c r="D83" s="3221"/>
      <c r="E83" s="3221"/>
      <c r="F83" s="3221"/>
      <c r="G83" s="3221"/>
      <c r="H83" s="322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99" t="s">
        <v>2061</v>
      </c>
      <c r="B84" s="3200"/>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3960</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20</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4.0500000000000001E-2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63" t="s">
        <v>2871</v>
      </c>
      <c r="H90" s="3264"/>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78" t="s">
        <v>2105</v>
      </c>
      <c r="F91" s="3179"/>
      <c r="G91" s="317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78" t="s">
        <v>2108</v>
      </c>
      <c r="F92" s="3179"/>
      <c r="G92" s="3179"/>
      <c r="H92" s="3188"/>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20</v>
      </c>
      <c r="D93" s="2803">
        <f>'数据-取费表'!B43</f>
        <v>5.000000000000001E-3</v>
      </c>
      <c r="E93" s="3178" t="s">
        <v>2092</v>
      </c>
      <c r="F93" s="3179"/>
      <c r="G93" s="3179"/>
      <c r="H93" s="3188"/>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189" t="s">
        <v>2112</v>
      </c>
      <c r="F94" s="3190"/>
      <c r="G94" s="3190"/>
      <c r="H94" s="3191"/>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3940</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197</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2357</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4"/>
    </row>
    <row r="99" spans="1:35" ht="21.75" customHeight="1" thickBot="1">
      <c r="A99" s="1986" t="s">
        <v>2113</v>
      </c>
      <c r="B99" s="1933"/>
      <c r="C99" s="1933"/>
      <c r="D99" s="1933"/>
      <c r="E99" s="1764"/>
      <c r="F99" s="1764"/>
      <c r="G99" s="1764"/>
      <c r="H99" s="1763"/>
      <c r="I99" s="134"/>
    </row>
    <row r="100" spans="1:35" ht="18.75" customHeight="1">
      <c r="A100" s="3162" t="s">
        <v>2114</v>
      </c>
      <c r="B100" s="3163"/>
      <c r="C100" s="3163"/>
      <c r="D100" s="3180"/>
      <c r="E100" s="3163" t="s">
        <v>2115</v>
      </c>
      <c r="F100" s="3163"/>
      <c r="G100" s="3163"/>
      <c r="H100" s="3180"/>
      <c r="I100" s="134"/>
    </row>
    <row r="101" spans="1:35" ht="18.75" customHeight="1">
      <c r="A101" s="3244" t="s">
        <v>2116</v>
      </c>
      <c r="B101" s="3245"/>
      <c r="C101" s="2811" t="str">
        <f>C4</f>
        <v>成本法</v>
      </c>
      <c r="D101" s="2812" t="str">
        <f>D4</f>
        <v>收益法（汇总）</v>
      </c>
      <c r="E101" s="3258" t="s">
        <v>2117</v>
      </c>
      <c r="F101" s="3212"/>
      <c r="G101" s="2013" t="s">
        <v>2118</v>
      </c>
      <c r="H101" s="2821">
        <f ca="1">H118</f>
        <v>4158</v>
      </c>
      <c r="I101" s="134"/>
    </row>
    <row r="102" spans="1:35" ht="18.75" customHeight="1">
      <c r="A102" s="3214" t="s">
        <v>2119</v>
      </c>
      <c r="B102" s="2810" t="s">
        <v>2118</v>
      </c>
      <c r="C102" s="2811">
        <f ca="1">C19</f>
        <v>3702</v>
      </c>
      <c r="D102" s="2812">
        <f ca="1">D19</f>
        <v>4614</v>
      </c>
      <c r="E102" s="3258"/>
      <c r="F102" s="3212"/>
      <c r="G102" s="2013" t="s">
        <v>2120</v>
      </c>
      <c r="H102" s="2781">
        <f ca="1">I118</f>
        <v>1892</v>
      </c>
      <c r="I102" s="134"/>
    </row>
    <row r="103" spans="1:35" ht="42.75" customHeight="1">
      <c r="A103" s="3214"/>
      <c r="B103" s="2810" t="s">
        <v>2120</v>
      </c>
      <c r="C103" s="2813">
        <f ca="1">C20</f>
        <v>1685</v>
      </c>
      <c r="D103" s="2814">
        <f ca="1">D20</f>
        <v>2100</v>
      </c>
      <c r="E103" s="3252" t="s">
        <v>2121</v>
      </c>
      <c r="F103" s="3253"/>
      <c r="G103" s="2014" t="s">
        <v>2122</v>
      </c>
      <c r="H103" s="2821">
        <f>IF(D36="正常操作",H104+H105+H106,H105+H106)</f>
        <v>0</v>
      </c>
      <c r="I103" s="134"/>
    </row>
    <row r="104" spans="1:35" ht="18.75" customHeight="1">
      <c r="A104" s="3214" t="s">
        <v>2123</v>
      </c>
      <c r="B104" s="2815" t="s">
        <v>2118</v>
      </c>
      <c r="C104" s="2816">
        <f ca="1">H118</f>
        <v>4158</v>
      </c>
      <c r="D104" s="2817"/>
      <c r="E104" s="1860" t="s">
        <v>2124</v>
      </c>
      <c r="F104" s="1852"/>
      <c r="G104" s="2014" t="s">
        <v>2122</v>
      </c>
      <c r="H104" s="2822">
        <f>IF(D36="同一抵押权人同一抵押物续贷",C36&amp;"（续贷，未扣减，详见特别提示）",C36)</f>
        <v>0</v>
      </c>
      <c r="I104" s="134"/>
    </row>
    <row r="105" spans="1:35" ht="18.75" customHeight="1" thickBot="1">
      <c r="A105" s="3215"/>
      <c r="B105" s="2818" t="s">
        <v>2120</v>
      </c>
      <c r="C105" s="2819">
        <f ca="1">I118</f>
        <v>1892</v>
      </c>
      <c r="D105" s="2820"/>
      <c r="E105" s="1860" t="s">
        <v>2125</v>
      </c>
      <c r="F105" s="1852"/>
      <c r="G105" s="2014" t="s">
        <v>2122</v>
      </c>
      <c r="H105" s="2823">
        <f>C37</f>
        <v>0</v>
      </c>
      <c r="I105" s="134"/>
    </row>
    <row r="106" spans="1:35" ht="18.75" customHeight="1">
      <c r="A106" s="1933" t="s">
        <v>2126</v>
      </c>
      <c r="B106" s="1933"/>
      <c r="C106" s="1933"/>
      <c r="D106" s="1933"/>
      <c r="E106" s="2015" t="s">
        <v>2127</v>
      </c>
      <c r="F106" s="1852"/>
      <c r="G106" s="2014" t="s">
        <v>2122</v>
      </c>
      <c r="H106" s="2823">
        <f>C38</f>
        <v>0</v>
      </c>
      <c r="I106" s="134"/>
    </row>
    <row r="107" spans="1:35" ht="18.75" customHeight="1">
      <c r="A107" s="134"/>
      <c r="B107" s="134"/>
      <c r="C107" s="134"/>
      <c r="D107" s="134"/>
      <c r="E107" s="3211" t="str">
        <f>IF(项目基本情况!E8="已注销","——","3.房地产抵押价值")</f>
        <v>3.房地产抵押价值</v>
      </c>
      <c r="F107" s="3212"/>
      <c r="G107" s="2013" t="s">
        <v>2118</v>
      </c>
      <c r="H107" s="2821">
        <f ca="1">IF(E107="——","——",H101-H103)</f>
        <v>4158</v>
      </c>
      <c r="I107" s="134"/>
    </row>
    <row r="108" spans="1:35" ht="18.75" customHeight="1">
      <c r="A108" s="134"/>
      <c r="B108" s="134"/>
      <c r="C108" s="134"/>
      <c r="D108" s="134"/>
      <c r="E108" s="3211"/>
      <c r="F108" s="3212"/>
      <c r="G108" s="2013" t="s">
        <v>2120</v>
      </c>
      <c r="H108" s="2781">
        <f ca="1">ROUND(H107*10000/'数据-汇总表'!E3,0)</f>
        <v>1892</v>
      </c>
      <c r="I108" s="134"/>
    </row>
    <row r="109" spans="1:35" ht="18.75" customHeight="1">
      <c r="A109" s="134"/>
      <c r="B109" s="134"/>
      <c r="C109" s="134"/>
      <c r="D109" s="134"/>
      <c r="E109" s="3211" t="str">
        <f>IF(项目基本情况!E8="已注销及未注销","4.抵押担保权已注销时的房地产抵押价值",IF(项目基本情况!E8="已注销","3.抵押担保权已注销时的房地产抵押价值","——"))</f>
        <v>——</v>
      </c>
      <c r="F109" s="3212"/>
      <c r="G109" s="2013" t="s">
        <v>2118</v>
      </c>
      <c r="H109" s="2824" t="str">
        <f>IF(E109="——","——",H101-H105-H106)</f>
        <v>——</v>
      </c>
      <c r="I109" s="134"/>
    </row>
    <row r="110" spans="1:35" ht="18.75" customHeight="1">
      <c r="A110" s="134"/>
      <c r="B110" s="134"/>
      <c r="C110" s="134"/>
      <c r="D110" s="134"/>
      <c r="E110" s="3211"/>
      <c r="F110" s="3212"/>
      <c r="G110" s="2013" t="s">
        <v>2120</v>
      </c>
      <c r="H110" s="2781" t="str">
        <f>IF(H109="——","——",ROUND(H109*10000/'数据-汇总表'!E3,0))</f>
        <v>——</v>
      </c>
      <c r="I110" s="134"/>
    </row>
    <row r="111" spans="1:35" ht="18.75" customHeight="1">
      <c r="A111" s="134"/>
      <c r="B111" s="134"/>
      <c r="C111" s="134"/>
      <c r="D111" s="134"/>
      <c r="E111" s="3246" t="str">
        <f>IF(项目基本情况!E9="抵押净值",IF(OR(项目基本情况!E8="已注销",项目基本情况!E8="房地产抵押价值"),"4.抵押净值","5.抵押净值"),"——")</f>
        <v>——</v>
      </c>
      <c r="F111" s="3213"/>
      <c r="G111" s="2013" t="s">
        <v>2118</v>
      </c>
      <c r="H111" s="2821" t="str">
        <f>IF(E111="——","——",N59)</f>
        <v>——</v>
      </c>
      <c r="I111" s="134"/>
    </row>
    <row r="112" spans="1:35" ht="18.75" customHeight="1" thickBot="1">
      <c r="A112" s="134"/>
      <c r="B112" s="134"/>
      <c r="C112" s="134"/>
      <c r="D112" s="134"/>
      <c r="E112" s="3247"/>
      <c r="F112" s="3248"/>
      <c r="G112" s="2016" t="s">
        <v>2120</v>
      </c>
      <c r="H112" s="2825" t="str">
        <f>IF(E111="——","——",N61)</f>
        <v>——</v>
      </c>
      <c r="I112" s="134"/>
    </row>
    <row r="113" spans="1:27" ht="18.75" customHeight="1">
      <c r="A113" s="134"/>
      <c r="B113" s="134"/>
      <c r="C113" s="134"/>
      <c r="D113" s="134"/>
      <c r="E113" s="3216" t="s">
        <v>2126</v>
      </c>
      <c r="F113" s="3216"/>
      <c r="G113" s="3216"/>
      <c r="H113" s="3216"/>
      <c r="I113" s="134"/>
    </row>
    <row r="114" spans="1:27" ht="3.75" customHeight="1">
      <c r="A114" s="1933"/>
      <c r="B114" s="1933"/>
      <c r="C114" s="1933"/>
      <c r="D114" s="1933"/>
      <c r="E114" s="1995"/>
      <c r="F114" s="1995"/>
      <c r="G114" s="1995"/>
      <c r="H114" s="1995"/>
      <c r="I114" s="1933"/>
    </row>
    <row r="115" spans="1:27" ht="18.75" customHeight="1">
      <c r="A115" s="3229" t="s">
        <v>2128</v>
      </c>
      <c r="B115" s="3230"/>
      <c r="C115" s="3230"/>
      <c r="D115" s="3230"/>
      <c r="E115" s="3230"/>
      <c r="F115" s="3230"/>
      <c r="G115" s="3230"/>
      <c r="H115" s="3230"/>
      <c r="I115" s="3231"/>
    </row>
    <row r="116" spans="1:27" ht="27" customHeight="1">
      <c r="A116" s="3182" t="s">
        <v>2129</v>
      </c>
      <c r="B116" s="3217" t="s">
        <v>2130</v>
      </c>
      <c r="C116" s="3217" t="s">
        <v>2131</v>
      </c>
      <c r="D116" s="3233" t="s">
        <v>2132</v>
      </c>
      <c r="E116" s="3234"/>
      <c r="F116" s="3225" t="s">
        <v>2133</v>
      </c>
      <c r="G116" s="3225"/>
      <c r="H116" s="3182" t="s">
        <v>2134</v>
      </c>
      <c r="I116" s="3182"/>
    </row>
    <row r="117" spans="1:27" ht="18.75" customHeight="1">
      <c r="A117" s="3182"/>
      <c r="B117" s="3218"/>
      <c r="C117" s="3218"/>
      <c r="D117" s="2552" t="s">
        <v>2135</v>
      </c>
      <c r="E117" s="2552" t="s">
        <v>2136</v>
      </c>
      <c r="F117" s="2552" t="s">
        <v>2135</v>
      </c>
      <c r="G117" s="2552" t="s">
        <v>2137</v>
      </c>
      <c r="H117" s="2552" t="s">
        <v>2135</v>
      </c>
      <c r="I117" s="2552" t="s">
        <v>2137</v>
      </c>
    </row>
    <row r="118" spans="1:27" ht="24.75" customHeight="1">
      <c r="A118" s="2826" t="str">
        <f>项目基本情况!S2</f>
        <v>房地产</v>
      </c>
      <c r="B118" s="2552">
        <f>M18</f>
        <v>21976.32</v>
      </c>
      <c r="C118" s="2552">
        <f>M19</f>
        <v>21890.49</v>
      </c>
      <c r="D118" s="2552">
        <f ca="1">ROUND(IF(D32="总价",C34,E118*B118/10000),0)</f>
        <v>674</v>
      </c>
      <c r="E118" s="2552">
        <f ca="1">ROUND(IF(C33="自定义",IF(D32="楼面单价",C34,D118*10000/B118),I118-G118),0)</f>
        <v>307</v>
      </c>
      <c r="F118" s="2552">
        <f ca="1">ROUND(IF(D32="总价",C35,G118*B118/10000),0)</f>
        <v>3484</v>
      </c>
      <c r="G118" s="2552">
        <f ca="1">ROUND(IF(D32="楼面单价",C35,F118*10000/B118),0)</f>
        <v>1585</v>
      </c>
      <c r="H118" s="2552">
        <f ca="1">ROUND(IF(D32="总价",C32,I118*B118/10000),0)</f>
        <v>4158</v>
      </c>
      <c r="I118" s="2552">
        <f ca="1">ROUND(IF(D32="楼面单价",C32,H118*10000/B118),0)</f>
        <v>1892</v>
      </c>
    </row>
    <row r="119" spans="1:27" ht="18.75" customHeight="1">
      <c r="A119" s="3182" t="s">
        <v>2138</v>
      </c>
      <c r="B119" s="3182"/>
      <c r="C119" s="3182"/>
      <c r="D119" s="3222" t="str">
        <f ca="1">NUMBERSTRING(INT(D118*10000),2)&amp;"元整"</f>
        <v>陆佰柒拾肆万元整</v>
      </c>
      <c r="E119" s="3224"/>
      <c r="F119" s="3222" t="str">
        <f ca="1">NUMBERSTRING(INT(F118*10000),2)&amp;"元整"</f>
        <v>叁仟肆佰捌拾肆万元整</v>
      </c>
      <c r="G119" s="3224"/>
      <c r="H119" s="3222" t="str">
        <f ca="1">NUMBERSTRING(INT(H118*10000),2)&amp;"元整"</f>
        <v>肆仟壹佰伍拾捌万元整</v>
      </c>
      <c r="I119" s="3224"/>
    </row>
    <row r="120" spans="1:27" ht="18.75" customHeight="1">
      <c r="A120" s="3249" t="str">
        <f>IF(项目基本情况!B9="房地产市场价值","",MID(E103,3,LEN(E103)-2))</f>
        <v>估价师知悉的法定优先受偿款</v>
      </c>
      <c r="B120" s="3250"/>
      <c r="C120" s="3251"/>
      <c r="D120" s="3249">
        <f>H103</f>
        <v>0</v>
      </c>
      <c r="E120" s="3250"/>
      <c r="F120" s="3250"/>
      <c r="G120" s="3250"/>
      <c r="H120" s="3250"/>
      <c r="I120" s="3251"/>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6" t="s">
        <v>2138</v>
      </c>
      <c r="B121" s="3227"/>
      <c r="C121" s="3228"/>
      <c r="D121" s="3222" t="str">
        <f>IF(D120=0,"零元整",NUMBERSTRING(INT(D120*10000),2)&amp;"元整")</f>
        <v>零元整</v>
      </c>
      <c r="E121" s="3223"/>
      <c r="F121" s="3223"/>
      <c r="G121" s="3223"/>
      <c r="H121" s="3223"/>
      <c r="I121" s="3224"/>
      <c r="AA121" s="734"/>
    </row>
    <row r="122" spans="1:27" ht="18.75" customHeight="1">
      <c r="A122" s="3213" t="str">
        <f>IF(项目基本情况!B9="房地产市场价值","",MID(E107,3,LEN(E107)-2))</f>
        <v>房地产抵押价值</v>
      </c>
      <c r="B122" s="3213"/>
      <c r="C122" s="3213"/>
      <c r="D122" s="3249">
        <f ca="1">H107</f>
        <v>4158</v>
      </c>
      <c r="E122" s="3250"/>
      <c r="F122" s="3250"/>
      <c r="G122" s="3250"/>
      <c r="H122" s="3250"/>
      <c r="I122" s="3251"/>
      <c r="AA122" s="734"/>
    </row>
    <row r="123" spans="1:27" ht="18.75" customHeight="1">
      <c r="A123" s="3182" t="s">
        <v>2138</v>
      </c>
      <c r="B123" s="3182"/>
      <c r="C123" s="3182"/>
      <c r="D123" s="3222" t="str">
        <f ca="1">NUMBERSTRING(INT(D122*10000),2)&amp;"元整"</f>
        <v>肆仟壹佰伍拾捌万元整</v>
      </c>
      <c r="E123" s="3223"/>
      <c r="F123" s="3223"/>
      <c r="G123" s="3223"/>
      <c r="H123" s="3223"/>
      <c r="I123" s="3224"/>
      <c r="AA123" s="734"/>
    </row>
    <row r="124" spans="1:27" ht="18.75" customHeight="1">
      <c r="A124" s="3213" t="str">
        <f>IF(项目基本情况!B9="房地产市场价值","",MID(E109,3,LEN(E109)-2))</f>
        <v/>
      </c>
      <c r="B124" s="3213"/>
      <c r="C124" s="3213"/>
      <c r="D124" s="3249" t="str">
        <f>H109</f>
        <v>——</v>
      </c>
      <c r="E124" s="3250"/>
      <c r="F124" s="3250"/>
      <c r="G124" s="3250"/>
      <c r="H124" s="3250"/>
      <c r="I124" s="3251"/>
      <c r="AA124" s="734"/>
    </row>
    <row r="125" spans="1:27" ht="18.75" customHeight="1">
      <c r="A125" s="3182" t="s">
        <v>2138</v>
      </c>
      <c r="B125" s="3182"/>
      <c r="C125" s="3182"/>
      <c r="D125" s="3222" t="e">
        <f>NUMBERSTRING(INT(D124*10000),2)&amp;"元整"</f>
        <v>#VALUE!</v>
      </c>
      <c r="E125" s="3223"/>
      <c r="F125" s="3223"/>
      <c r="G125" s="3223"/>
      <c r="H125" s="3223"/>
      <c r="I125" s="3224"/>
      <c r="AA125" s="734"/>
    </row>
    <row r="126" spans="1:27" ht="18.75" customHeight="1">
      <c r="A126" s="3213" t="str">
        <f>IF(项目基本情况!B9="房地产市场价值","",MID(E111,3,LEN(E111)-2))</f>
        <v/>
      </c>
      <c r="B126" s="3213"/>
      <c r="C126" s="3213"/>
      <c r="D126" s="3249" t="str">
        <f>H111</f>
        <v>——</v>
      </c>
      <c r="E126" s="3250"/>
      <c r="F126" s="3250"/>
      <c r="G126" s="3250"/>
      <c r="H126" s="3250"/>
      <c r="I126" s="3251"/>
      <c r="AA126" s="734"/>
    </row>
    <row r="127" spans="1:27" ht="18.75" customHeight="1">
      <c r="A127" s="3182" t="s">
        <v>2138</v>
      </c>
      <c r="B127" s="3182"/>
      <c r="C127" s="3182"/>
      <c r="D127" s="3222" t="e">
        <f>NUMBERSTRING(INT(D126*10000),2)&amp;"元整"</f>
        <v>#VALUE!</v>
      </c>
      <c r="E127" s="3223"/>
      <c r="F127" s="3223"/>
      <c r="G127" s="3223"/>
      <c r="H127" s="3223"/>
      <c r="I127" s="3224"/>
      <c r="AA127" s="734"/>
    </row>
    <row r="128" spans="1:27" ht="21.75" customHeight="1">
      <c r="A128" s="3232" t="s">
        <v>2139</v>
      </c>
      <c r="B128" s="3232"/>
      <c r="C128" s="3232"/>
      <c r="D128" s="3232"/>
      <c r="E128" s="3232"/>
      <c r="F128" s="3232"/>
      <c r="G128" s="3232"/>
      <c r="H128" s="3232"/>
      <c r="I128" s="3232"/>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6" t="str">
        <f>项目基本情况!B1</f>
        <v>房地产抵押价值预评估</v>
      </c>
      <c r="C37" s="3076"/>
      <c r="D37" s="3076"/>
      <c r="E37" s="3076"/>
      <c r="F37" s="3076"/>
      <c r="G37" s="3076"/>
      <c r="H37" s="3076"/>
      <c r="I37" s="3076"/>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8">
        <f>MATCH(B1,'数据-取费表'!A6:A16,0)+5</f>
        <v>9</v>
      </c>
    </row>
    <row r="2" spans="1:9" s="206" customFormat="1" ht="18" customHeight="1">
      <c r="A2" s="207" t="s">
        <v>2148</v>
      </c>
      <c r="B2" s="208">
        <f ca="1">IF(D2="——",C52,C52-E2)</f>
        <v>3702</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1685</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508.97406499999994</v>
      </c>
      <c r="D5" s="217" t="s">
        <v>2155</v>
      </c>
      <c r="E5" s="218" t="s">
        <v>2156</v>
      </c>
      <c r="F5" s="218" t="s">
        <v>2157</v>
      </c>
      <c r="G5" s="219"/>
    </row>
    <row r="6" spans="1:9" s="220" customFormat="1" ht="13.5" customHeight="1">
      <c r="A6" s="886" t="s">
        <v>2158</v>
      </c>
      <c r="B6" s="221" t="s">
        <v>2159</v>
      </c>
      <c r="C6" s="222">
        <f>'数据-汇总表'!F27*185/10000</f>
        <v>404.97406499999994</v>
      </c>
      <c r="D6" s="223"/>
      <c r="E6" s="224"/>
      <c r="F6" s="224"/>
      <c r="G6" s="225"/>
    </row>
    <row r="7" spans="1:9" s="220" customFormat="1" ht="13.5" customHeight="1">
      <c r="A7" s="886" t="s">
        <v>2160</v>
      </c>
      <c r="B7" s="221" t="s">
        <v>2161</v>
      </c>
      <c r="C7" s="226">
        <f>ROUND(C6*F7,0)</f>
        <v>16</v>
      </c>
      <c r="D7" s="226"/>
      <c r="E7" s="224"/>
      <c r="F7" s="227">
        <f>IF(项目基本情况!B8="出让",0,'数据-取费表'!B48+'数据-取费表'!B49)</f>
        <v>4.0500000000000001E-2</v>
      </c>
      <c r="G7" s="225"/>
    </row>
    <row r="8" spans="1:9" s="229" customFormat="1">
      <c r="A8" s="886" t="s">
        <v>2162</v>
      </c>
      <c r="B8" s="221" t="s">
        <v>2163</v>
      </c>
      <c r="C8" s="226">
        <f>IF(G8="已包含在土地购买价格中","0",IF(B1="",'数据-取费表'!B29,IF(G9="全部缴纳",C9+C10,H9)))</f>
        <v>88</v>
      </c>
      <c r="D8" s="228"/>
      <c r="E8" s="226"/>
      <c r="F8" s="227"/>
      <c r="G8" s="2042" t="s">
        <v>3307</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40</v>
      </c>
      <c r="F9" s="227"/>
      <c r="G9" s="2043" t="s">
        <v>3308</v>
      </c>
      <c r="H9" s="1299"/>
      <c r="I9" s="2044" t="s">
        <v>2165</v>
      </c>
    </row>
    <row r="10" spans="1:9" s="220" customFormat="1" ht="13.5" customHeight="1">
      <c r="A10" s="887" t="s">
        <v>801</v>
      </c>
      <c r="B10" s="230" t="s">
        <v>2166</v>
      </c>
      <c r="C10" s="231">
        <f ca="1">ROUND(D10*E10/10000,0)</f>
        <v>88</v>
      </c>
      <c r="D10" s="954">
        <f ca="1">IF(B1="",'数据-汇总表'!E6,IF(INDIRECT("'数据-取费表'!c"&amp;$G$1)="住宅",INDIRECT("'数据-取费表'!s"&amp;$G$1),INDIRECT("'数据-取费表'!k"&amp;$G$1)+INDIRECT("'数据-取费表'!s"&amp;$G$1)))</f>
        <v>21976.32</v>
      </c>
      <c r="E10" s="231">
        <f>'数据-取费表'!B28</f>
        <v>40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21976.32</v>
      </c>
      <c r="E19" s="217">
        <f>'数据-取费表'!B31</f>
        <v>150</v>
      </c>
      <c r="F19" s="237"/>
      <c r="G19" s="2042" t="s">
        <v>3309</v>
      </c>
    </row>
    <row r="20" spans="1:7" s="220" customFormat="1" ht="13.5" customHeight="1">
      <c r="A20" s="261" t="s">
        <v>2179</v>
      </c>
      <c r="B20" s="216" t="s">
        <v>2180</v>
      </c>
      <c r="C20" s="238">
        <f>ROUND((C5+C19)*F20,0)</f>
        <v>5</v>
      </c>
      <c r="D20" s="238"/>
      <c r="E20" s="238"/>
      <c r="F20" s="239">
        <f>'数据-取费表'!B37</f>
        <v>0.01</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22</v>
      </c>
      <c r="D22" s="241">
        <f ca="1">C26</f>
        <v>2.0000000000000001E-4</v>
      </c>
      <c r="E22" s="242" t="s">
        <v>2184</v>
      </c>
      <c r="F22" s="243">
        <f ca="1">'数据-取费表'!B40</f>
        <v>4.3499999999999997E-2</v>
      </c>
      <c r="G22" s="240" t="str">
        <f>IF('数据-取费表'!B22&lt;=1,"单利计息","复利计息")</f>
        <v>单利计息</v>
      </c>
    </row>
    <row r="23" spans="1:7" s="220" customFormat="1" ht="13.5" customHeight="1">
      <c r="A23" s="888" t="s">
        <v>2188</v>
      </c>
      <c r="B23" s="221" t="s">
        <v>2189</v>
      </c>
      <c r="C23" s="1265">
        <f ca="1">ROUND(IF('数据-取费表'!B22&lt;=1,C5*F22*'数据-取费表'!B23,C5*(POWER((1+F22),'数据-取费表'!B23)-1)),0)</f>
        <v>22</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2.0000000000000001E-4</v>
      </c>
      <c r="D26" s="244"/>
      <c r="E26" s="247"/>
      <c r="F26" s="245"/>
      <c r="G26" s="249"/>
    </row>
    <row r="27" spans="1:7" s="220" customFormat="1" ht="24.75">
      <c r="A27" s="261" t="s">
        <v>2198</v>
      </c>
      <c r="B27" s="250" t="s">
        <v>2199</v>
      </c>
      <c r="C27" s="251">
        <f ca="1">C28</f>
        <v>26</v>
      </c>
      <c r="D27" s="241">
        <f ca="1">C29</f>
        <v>5.0000000000000001E-4</v>
      </c>
      <c r="E27" s="242" t="s">
        <v>2200</v>
      </c>
      <c r="F27" s="252">
        <f ca="1">IF(B1="",'数据-取费表'!Q16,INDIRECT("'数据-取费表'!q"&amp;$G$1))</f>
        <v>0.05</v>
      </c>
      <c r="G27" s="253" t="s">
        <v>2201</v>
      </c>
    </row>
    <row r="28" spans="1:7" s="220" customFormat="1" ht="13.5" customHeight="1">
      <c r="A28" s="888" t="s">
        <v>791</v>
      </c>
      <c r="B28" s="254" t="s">
        <v>2202</v>
      </c>
      <c r="C28" s="255">
        <f ca="1">ROUND((C5+C19+C20)*F27*'数据-取费表'!B21/'数据-取费表'!B20,0)</f>
        <v>26</v>
      </c>
      <c r="D28" s="241"/>
      <c r="E28" s="242"/>
      <c r="F28" s="252"/>
      <c r="G28" s="253"/>
    </row>
    <row r="29" spans="1:7" s="220" customFormat="1" ht="13.5" customHeight="1">
      <c r="A29" s="888" t="s">
        <v>792</v>
      </c>
      <c r="B29" s="254" t="s">
        <v>2203</v>
      </c>
      <c r="C29" s="244">
        <f ca="1">ROUND(C21*F27*'数据-取费表'!B21/'数据-取费表'!B20,4)</f>
        <v>5.0000000000000001E-4</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600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2853</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2415</v>
      </c>
      <c r="D34" s="223"/>
      <c r="E34" s="226"/>
      <c r="F34" s="263">
        <f ca="1">IF('数据-取费表'!B24=0,1,IF(B1="",'数据-取费表'!N16,INDIRECT("'数据-取费表'!n"&amp;$G$1)))</f>
        <v>1</v>
      </c>
      <c r="G34" s="225" t="s">
        <v>2212</v>
      </c>
    </row>
    <row r="35" spans="1:7" ht="13.5" customHeight="1">
      <c r="A35" s="888" t="s">
        <v>796</v>
      </c>
      <c r="B35" s="221" t="s">
        <v>2213</v>
      </c>
      <c r="C35" s="226">
        <f ca="1">ROUND(C34*F35,0)</f>
        <v>72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330</v>
      </c>
      <c r="D37" s="223">
        <f ca="1">D19</f>
        <v>21976.32</v>
      </c>
      <c r="E37" s="255">
        <f>'数据-取费表'!B35</f>
        <v>150</v>
      </c>
      <c r="F37" s="265"/>
      <c r="G37" s="267" t="s">
        <v>2218</v>
      </c>
    </row>
    <row r="38" spans="1:7" ht="13.5" customHeight="1">
      <c r="A38" s="888" t="s">
        <v>799</v>
      </c>
      <c r="B38" s="221" t="s">
        <v>2219</v>
      </c>
      <c r="C38" s="226">
        <f ca="1">ROUND(C34*F38,0)</f>
        <v>36</v>
      </c>
      <c r="D38" s="226"/>
      <c r="E38" s="226"/>
      <c r="F38" s="265">
        <f>'数据-取费表'!B36</f>
        <v>1.4999999999999999E-2</v>
      </c>
      <c r="G38" s="225" t="s">
        <v>2214</v>
      </c>
    </row>
    <row r="39" spans="1:7" s="220" customFormat="1" ht="13.5" customHeight="1">
      <c r="A39" s="261" t="s">
        <v>2220</v>
      </c>
      <c r="B39" s="216" t="s">
        <v>2221</v>
      </c>
      <c r="C39" s="238">
        <f ca="1">ROUND(C33*F20,0)</f>
        <v>29</v>
      </c>
      <c r="D39" s="238"/>
      <c r="E39" s="238"/>
      <c r="F39" s="2535">
        <f>F20</f>
        <v>0.01</v>
      </c>
      <c r="G39" s="240" t="s">
        <v>2222</v>
      </c>
    </row>
    <row r="40" spans="1:7" s="220" customFormat="1" ht="13.5" customHeight="1">
      <c r="A40" s="261" t="s">
        <v>2223</v>
      </c>
      <c r="B40" s="216" t="s">
        <v>2224</v>
      </c>
      <c r="C40" s="1496">
        <f>F21</f>
        <v>0.01</v>
      </c>
      <c r="D40" s="242" t="s">
        <v>2225</v>
      </c>
      <c r="E40" s="238"/>
      <c r="F40" s="2535">
        <f>F21</f>
        <v>0.01</v>
      </c>
      <c r="G40" s="240" t="s">
        <v>2226</v>
      </c>
    </row>
    <row r="41" spans="1:7" s="220" customFormat="1" ht="13.5" customHeight="1">
      <c r="A41" s="261" t="s">
        <v>2227</v>
      </c>
      <c r="B41" s="216" t="s">
        <v>2228</v>
      </c>
      <c r="C41" s="238">
        <f ca="1">ROUND(SUM(C42:C43),0)</f>
        <v>63</v>
      </c>
      <c r="D41" s="241">
        <f ca="1">C44</f>
        <v>2.0000000000000001E-4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62</v>
      </c>
      <c r="D42" s="244"/>
      <c r="E42" s="244"/>
      <c r="F42" s="245"/>
      <c r="G42" s="3265" t="s">
        <v>2230</v>
      </c>
    </row>
    <row r="43" spans="1:7" ht="13.5" customHeight="1">
      <c r="A43" s="888" t="s">
        <v>792</v>
      </c>
      <c r="B43" s="221" t="s">
        <v>2231</v>
      </c>
      <c r="C43" s="244">
        <f ca="1">ROUND(IF('数据-取费表'!B22&lt;=1,C39*F22*'数据-取费表'!B21/2,C39*(POWER((1+F22),'数据-取费表'!B21/2)-1)),0)</f>
        <v>1</v>
      </c>
      <c r="D43" s="244"/>
      <c r="E43" s="244"/>
      <c r="F43" s="245"/>
      <c r="G43" s="3266"/>
    </row>
    <row r="44" spans="1:7" ht="13.5" customHeight="1">
      <c r="A44" s="888" t="s">
        <v>793</v>
      </c>
      <c r="B44" s="221" t="s">
        <v>2232</v>
      </c>
      <c r="C44" s="244">
        <f ca="1">ROUND(IF('数据-取费表'!B22&lt;=1,C40*F22*'数据-取费表'!B21/2,C40*(POWER((1+F22),'数据-取费表'!B21/2)-1)),4)</f>
        <v>2.0000000000000001E-4</v>
      </c>
      <c r="D44" s="244"/>
      <c r="E44" s="244"/>
      <c r="F44" s="245"/>
      <c r="G44" s="3267"/>
    </row>
    <row r="45" spans="1:7" s="220" customFormat="1" ht="13.5" customHeight="1">
      <c r="A45" s="261" t="s">
        <v>2233</v>
      </c>
      <c r="B45" s="250" t="s">
        <v>2199</v>
      </c>
      <c r="C45" s="251">
        <f ca="1">C46</f>
        <v>144</v>
      </c>
      <c r="D45" s="241">
        <f ca="1">C47</f>
        <v>5.0000000000000001E-4</v>
      </c>
      <c r="E45" s="242" t="s">
        <v>2225</v>
      </c>
      <c r="F45" s="2537">
        <f ca="1">F27</f>
        <v>0.05</v>
      </c>
      <c r="G45" s="253" t="s">
        <v>2234</v>
      </c>
    </row>
    <row r="46" spans="1:7" s="220" customFormat="1" ht="13.5" customHeight="1">
      <c r="A46" s="888" t="s">
        <v>791</v>
      </c>
      <c r="B46" s="254" t="s">
        <v>2235</v>
      </c>
      <c r="C46" s="255">
        <f ca="1">ROUND((C33+C39)*F27,0)</f>
        <v>144</v>
      </c>
      <c r="D46" s="269"/>
      <c r="E46" s="242"/>
      <c r="F46" s="252"/>
      <c r="G46" s="253"/>
    </row>
    <row r="47" spans="1:7" s="220" customFormat="1" ht="13.5" customHeight="1">
      <c r="A47" s="888" t="s">
        <v>792</v>
      </c>
      <c r="B47" s="254" t="s">
        <v>2236</v>
      </c>
      <c r="C47" s="244">
        <f ca="1">ROUND(C40*F27,4)</f>
        <v>5.0000000000000001E-4</v>
      </c>
      <c r="D47" s="269"/>
      <c r="E47" s="242"/>
      <c r="F47" s="252"/>
      <c r="G47" s="253"/>
    </row>
    <row r="48" spans="1:7" s="220" customFormat="1" ht="13.5" customHeight="1">
      <c r="A48" s="261" t="s">
        <v>2198</v>
      </c>
      <c r="B48" s="216" t="s">
        <v>2237</v>
      </c>
      <c r="C48" s="1496">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3297</v>
      </c>
      <c r="D49" s="238"/>
      <c r="E49" s="238"/>
      <c r="F49" s="270"/>
      <c r="G49" s="240" t="s">
        <v>2240</v>
      </c>
    </row>
    <row r="50" spans="1:7" s="264" customFormat="1" ht="24">
      <c r="A50" s="261" t="s">
        <v>2241</v>
      </c>
      <c r="B50" s="216" t="s">
        <v>2242</v>
      </c>
      <c r="C50" s="238"/>
      <c r="D50" s="238"/>
      <c r="E50" s="238"/>
      <c r="F50" s="270">
        <f>IF('数据-取费表'!B24=0,'数据-取费表'!N16,1)</f>
        <v>0.94099999999999995</v>
      </c>
      <c r="G50" s="253" t="s">
        <v>2243</v>
      </c>
    </row>
    <row r="51" spans="1:7" ht="16.5" customHeight="1">
      <c r="A51" s="261" t="s">
        <v>2244</v>
      </c>
      <c r="B51" s="216" t="s">
        <v>2245</v>
      </c>
      <c r="C51" s="238">
        <f ca="1">ROUND(C49*F50,0)</f>
        <v>3102</v>
      </c>
      <c r="D51" s="238"/>
      <c r="E51" s="238"/>
      <c r="F51" s="270"/>
      <c r="G51" s="240" t="s">
        <v>2246</v>
      </c>
    </row>
    <row r="52" spans="1:7" s="214" customFormat="1" ht="16.5" thickBot="1">
      <c r="A52" s="271" t="s">
        <v>2247</v>
      </c>
      <c r="B52" s="272"/>
      <c r="C52" s="273">
        <f ca="1">C31+C51</f>
        <v>3702</v>
      </c>
      <c r="D52" s="272"/>
      <c r="E52" s="272"/>
      <c r="F52" s="272"/>
      <c r="G52" s="274"/>
    </row>
    <row r="55" spans="1:7" ht="15">
      <c r="B55" s="276" t="s">
        <v>2248</v>
      </c>
      <c r="C55" s="277"/>
    </row>
    <row r="56" spans="1:7">
      <c r="B56" s="279" t="s">
        <v>1478</v>
      </c>
      <c r="C56" s="281">
        <f ca="1">1-C57</f>
        <v>0.16200000000000003</v>
      </c>
    </row>
    <row r="57" spans="1:7">
      <c r="B57" s="279" t="s">
        <v>1479</v>
      </c>
      <c r="C57" s="280">
        <f ca="1">ROUND(C51/C52,3)</f>
        <v>0.83799999999999997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72" t="s">
        <v>2467</v>
      </c>
      <c r="D4" s="3285"/>
      <c r="E4" s="3286" t="s">
        <v>2468</v>
      </c>
      <c r="F4" s="3287"/>
      <c r="G4" s="3272" t="s">
        <v>2469</v>
      </c>
      <c r="H4" s="3285"/>
      <c r="I4" s="3272" t="s">
        <v>2470</v>
      </c>
      <c r="J4" s="3285"/>
      <c r="K4" s="567" t="s">
        <v>2471</v>
      </c>
      <c r="L4" s="2944"/>
      <c r="M4" s="2945"/>
      <c r="N4" s="2945"/>
      <c r="O4" s="2945"/>
      <c r="P4" s="3288" t="s">
        <v>2472</v>
      </c>
      <c r="Q4" s="3289"/>
      <c r="R4" s="3294" t="s">
        <v>2468</v>
      </c>
      <c r="S4" s="3295"/>
      <c r="T4" s="3294" t="s">
        <v>2469</v>
      </c>
      <c r="U4" s="3295"/>
      <c r="V4" s="3281" t="s">
        <v>2470</v>
      </c>
      <c r="W4" s="3281"/>
      <c r="X4" s="1540"/>
      <c r="Y4" s="3294" t="s">
        <v>2472</v>
      </c>
      <c r="Z4" s="3295"/>
      <c r="AA4" s="3282" t="s">
        <v>2468</v>
      </c>
      <c r="AB4" s="3283" t="s">
        <v>2469</v>
      </c>
      <c r="AC4" s="3282" t="s">
        <v>2470</v>
      </c>
    </row>
    <row r="5" spans="1:30" ht="15">
      <c r="A5" s="364"/>
      <c r="B5" s="365"/>
      <c r="C5" s="3302" t="s">
        <v>2363</v>
      </c>
      <c r="D5" s="3303"/>
      <c r="E5" s="3309" t="s">
        <v>2364</v>
      </c>
      <c r="F5" s="3310"/>
      <c r="G5" s="3302" t="s">
        <v>2365</v>
      </c>
      <c r="H5" s="3303"/>
      <c r="I5" s="3302" t="s">
        <v>2366</v>
      </c>
      <c r="J5" s="3303"/>
      <c r="K5" s="567"/>
      <c r="L5" s="2944"/>
      <c r="M5" s="2945"/>
      <c r="N5" s="2945"/>
      <c r="O5" s="2945"/>
      <c r="P5" s="3290"/>
      <c r="Q5" s="3291"/>
      <c r="R5" s="3296"/>
      <c r="S5" s="3297"/>
      <c r="T5" s="3296"/>
      <c r="U5" s="3297"/>
      <c r="V5" s="3281"/>
      <c r="W5" s="3281"/>
      <c r="X5" s="1540"/>
      <c r="Y5" s="3296"/>
      <c r="Z5" s="3297"/>
      <c r="AA5" s="3283"/>
      <c r="AB5" s="3283"/>
      <c r="AC5" s="3283"/>
    </row>
    <row r="6" spans="1:30" ht="15.75" thickBot="1">
      <c r="A6" s="366"/>
      <c r="B6" s="367"/>
      <c r="C6" s="3300" t="s">
        <v>2367</v>
      </c>
      <c r="D6" s="3301"/>
      <c r="E6" s="3307" t="s">
        <v>2367</v>
      </c>
      <c r="F6" s="3308"/>
      <c r="G6" s="3300" t="s">
        <v>2367</v>
      </c>
      <c r="H6" s="3301"/>
      <c r="I6" s="3300" t="s">
        <v>2367</v>
      </c>
      <c r="J6" s="3301"/>
      <c r="K6" s="567" t="s">
        <v>2368</v>
      </c>
      <c r="L6" s="2944"/>
      <c r="M6" s="2945"/>
      <c r="N6" s="2945"/>
      <c r="O6" s="2945"/>
      <c r="P6" s="3292"/>
      <c r="Q6" s="3293"/>
      <c r="R6" s="3296"/>
      <c r="S6" s="3297"/>
      <c r="T6" s="3298"/>
      <c r="U6" s="3299"/>
      <c r="V6" s="3281"/>
      <c r="W6" s="3281"/>
      <c r="X6" s="1540"/>
      <c r="Y6" s="3298"/>
      <c r="Z6" s="3299"/>
      <c r="AA6" s="3284"/>
      <c r="AB6" s="3284"/>
      <c r="AC6" s="3284"/>
    </row>
    <row r="7" spans="1:30" s="113" customFormat="1" ht="15.75" thickBot="1">
      <c r="A7" s="368" t="s">
        <v>2369</v>
      </c>
      <c r="B7" s="369"/>
      <c r="C7" s="370">
        <f>'数据-取费表'!B2</f>
        <v>44294</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04" t="s">
        <v>2370</v>
      </c>
      <c r="Q7" s="3306"/>
      <c r="R7" s="710" t="s">
        <v>17</v>
      </c>
      <c r="S7" s="711">
        <f t="shared" ref="S7:S15" si="0">F7</f>
        <v>0</v>
      </c>
      <c r="T7" s="710" t="s">
        <v>17</v>
      </c>
      <c r="U7" s="711">
        <f t="shared" ref="U7:U15" si="1">H7</f>
        <v>0</v>
      </c>
      <c r="V7" s="710" t="s">
        <v>17</v>
      </c>
      <c r="W7" s="711">
        <f t="shared" ref="W7:W15" si="2">J7</f>
        <v>0</v>
      </c>
      <c r="X7" s="712"/>
      <c r="Y7" s="3304" t="s">
        <v>2370</v>
      </c>
      <c r="Z7" s="3305"/>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04" t="s">
        <v>2373</v>
      </c>
      <c r="Q8" s="3305"/>
      <c r="R8" s="710" t="s">
        <v>17</v>
      </c>
      <c r="S8" s="711">
        <f t="shared" si="0"/>
        <v>0</v>
      </c>
      <c r="T8" s="710" t="s">
        <v>17</v>
      </c>
      <c r="U8" s="711">
        <f t="shared" si="1"/>
        <v>0</v>
      </c>
      <c r="V8" s="710" t="s">
        <v>17</v>
      </c>
      <c r="W8" s="711">
        <f t="shared" si="2"/>
        <v>0</v>
      </c>
      <c r="X8" s="712"/>
      <c r="Y8" s="3304" t="s">
        <v>2373</v>
      </c>
      <c r="Z8" s="3305"/>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75" t="s">
        <v>2376</v>
      </c>
      <c r="Q9" s="1528" t="str">
        <f t="shared" ref="Q9:Q15" si="6">B9</f>
        <v>用途</v>
      </c>
      <c r="R9" s="710" t="s">
        <v>17</v>
      </c>
      <c r="S9" s="711">
        <f t="shared" si="0"/>
        <v>100</v>
      </c>
      <c r="T9" s="710" t="s">
        <v>17</v>
      </c>
      <c r="U9" s="711">
        <f t="shared" si="1"/>
        <v>100</v>
      </c>
      <c r="V9" s="710" t="s">
        <v>17</v>
      </c>
      <c r="W9" s="711">
        <f t="shared" si="2"/>
        <v>100</v>
      </c>
      <c r="X9" s="712"/>
      <c r="Y9" s="3169"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103</v>
      </c>
      <c r="G10" s="422"/>
      <c r="H10" s="132">
        <f>ROUND(100/'数据-取费表'!G16,0)</f>
        <v>103</v>
      </c>
      <c r="I10" s="422"/>
      <c r="J10" s="132">
        <f>ROUND(100/'数据-取费表'!G16,0)</f>
        <v>103</v>
      </c>
      <c r="K10" s="628"/>
      <c r="L10" s="2948"/>
      <c r="M10" s="2949"/>
      <c r="N10" s="2949"/>
      <c r="O10" s="3002"/>
      <c r="P10" s="3275"/>
      <c r="Q10" s="1528" t="str">
        <f t="shared" si="6"/>
        <v>土地使用年限（年）</v>
      </c>
      <c r="R10" s="710" t="s">
        <v>17</v>
      </c>
      <c r="S10" s="711">
        <f t="shared" si="0"/>
        <v>103</v>
      </c>
      <c r="T10" s="710" t="s">
        <v>17</v>
      </c>
      <c r="U10" s="711">
        <f t="shared" si="1"/>
        <v>103</v>
      </c>
      <c r="V10" s="710" t="s">
        <v>17</v>
      </c>
      <c r="W10" s="711">
        <f t="shared" si="2"/>
        <v>103</v>
      </c>
      <c r="X10" s="712"/>
      <c r="Y10" s="3169"/>
      <c r="Z10" s="55" t="str">
        <f t="shared" si="7"/>
        <v>土地使用年限（年）</v>
      </c>
      <c r="AA10" s="713">
        <f t="shared" si="3"/>
        <v>0.970873786407767</v>
      </c>
      <c r="AB10" s="713">
        <f t="shared" si="4"/>
        <v>0.970873786407767</v>
      </c>
      <c r="AC10" s="713">
        <f t="shared" si="5"/>
        <v>0.970873786407767</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275"/>
      <c r="Q11" s="1528" t="str">
        <f t="shared" si="6"/>
        <v>容积率</v>
      </c>
      <c r="R11" s="710" t="s">
        <v>17</v>
      </c>
      <c r="S11" s="711" t="e">
        <f t="shared" si="0"/>
        <v>#N/A</v>
      </c>
      <c r="T11" s="710" t="s">
        <v>17</v>
      </c>
      <c r="U11" s="711" t="e">
        <f t="shared" si="1"/>
        <v>#N/A</v>
      </c>
      <c r="V11" s="710" t="s">
        <v>17</v>
      </c>
      <c r="W11" s="711" t="e">
        <f t="shared" si="2"/>
        <v>#N/A</v>
      </c>
      <c r="X11" s="712"/>
      <c r="Y11" s="3169"/>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75"/>
      <c r="Q12" s="1528" t="str">
        <f t="shared" si="6"/>
        <v>配建</v>
      </c>
      <c r="R12" s="710" t="s">
        <v>17</v>
      </c>
      <c r="S12" s="711">
        <f t="shared" si="0"/>
        <v>100</v>
      </c>
      <c r="T12" s="710" t="s">
        <v>17</v>
      </c>
      <c r="U12" s="711">
        <f t="shared" si="1"/>
        <v>100</v>
      </c>
      <c r="V12" s="710" t="s">
        <v>17</v>
      </c>
      <c r="W12" s="711">
        <f t="shared" si="2"/>
        <v>100</v>
      </c>
      <c r="X12" s="712"/>
      <c r="Y12" s="316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75"/>
      <c r="Q13" s="1528">
        <f t="shared" si="6"/>
        <v>111</v>
      </c>
      <c r="R13" s="710" t="s">
        <v>17</v>
      </c>
      <c r="S13" s="711">
        <f t="shared" si="0"/>
        <v>100</v>
      </c>
      <c r="T13" s="710" t="s">
        <v>17</v>
      </c>
      <c r="U13" s="711">
        <f t="shared" si="1"/>
        <v>100</v>
      </c>
      <c r="V13" s="710" t="s">
        <v>17</v>
      </c>
      <c r="W13" s="711">
        <f t="shared" si="2"/>
        <v>100</v>
      </c>
      <c r="X13" s="712"/>
      <c r="Y13" s="3169"/>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75"/>
      <c r="Q14" s="1528">
        <f t="shared" si="6"/>
        <v>111</v>
      </c>
      <c r="R14" s="710" t="s">
        <v>17</v>
      </c>
      <c r="S14" s="711">
        <f t="shared" si="0"/>
        <v>100</v>
      </c>
      <c r="T14" s="710" t="s">
        <v>17</v>
      </c>
      <c r="U14" s="711">
        <f t="shared" si="1"/>
        <v>100</v>
      </c>
      <c r="V14" s="710" t="s">
        <v>17</v>
      </c>
      <c r="W14" s="711">
        <f t="shared" si="2"/>
        <v>100</v>
      </c>
      <c r="X14" s="712"/>
      <c r="Y14" s="3169"/>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277" t="s">
        <v>2381</v>
      </c>
      <c r="Q15" s="1537" t="str">
        <f t="shared" si="6"/>
        <v>居住社区成熟度</v>
      </c>
      <c r="R15" s="714" t="s">
        <v>17</v>
      </c>
      <c r="S15" s="715">
        <f t="shared" si="0"/>
        <v>100</v>
      </c>
      <c r="T15" s="714" t="s">
        <v>17</v>
      </c>
      <c r="U15" s="715">
        <f t="shared" si="1"/>
        <v>100</v>
      </c>
      <c r="V15" s="714" t="s">
        <v>17</v>
      </c>
      <c r="W15" s="715">
        <f t="shared" si="2"/>
        <v>100</v>
      </c>
      <c r="X15" s="1540"/>
      <c r="Y15" s="3277" t="s">
        <v>2381</v>
      </c>
      <c r="Z15" s="1541" t="str">
        <f t="shared" si="7"/>
        <v>居住社区成熟度</v>
      </c>
      <c r="AA15" s="1538">
        <f t="shared" si="3"/>
        <v>1</v>
      </c>
      <c r="AB15" s="1538">
        <f t="shared" si="4"/>
        <v>1</v>
      </c>
      <c r="AC15" s="1538">
        <f t="shared" si="5"/>
        <v>1</v>
      </c>
    </row>
    <row r="16" spans="1:30" ht="15">
      <c r="A16" s="387"/>
      <c r="B16" s="405"/>
      <c r="C16" s="406"/>
      <c r="D16" s="407"/>
      <c r="E16" s="2084"/>
      <c r="F16" s="407"/>
      <c r="G16" s="2084"/>
      <c r="H16" s="409"/>
      <c r="I16" s="2083"/>
      <c r="J16" s="407"/>
      <c r="K16" s="628"/>
      <c r="L16" s="2951"/>
      <c r="M16" s="2945"/>
      <c r="N16" s="2945"/>
      <c r="O16" s="3003"/>
      <c r="P16" s="3278"/>
      <c r="Q16" s="1537"/>
      <c r="R16" s="714"/>
      <c r="S16" s="715"/>
      <c r="T16" s="714"/>
      <c r="U16" s="715"/>
      <c r="V16" s="714"/>
      <c r="W16" s="715"/>
      <c r="X16" s="1540"/>
      <c r="Y16" s="3278"/>
      <c r="Z16" s="1541"/>
      <c r="AA16" s="1538">
        <v>1</v>
      </c>
      <c r="AB16" s="1538">
        <v>1</v>
      </c>
      <c r="AC16" s="1538">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278"/>
      <c r="Q17" s="1537" t="str">
        <f>B17</f>
        <v>商业繁华度</v>
      </c>
      <c r="R17" s="714" t="s">
        <v>17</v>
      </c>
      <c r="S17" s="715">
        <f>F17</f>
        <v>100</v>
      </c>
      <c r="T17" s="714" t="s">
        <v>17</v>
      </c>
      <c r="U17" s="715">
        <f>H17</f>
        <v>100</v>
      </c>
      <c r="V17" s="714" t="s">
        <v>17</v>
      </c>
      <c r="W17" s="715">
        <f>J17</f>
        <v>100</v>
      </c>
      <c r="X17" s="1540"/>
      <c r="Y17" s="3278"/>
      <c r="Z17" s="1541" t="str">
        <f>Q17</f>
        <v>商业繁华度</v>
      </c>
      <c r="AA17" s="1538">
        <f t="shared" si="3"/>
        <v>1</v>
      </c>
      <c r="AB17" s="1538">
        <f t="shared" si="4"/>
        <v>1</v>
      </c>
      <c r="AC17" s="1538">
        <f t="shared" si="5"/>
        <v>1</v>
      </c>
    </row>
    <row r="18" spans="1:29" ht="15">
      <c r="A18" s="387"/>
      <c r="B18" s="415"/>
      <c r="C18" s="2087"/>
      <c r="D18" s="409"/>
      <c r="E18" s="2089"/>
      <c r="F18" s="409"/>
      <c r="G18" s="2089"/>
      <c r="H18" s="407"/>
      <c r="I18" s="2088"/>
      <c r="J18" s="407"/>
      <c r="K18" s="628"/>
      <c r="L18" s="2951"/>
      <c r="M18" s="2945"/>
      <c r="N18" s="2945"/>
      <c r="O18" s="3003"/>
      <c r="P18" s="3278"/>
      <c r="Q18" s="1537"/>
      <c r="R18" s="714"/>
      <c r="S18" s="715"/>
      <c r="T18" s="714"/>
      <c r="U18" s="715"/>
      <c r="V18" s="714"/>
      <c r="W18" s="715"/>
      <c r="X18" s="1540"/>
      <c r="Y18" s="3278"/>
      <c r="Z18" s="1541"/>
      <c r="AA18" s="1538">
        <v>1</v>
      </c>
      <c r="AB18" s="1538">
        <v>1</v>
      </c>
      <c r="AC18" s="1538">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278"/>
      <c r="Q19" s="1537" t="str">
        <f>B19</f>
        <v>办公集聚程度</v>
      </c>
      <c r="R19" s="714" t="s">
        <v>17</v>
      </c>
      <c r="S19" s="715">
        <f>F19</f>
        <v>100</v>
      </c>
      <c r="T19" s="714" t="s">
        <v>17</v>
      </c>
      <c r="U19" s="715">
        <f>H19</f>
        <v>100</v>
      </c>
      <c r="V19" s="714" t="s">
        <v>17</v>
      </c>
      <c r="W19" s="715">
        <f>J19</f>
        <v>100</v>
      </c>
      <c r="X19" s="1540"/>
      <c r="Y19" s="3278"/>
      <c r="Z19" s="1541" t="str">
        <f>Q19</f>
        <v>办公集聚程度</v>
      </c>
      <c r="AA19" s="1538">
        <f t="shared" si="3"/>
        <v>1</v>
      </c>
      <c r="AB19" s="1538">
        <f t="shared" si="4"/>
        <v>1</v>
      </c>
      <c r="AC19" s="1538">
        <f t="shared" si="5"/>
        <v>1</v>
      </c>
    </row>
    <row r="20" spans="1:29" ht="15">
      <c r="A20" s="387"/>
      <c r="B20" s="415"/>
      <c r="C20" s="406"/>
      <c r="D20" s="407"/>
      <c r="E20" s="2084"/>
      <c r="F20" s="407"/>
      <c r="G20" s="2084"/>
      <c r="H20" s="407"/>
      <c r="I20" s="2083"/>
      <c r="J20" s="407"/>
      <c r="K20" s="628"/>
      <c r="L20" s="2951"/>
      <c r="M20" s="2945"/>
      <c r="N20" s="2945"/>
      <c r="O20" s="3003"/>
      <c r="P20" s="3278"/>
      <c r="Q20" s="1537"/>
      <c r="R20" s="714"/>
      <c r="S20" s="715"/>
      <c r="T20" s="714"/>
      <c r="U20" s="715"/>
      <c r="V20" s="714"/>
      <c r="W20" s="715"/>
      <c r="X20" s="1540"/>
      <c r="Y20" s="3278"/>
      <c r="Z20" s="1541"/>
      <c r="AA20" s="1538">
        <v>1</v>
      </c>
      <c r="AB20" s="1538">
        <v>1</v>
      </c>
      <c r="AC20" s="1538">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278"/>
      <c r="Q21" s="1537" t="str">
        <f>B21</f>
        <v>交通便捷度</v>
      </c>
      <c r="R21" s="714" t="s">
        <v>17</v>
      </c>
      <c r="S21" s="715">
        <f>F21</f>
        <v>100</v>
      </c>
      <c r="T21" s="714" t="s">
        <v>17</v>
      </c>
      <c r="U21" s="715">
        <f>H21</f>
        <v>100</v>
      </c>
      <c r="V21" s="714" t="s">
        <v>17</v>
      </c>
      <c r="W21" s="715">
        <f>J21</f>
        <v>100</v>
      </c>
      <c r="X21" s="1540"/>
      <c r="Y21" s="3278"/>
      <c r="Z21" s="1541" t="str">
        <f>Q21</f>
        <v>交通便捷度</v>
      </c>
      <c r="AA21" s="1538">
        <f t="shared" si="3"/>
        <v>1</v>
      </c>
      <c r="AB21" s="1538">
        <f t="shared" si="4"/>
        <v>1</v>
      </c>
      <c r="AC21" s="1538">
        <f t="shared" si="5"/>
        <v>1</v>
      </c>
    </row>
    <row r="22" spans="1:29" ht="15">
      <c r="A22" s="387"/>
      <c r="B22" s="1293"/>
      <c r="C22" s="406"/>
      <c r="D22" s="409"/>
      <c r="E22" s="2084"/>
      <c r="F22" s="407"/>
      <c r="G22" s="2084"/>
      <c r="H22" s="407"/>
      <c r="I22" s="2083"/>
      <c r="J22" s="407"/>
      <c r="K22" s="628"/>
      <c r="L22" s="2951"/>
      <c r="M22" s="2945"/>
      <c r="N22" s="2945"/>
      <c r="O22" s="3003"/>
      <c r="P22" s="3278"/>
      <c r="Q22" s="1537"/>
      <c r="R22" s="714"/>
      <c r="S22" s="715"/>
      <c r="T22" s="714"/>
      <c r="U22" s="715"/>
      <c r="V22" s="714"/>
      <c r="W22" s="715"/>
      <c r="X22" s="1540"/>
      <c r="Y22" s="3278"/>
      <c r="Z22" s="1541"/>
      <c r="AA22" s="1538">
        <v>1</v>
      </c>
      <c r="AB22" s="1538">
        <v>1</v>
      </c>
      <c r="AC22" s="1538">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278"/>
      <c r="Q23" s="1537" t="str">
        <f t="shared" ref="Q23:Q37" si="8">B23</f>
        <v>区域土地利用方向</v>
      </c>
      <c r="R23" s="714" t="s">
        <v>17</v>
      </c>
      <c r="S23" s="715">
        <f>F23</f>
        <v>100</v>
      </c>
      <c r="T23" s="714" t="s">
        <v>17</v>
      </c>
      <c r="U23" s="715">
        <f>H23</f>
        <v>100</v>
      </c>
      <c r="V23" s="714" t="s">
        <v>17</v>
      </c>
      <c r="W23" s="715">
        <f>J23</f>
        <v>100</v>
      </c>
      <c r="X23" s="1540"/>
      <c r="Y23" s="3278"/>
      <c r="Z23" s="1541" t="str">
        <f>Q23</f>
        <v>区域土地利用方向</v>
      </c>
      <c r="AA23" s="1538">
        <f t="shared" si="3"/>
        <v>1</v>
      </c>
      <c r="AB23" s="1538">
        <f t="shared" si="4"/>
        <v>1</v>
      </c>
      <c r="AC23" s="1538">
        <f t="shared" si="5"/>
        <v>1</v>
      </c>
    </row>
    <row r="24" spans="1:29" ht="15">
      <c r="A24" s="364"/>
      <c r="B24" s="415"/>
      <c r="C24" s="573"/>
      <c r="D24" s="407"/>
      <c r="E24" s="2084"/>
      <c r="F24" s="407"/>
      <c r="G24" s="2083"/>
      <c r="H24" s="407"/>
      <c r="I24" s="2083"/>
      <c r="J24" s="407"/>
      <c r="K24" s="751"/>
      <c r="L24" s="2951"/>
      <c r="M24" s="2945"/>
      <c r="N24" s="2945"/>
      <c r="O24" s="3003"/>
      <c r="P24" s="3278"/>
      <c r="Q24" s="1537"/>
      <c r="R24" s="714"/>
      <c r="S24" s="715"/>
      <c r="T24" s="714"/>
      <c r="U24" s="715"/>
      <c r="V24" s="714"/>
      <c r="W24" s="715"/>
      <c r="X24" s="1540"/>
      <c r="Y24" s="3278"/>
      <c r="Z24" s="1541"/>
      <c r="AA24" s="1538"/>
      <c r="AB24" s="1538"/>
      <c r="AC24" s="1538"/>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278"/>
      <c r="Q25" s="1537" t="str">
        <f t="shared" si="8"/>
        <v>自然及人文环境状况</v>
      </c>
      <c r="R25" s="714" t="s">
        <v>17</v>
      </c>
      <c r="S25" s="715">
        <f>F25</f>
        <v>100</v>
      </c>
      <c r="T25" s="714" t="s">
        <v>17</v>
      </c>
      <c r="U25" s="715">
        <f>H25</f>
        <v>100</v>
      </c>
      <c r="V25" s="714" t="s">
        <v>17</v>
      </c>
      <c r="W25" s="715">
        <f>J25</f>
        <v>100</v>
      </c>
      <c r="X25" s="1540"/>
      <c r="Y25" s="3278"/>
      <c r="Z25" s="1541" t="str">
        <f>Q25</f>
        <v>自然及人文环境状况</v>
      </c>
      <c r="AA25" s="1538">
        <f t="shared" si="3"/>
        <v>1</v>
      </c>
      <c r="AB25" s="1538">
        <f t="shared" si="4"/>
        <v>1</v>
      </c>
      <c r="AC25" s="1538">
        <f t="shared" si="5"/>
        <v>1</v>
      </c>
    </row>
    <row r="26" spans="1:29" ht="15">
      <c r="A26" s="364"/>
      <c r="B26" s="415"/>
      <c r="C26" s="406"/>
      <c r="D26" s="407"/>
      <c r="E26" s="2090"/>
      <c r="F26" s="407"/>
      <c r="G26" s="2090"/>
      <c r="H26" s="407"/>
      <c r="I26" s="406"/>
      <c r="J26" s="407"/>
      <c r="K26" s="628"/>
      <c r="L26" s="2951"/>
      <c r="M26" s="2945"/>
      <c r="N26" s="2945"/>
      <c r="O26" s="3003"/>
      <c r="P26" s="3278"/>
      <c r="Q26" s="1537"/>
      <c r="R26" s="714"/>
      <c r="S26" s="715"/>
      <c r="T26" s="714"/>
      <c r="U26" s="715"/>
      <c r="V26" s="714"/>
      <c r="W26" s="715"/>
      <c r="X26" s="1540"/>
      <c r="Y26" s="3278"/>
      <c r="Z26" s="1541"/>
      <c r="AA26" s="1538">
        <v>1</v>
      </c>
      <c r="AB26" s="1538">
        <v>1</v>
      </c>
      <c r="AC26" s="1538">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278"/>
      <c r="Q27" s="1528" t="str">
        <f t="shared" si="8"/>
        <v>公共配套设施</v>
      </c>
      <c r="R27" s="710" t="s">
        <v>17</v>
      </c>
      <c r="S27" s="711">
        <f>F27</f>
        <v>100</v>
      </c>
      <c r="T27" s="710" t="s">
        <v>17</v>
      </c>
      <c r="U27" s="711">
        <f>H27</f>
        <v>100</v>
      </c>
      <c r="V27" s="710" t="s">
        <v>17</v>
      </c>
      <c r="W27" s="711">
        <f>J27</f>
        <v>100</v>
      </c>
      <c r="X27" s="712"/>
      <c r="Y27" s="3278"/>
      <c r="Z27" s="55" t="str">
        <f>Q27</f>
        <v>公共配套设施</v>
      </c>
      <c r="AA27" s="1538">
        <f>D27/F27</f>
        <v>1</v>
      </c>
      <c r="AB27" s="1538">
        <f>D27/H27</f>
        <v>1</v>
      </c>
      <c r="AC27" s="1538">
        <f>D27/J27</f>
        <v>1</v>
      </c>
    </row>
    <row r="28" spans="1:29" s="113" customFormat="1" ht="15">
      <c r="A28" s="605"/>
      <c r="B28" s="415"/>
      <c r="C28" s="2164"/>
      <c r="D28" s="407"/>
      <c r="E28" s="2090"/>
      <c r="F28" s="407"/>
      <c r="G28" s="2090"/>
      <c r="H28" s="407"/>
      <c r="I28" s="406"/>
      <c r="J28" s="407"/>
      <c r="K28" s="628"/>
      <c r="L28" s="2946"/>
      <c r="M28" s="2947"/>
      <c r="N28" s="2947"/>
      <c r="O28" s="3001"/>
      <c r="P28" s="3278"/>
      <c r="Q28" s="1528"/>
      <c r="R28" s="710"/>
      <c r="S28" s="711"/>
      <c r="T28" s="710"/>
      <c r="U28" s="711"/>
      <c r="V28" s="710"/>
      <c r="W28" s="711"/>
      <c r="X28" s="712"/>
      <c r="Y28" s="3278"/>
      <c r="Z28" s="55"/>
      <c r="AA28" s="1538">
        <v>1</v>
      </c>
      <c r="AB28" s="1538">
        <v>1</v>
      </c>
      <c r="AC28" s="1538">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278"/>
      <c r="Q29" s="1528" t="str">
        <f t="shared" ref="Q29" si="9">B29</f>
        <v>基础设施水平</v>
      </c>
      <c r="R29" s="710" t="s">
        <v>17</v>
      </c>
      <c r="S29" s="711">
        <f>F29</f>
        <v>100</v>
      </c>
      <c r="T29" s="710" t="s">
        <v>17</v>
      </c>
      <c r="U29" s="711">
        <f>H29</f>
        <v>100</v>
      </c>
      <c r="V29" s="710" t="s">
        <v>17</v>
      </c>
      <c r="W29" s="711">
        <f>J29</f>
        <v>100</v>
      </c>
      <c r="X29" s="712"/>
      <c r="Y29" s="3278"/>
      <c r="Z29" s="55" t="str">
        <f>Q29</f>
        <v>基础设施水平</v>
      </c>
      <c r="AA29" s="1538">
        <f>D29/F29</f>
        <v>1</v>
      </c>
      <c r="AB29" s="1538">
        <f>D29/H29</f>
        <v>1</v>
      </c>
      <c r="AC29" s="1538">
        <f>D29/J29</f>
        <v>1</v>
      </c>
    </row>
    <row r="30" spans="1:29" s="113" customFormat="1" ht="15">
      <c r="A30" s="605"/>
      <c r="B30" s="415"/>
      <c r="C30" s="2164"/>
      <c r="D30" s="407"/>
      <c r="E30" s="2165"/>
      <c r="F30" s="407"/>
      <c r="G30" s="2165"/>
      <c r="H30" s="407"/>
      <c r="I30" s="2165"/>
      <c r="J30" s="407"/>
      <c r="K30" s="628"/>
      <c r="L30" s="2946"/>
      <c r="M30" s="2947"/>
      <c r="N30" s="2947"/>
      <c r="O30" s="3001"/>
      <c r="P30" s="3278"/>
      <c r="Q30" s="1528"/>
      <c r="R30" s="710"/>
      <c r="S30" s="711"/>
      <c r="T30" s="710"/>
      <c r="U30" s="711"/>
      <c r="V30" s="710"/>
      <c r="W30" s="711"/>
      <c r="X30" s="712"/>
      <c r="Y30" s="3278"/>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278"/>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78"/>
      <c r="Z31" s="1541" t="str">
        <f t="shared" ref="Z31:Z45" si="13">Q31</f>
        <v>临街状况</v>
      </c>
      <c r="AA31" s="1538">
        <f t="shared" si="3"/>
        <v>1</v>
      </c>
      <c r="AB31" s="1538">
        <f t="shared" si="4"/>
        <v>1</v>
      </c>
      <c r="AC31" s="1538">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278"/>
      <c r="Q32" s="1537" t="str">
        <f t="shared" si="8"/>
        <v>毗邻道路的类型与等级</v>
      </c>
      <c r="R32" s="714" t="s">
        <v>17</v>
      </c>
      <c r="S32" s="715">
        <f t="shared" si="10"/>
        <v>100</v>
      </c>
      <c r="T32" s="714" t="s">
        <v>17</v>
      </c>
      <c r="U32" s="715">
        <f t="shared" si="11"/>
        <v>100</v>
      </c>
      <c r="V32" s="714" t="s">
        <v>17</v>
      </c>
      <c r="W32" s="715">
        <f t="shared" si="12"/>
        <v>100</v>
      </c>
      <c r="X32" s="1540"/>
      <c r="Y32" s="3278"/>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51"/>
      <c r="M33" s="2945"/>
      <c r="N33" s="2945"/>
      <c r="O33" s="3003"/>
      <c r="P33" s="3278"/>
      <c r="Q33" s="1537"/>
      <c r="R33" s="714"/>
      <c r="S33" s="715"/>
      <c r="T33" s="714"/>
      <c r="U33" s="715"/>
      <c r="V33" s="714"/>
      <c r="W33" s="715"/>
      <c r="X33" s="1540"/>
      <c r="Y33" s="3278"/>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278"/>
      <c r="Q34" s="1537" t="str">
        <f t="shared" si="8"/>
        <v>土地级别</v>
      </c>
      <c r="R34" s="714" t="s">
        <v>17</v>
      </c>
      <c r="S34" s="715">
        <f t="shared" si="10"/>
        <v>100</v>
      </c>
      <c r="T34" s="714" t="s">
        <v>17</v>
      </c>
      <c r="U34" s="715">
        <f t="shared" si="11"/>
        <v>100</v>
      </c>
      <c r="V34" s="714" t="s">
        <v>17</v>
      </c>
      <c r="W34" s="715">
        <f t="shared" si="12"/>
        <v>100</v>
      </c>
      <c r="X34" s="1540"/>
      <c r="Y34" s="3278"/>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278"/>
      <c r="Q35" s="1537">
        <f t="shared" si="8"/>
        <v>111</v>
      </c>
      <c r="R35" s="714" t="s">
        <v>17</v>
      </c>
      <c r="S35" s="715">
        <f t="shared" si="10"/>
        <v>100</v>
      </c>
      <c r="T35" s="714" t="s">
        <v>17</v>
      </c>
      <c r="U35" s="715">
        <f t="shared" si="11"/>
        <v>100</v>
      </c>
      <c r="V35" s="714" t="s">
        <v>17</v>
      </c>
      <c r="W35" s="715">
        <f t="shared" si="12"/>
        <v>100</v>
      </c>
      <c r="X35" s="1540"/>
      <c r="Y35" s="3278"/>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279" t="s">
        <v>2386</v>
      </c>
      <c r="Q36" s="1537">
        <f t="shared" si="8"/>
        <v>111</v>
      </c>
      <c r="R36" s="714" t="s">
        <v>17</v>
      </c>
      <c r="S36" s="715">
        <f t="shared" si="10"/>
        <v>100</v>
      </c>
      <c r="T36" s="714" t="s">
        <v>17</v>
      </c>
      <c r="U36" s="715">
        <f t="shared" si="11"/>
        <v>100</v>
      </c>
      <c r="V36" s="714" t="s">
        <v>17</v>
      </c>
      <c r="W36" s="715">
        <f t="shared" si="12"/>
        <v>100</v>
      </c>
      <c r="X36" s="1540"/>
      <c r="Y36" s="3280" t="s">
        <v>2386</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280"/>
      <c r="Q37" s="1537">
        <f t="shared" si="8"/>
        <v>111</v>
      </c>
      <c r="R37" s="717" t="s">
        <v>17</v>
      </c>
      <c r="S37" s="718">
        <f t="shared" si="10"/>
        <v>100</v>
      </c>
      <c r="T37" s="717" t="s">
        <v>17</v>
      </c>
      <c r="U37" s="718">
        <f t="shared" si="11"/>
        <v>100</v>
      </c>
      <c r="V37" s="717" t="s">
        <v>17</v>
      </c>
      <c r="W37" s="718">
        <f t="shared" si="12"/>
        <v>100</v>
      </c>
      <c r="X37" s="719"/>
      <c r="Y37" s="3280"/>
      <c r="Z37" s="720">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280"/>
      <c r="Q38" s="1537" t="str">
        <f>B38</f>
        <v>宗地面积</v>
      </c>
      <c r="R38" s="714" t="s">
        <v>17</v>
      </c>
      <c r="S38" s="715" t="e">
        <f t="shared" si="10"/>
        <v>#N/A</v>
      </c>
      <c r="T38" s="714" t="s">
        <v>17</v>
      </c>
      <c r="U38" s="715" t="e">
        <f t="shared" si="11"/>
        <v>#N/A</v>
      </c>
      <c r="V38" s="714" t="s">
        <v>17</v>
      </c>
      <c r="W38" s="715" t="e">
        <f t="shared" si="12"/>
        <v>#N/A</v>
      </c>
      <c r="X38" s="1540"/>
      <c r="Y38" s="3280"/>
      <c r="Z38" s="1541" t="str">
        <f t="shared" si="13"/>
        <v>宗地面积</v>
      </c>
      <c r="AA38" s="1538" t="e">
        <f t="shared" si="3"/>
        <v>#N/A</v>
      </c>
      <c r="AB38" s="1538" t="e">
        <f t="shared" si="4"/>
        <v>#N/A</v>
      </c>
      <c r="AC38" s="1538"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280"/>
      <c r="Q39" s="1537" t="str">
        <f t="shared" ref="Q39:Q45" si="14">B39</f>
        <v>宗地形状</v>
      </c>
      <c r="R39" s="714" t="s">
        <v>17</v>
      </c>
      <c r="S39" s="715">
        <f t="shared" si="10"/>
        <v>100</v>
      </c>
      <c r="T39" s="714" t="s">
        <v>17</v>
      </c>
      <c r="U39" s="715">
        <f t="shared" si="11"/>
        <v>100</v>
      </c>
      <c r="V39" s="714" t="s">
        <v>17</v>
      </c>
      <c r="W39" s="715">
        <f t="shared" si="12"/>
        <v>100</v>
      </c>
      <c r="X39" s="1540"/>
      <c r="Y39" s="3280"/>
      <c r="Z39" s="1541" t="str">
        <f t="shared" si="13"/>
        <v>宗地形状</v>
      </c>
      <c r="AA39" s="1538">
        <f t="shared" si="3"/>
        <v>1</v>
      </c>
      <c r="AB39" s="1538">
        <f t="shared" si="4"/>
        <v>1</v>
      </c>
      <c r="AC39" s="1538">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280"/>
      <c r="Q40" s="1537" t="str">
        <f t="shared" si="14"/>
        <v>临街宽度及深度</v>
      </c>
      <c r="R40" s="714" t="s">
        <v>17</v>
      </c>
      <c r="S40" s="715">
        <f t="shared" si="10"/>
        <v>100</v>
      </c>
      <c r="T40" s="714" t="s">
        <v>17</v>
      </c>
      <c r="U40" s="715">
        <f t="shared" si="11"/>
        <v>100</v>
      </c>
      <c r="V40" s="714" t="s">
        <v>17</v>
      </c>
      <c r="W40" s="715">
        <f t="shared" si="12"/>
        <v>100</v>
      </c>
      <c r="X40" s="1540"/>
      <c r="Y40" s="3280"/>
      <c r="Z40" s="1541" t="str">
        <f t="shared" si="13"/>
        <v>临街宽度及深度</v>
      </c>
      <c r="AA40" s="1538">
        <f t="shared" si="3"/>
        <v>1</v>
      </c>
      <c r="AB40" s="1538">
        <f t="shared" si="4"/>
        <v>1</v>
      </c>
      <c r="AC40" s="1538">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280"/>
      <c r="Q41" s="1537" t="str">
        <f t="shared" si="14"/>
        <v>宗地开发程度</v>
      </c>
      <c r="R41" s="710" t="s">
        <v>17</v>
      </c>
      <c r="S41" s="711">
        <f t="shared" si="10"/>
        <v>100</v>
      </c>
      <c r="T41" s="710" t="s">
        <v>17</v>
      </c>
      <c r="U41" s="711">
        <f t="shared" si="11"/>
        <v>100</v>
      </c>
      <c r="V41" s="710" t="s">
        <v>17</v>
      </c>
      <c r="W41" s="711">
        <f t="shared" si="12"/>
        <v>100</v>
      </c>
      <c r="X41" s="712"/>
      <c r="Y41" s="3280"/>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280" t="s">
        <v>2386</v>
      </c>
      <c r="Q42" s="1537" t="str">
        <f t="shared" si="14"/>
        <v>工程地质条件</v>
      </c>
      <c r="R42" s="714" t="s">
        <v>17</v>
      </c>
      <c r="S42" s="715">
        <f t="shared" si="10"/>
        <v>100</v>
      </c>
      <c r="T42" s="714" t="s">
        <v>17</v>
      </c>
      <c r="U42" s="715">
        <f t="shared" si="11"/>
        <v>100</v>
      </c>
      <c r="V42" s="714" t="s">
        <v>17</v>
      </c>
      <c r="W42" s="715">
        <f t="shared" si="12"/>
        <v>100</v>
      </c>
      <c r="X42" s="1540"/>
      <c r="Y42" s="3280" t="s">
        <v>2386</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280"/>
      <c r="Q43" s="1537">
        <f t="shared" si="14"/>
        <v>111</v>
      </c>
      <c r="R43" s="714" t="s">
        <v>17</v>
      </c>
      <c r="S43" s="715">
        <f t="shared" si="10"/>
        <v>100</v>
      </c>
      <c r="T43" s="714" t="s">
        <v>17</v>
      </c>
      <c r="U43" s="715">
        <f t="shared" si="11"/>
        <v>100</v>
      </c>
      <c r="V43" s="714" t="s">
        <v>17</v>
      </c>
      <c r="W43" s="715">
        <f t="shared" si="12"/>
        <v>100</v>
      </c>
      <c r="X43" s="1540"/>
      <c r="Y43" s="3280"/>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280"/>
      <c r="Q44" s="1537">
        <f t="shared" si="14"/>
        <v>111</v>
      </c>
      <c r="R44" s="714" t="s">
        <v>17</v>
      </c>
      <c r="S44" s="715">
        <f t="shared" si="10"/>
        <v>100</v>
      </c>
      <c r="T44" s="714" t="s">
        <v>17</v>
      </c>
      <c r="U44" s="715">
        <f t="shared" si="11"/>
        <v>100</v>
      </c>
      <c r="V44" s="714" t="s">
        <v>17</v>
      </c>
      <c r="W44" s="715">
        <f t="shared" si="12"/>
        <v>100</v>
      </c>
      <c r="X44" s="1540"/>
      <c r="Y44" s="3280"/>
      <c r="Z44" s="1541">
        <f t="shared" si="13"/>
        <v>111</v>
      </c>
      <c r="AA44" s="1538">
        <f t="shared" si="3"/>
        <v>1</v>
      </c>
      <c r="AB44" s="1538">
        <f t="shared" si="4"/>
        <v>1</v>
      </c>
      <c r="AC44" s="1538">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280"/>
      <c r="Q45" s="1537">
        <f t="shared" si="14"/>
        <v>111</v>
      </c>
      <c r="R45" s="717" t="s">
        <v>17</v>
      </c>
      <c r="S45" s="718">
        <f t="shared" si="10"/>
        <v>100</v>
      </c>
      <c r="T45" s="717" t="s">
        <v>17</v>
      </c>
      <c r="U45" s="718">
        <f t="shared" si="11"/>
        <v>100</v>
      </c>
      <c r="V45" s="717" t="s">
        <v>17</v>
      </c>
      <c r="W45" s="718">
        <f t="shared" si="12"/>
        <v>100</v>
      </c>
      <c r="X45" s="719"/>
      <c r="Y45" s="3280"/>
      <c r="Z45" s="720">
        <f t="shared" si="13"/>
        <v>111</v>
      </c>
      <c r="AA45" s="1538">
        <f t="shared" si="3"/>
        <v>1</v>
      </c>
      <c r="AB45" s="1538">
        <f t="shared" si="4"/>
        <v>1</v>
      </c>
      <c r="AC45" s="1538">
        <f t="shared" si="5"/>
        <v>1</v>
      </c>
    </row>
    <row r="46" spans="1:29" ht="15">
      <c r="A46" s="438" t="s">
        <v>2541</v>
      </c>
      <c r="B46" s="2168" t="s">
        <v>2577</v>
      </c>
      <c r="C46" s="638" t="s">
        <v>1</v>
      </c>
      <c r="D46" s="440"/>
      <c r="E46" s="441"/>
      <c r="F46" s="442"/>
      <c r="G46" s="443"/>
      <c r="H46" s="444"/>
      <c r="I46" s="441"/>
      <c r="J46" s="444"/>
      <c r="K46" s="723"/>
      <c r="L46" s="2953"/>
      <c r="M46" s="2954"/>
      <c r="N46" s="2945"/>
      <c r="O46" s="2954"/>
      <c r="P46" s="3275" t="str">
        <f>A46</f>
        <v>成交单价</v>
      </c>
      <c r="Q46" s="3275"/>
      <c r="R46" s="3281">
        <f>E46</f>
        <v>0</v>
      </c>
      <c r="S46" s="3281"/>
      <c r="T46" s="3281">
        <f>G46</f>
        <v>0</v>
      </c>
      <c r="U46" s="3281"/>
      <c r="V46" s="3281">
        <f>I46</f>
        <v>0</v>
      </c>
      <c r="W46" s="3281"/>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275" t="str">
        <f>A47</f>
        <v>比较价值（元/平方米）</v>
      </c>
      <c r="Q47" s="3275"/>
      <c r="R47" s="3268" t="e">
        <f>ROUND(PRODUCT(R46,AA7:AA45),0)</f>
        <v>#DIV/0!</v>
      </c>
      <c r="S47" s="3268"/>
      <c r="T47" s="3268" t="e">
        <f>ROUND(PRODUCT(T46,AB7:AB45),0)</f>
        <v>#DIV/0!</v>
      </c>
      <c r="U47" s="3268"/>
      <c r="V47" s="3268" t="e">
        <f>ROUND(PRODUCT(V46,AC7:AC45),0)</f>
        <v>#DIV/0!</v>
      </c>
      <c r="W47" s="3268"/>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269" t="str">
        <f>A48</f>
        <v>估价对象XX用房的比较价值（楼面单价，元/平方米）</v>
      </c>
      <c r="Q48" s="3270"/>
      <c r="R48" s="3271" t="e">
        <f>ROUND(IF(D47="简单平均",AVERAGE(R47:W47),R47*F47+T47*H47+V47*J47),0)</f>
        <v>#DIV/0!</v>
      </c>
      <c r="S48" s="3271"/>
      <c r="T48" s="3271"/>
      <c r="U48" s="3271"/>
      <c r="V48" s="3271"/>
      <c r="W48" s="3271"/>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72" t="s">
        <v>2585</v>
      </c>
      <c r="H55" s="3273"/>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21890.489999999998</v>
      </c>
      <c r="F56" s="1017" t="e">
        <f t="shared" ref="F56:F65" si="15">ROUND(B56*E56/10000,0)</f>
        <v>#DIV/0!</v>
      </c>
      <c r="G56" s="3274"/>
      <c r="H56" s="3275"/>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276"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276"/>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276"/>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276"/>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21890.489999999998</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27" sqref="N2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72" t="s">
        <v>2467</v>
      </c>
      <c r="D4" s="3285"/>
      <c r="E4" s="3286" t="s">
        <v>2468</v>
      </c>
      <c r="F4" s="3287"/>
      <c r="G4" s="3272" t="s">
        <v>2469</v>
      </c>
      <c r="H4" s="3285"/>
      <c r="I4" s="3272" t="s">
        <v>2470</v>
      </c>
      <c r="J4" s="3285"/>
      <c r="K4" s="567" t="s">
        <v>2471</v>
      </c>
      <c r="L4" s="2944"/>
      <c r="M4" s="2945"/>
      <c r="N4" s="2945"/>
      <c r="O4" s="2945"/>
      <c r="P4" s="3288" t="s">
        <v>2472</v>
      </c>
      <c r="Q4" s="3289"/>
      <c r="R4" s="3294" t="s">
        <v>2468</v>
      </c>
      <c r="S4" s="3295"/>
      <c r="T4" s="3294" t="s">
        <v>2469</v>
      </c>
      <c r="U4" s="3295"/>
      <c r="V4" s="3281" t="s">
        <v>2470</v>
      </c>
      <c r="W4" s="3281"/>
      <c r="X4" s="1540"/>
      <c r="Y4" s="3294" t="s">
        <v>2472</v>
      </c>
      <c r="Z4" s="3295"/>
      <c r="AA4" s="3282" t="s">
        <v>2468</v>
      </c>
      <c r="AB4" s="3283" t="s">
        <v>2469</v>
      </c>
      <c r="AC4" s="3282" t="s">
        <v>2470</v>
      </c>
    </row>
    <row r="5" spans="1:29" ht="15">
      <c r="A5" s="364"/>
      <c r="B5" s="365"/>
      <c r="C5" s="3302" t="s">
        <v>2363</v>
      </c>
      <c r="D5" s="3303"/>
      <c r="E5" s="3309" t="s">
        <v>2364</v>
      </c>
      <c r="F5" s="3310"/>
      <c r="G5" s="3302" t="s">
        <v>2365</v>
      </c>
      <c r="H5" s="3303"/>
      <c r="I5" s="3302" t="s">
        <v>2366</v>
      </c>
      <c r="J5" s="3303"/>
      <c r="K5" s="567"/>
      <c r="L5" s="2944"/>
      <c r="M5" s="2945"/>
      <c r="N5" s="2945"/>
      <c r="O5" s="2945"/>
      <c r="P5" s="3290"/>
      <c r="Q5" s="3291"/>
      <c r="R5" s="3296"/>
      <c r="S5" s="3297"/>
      <c r="T5" s="3296"/>
      <c r="U5" s="3297"/>
      <c r="V5" s="3281"/>
      <c r="W5" s="3281"/>
      <c r="X5" s="1540"/>
      <c r="Y5" s="3296"/>
      <c r="Z5" s="3297"/>
      <c r="AA5" s="3283"/>
      <c r="AB5" s="3283"/>
      <c r="AC5" s="3283"/>
    </row>
    <row r="6" spans="1:29" ht="15.75" thickBot="1">
      <c r="A6" s="366"/>
      <c r="B6" s="367"/>
      <c r="C6" s="3311" t="s">
        <v>2618</v>
      </c>
      <c r="D6" s="3312"/>
      <c r="E6" s="3313" t="s">
        <v>2618</v>
      </c>
      <c r="F6" s="3314"/>
      <c r="G6" s="3311" t="s">
        <v>2618</v>
      </c>
      <c r="H6" s="3312"/>
      <c r="I6" s="3311" t="s">
        <v>2618</v>
      </c>
      <c r="J6" s="3312"/>
      <c r="K6" s="567" t="s">
        <v>2368</v>
      </c>
      <c r="L6" s="2944"/>
      <c r="M6" s="2945"/>
      <c r="N6" s="2945"/>
      <c r="O6" s="2945"/>
      <c r="P6" s="3292"/>
      <c r="Q6" s="3293"/>
      <c r="R6" s="3296"/>
      <c r="S6" s="3297"/>
      <c r="T6" s="3298"/>
      <c r="U6" s="3299"/>
      <c r="V6" s="3281"/>
      <c r="W6" s="3281"/>
      <c r="X6" s="1540"/>
      <c r="Y6" s="3298"/>
      <c r="Z6" s="3299"/>
      <c r="AA6" s="3284"/>
      <c r="AB6" s="3284"/>
      <c r="AC6" s="3284"/>
    </row>
    <row r="7" spans="1:29" s="113" customFormat="1" ht="15.75" thickBot="1">
      <c r="A7" s="368" t="s">
        <v>2369</v>
      </c>
      <c r="B7" s="369"/>
      <c r="C7" s="370">
        <f>'数据-取费表'!B2</f>
        <v>44294</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04" t="s">
        <v>2370</v>
      </c>
      <c r="Q7" s="3306"/>
      <c r="R7" s="710" t="s">
        <v>17</v>
      </c>
      <c r="S7" s="711">
        <f t="shared" ref="S7:S15" si="0">F7</f>
        <v>0</v>
      </c>
      <c r="T7" s="710" t="s">
        <v>17</v>
      </c>
      <c r="U7" s="711">
        <f t="shared" ref="U7:U15" si="1">H7</f>
        <v>0</v>
      </c>
      <c r="V7" s="710" t="s">
        <v>17</v>
      </c>
      <c r="W7" s="711">
        <f t="shared" ref="W7:W15" si="2">J7</f>
        <v>0</v>
      </c>
      <c r="X7" s="712"/>
      <c r="Y7" s="3304" t="s">
        <v>2370</v>
      </c>
      <c r="Z7" s="3305"/>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04" t="s">
        <v>2373</v>
      </c>
      <c r="Q8" s="3305"/>
      <c r="R8" s="710" t="s">
        <v>17</v>
      </c>
      <c r="S8" s="711">
        <f t="shared" si="0"/>
        <v>0</v>
      </c>
      <c r="T8" s="710" t="s">
        <v>17</v>
      </c>
      <c r="U8" s="711">
        <f t="shared" si="1"/>
        <v>0</v>
      </c>
      <c r="V8" s="710" t="s">
        <v>17</v>
      </c>
      <c r="W8" s="711">
        <f t="shared" si="2"/>
        <v>0</v>
      </c>
      <c r="X8" s="712"/>
      <c r="Y8" s="3304" t="s">
        <v>2373</v>
      </c>
      <c r="Z8" s="3305"/>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75" t="s">
        <v>2376</v>
      </c>
      <c r="Q9" s="1528" t="str">
        <f t="shared" ref="Q9:Q15" si="6">B9</f>
        <v>用途</v>
      </c>
      <c r="R9" s="710" t="s">
        <v>17</v>
      </c>
      <c r="S9" s="711">
        <f t="shared" si="0"/>
        <v>100</v>
      </c>
      <c r="T9" s="710" t="s">
        <v>17</v>
      </c>
      <c r="U9" s="711">
        <f t="shared" si="1"/>
        <v>100</v>
      </c>
      <c r="V9" s="710" t="s">
        <v>17</v>
      </c>
      <c r="W9" s="711">
        <f t="shared" si="2"/>
        <v>100</v>
      </c>
      <c r="X9" s="712"/>
      <c r="Y9" s="3169"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103</v>
      </c>
      <c r="G10" s="391"/>
      <c r="H10" s="132">
        <f>ROUND(100/'数据-取费表'!G16,0)</f>
        <v>103</v>
      </c>
      <c r="I10" s="391"/>
      <c r="J10" s="132">
        <f>ROUND(100/'数据-取费表'!G16,0)</f>
        <v>103</v>
      </c>
      <c r="K10" s="628"/>
      <c r="L10" s="2948"/>
      <c r="M10" s="2949"/>
      <c r="N10" s="2949"/>
      <c r="O10" s="3002"/>
      <c r="P10" s="3275"/>
      <c r="Q10" s="1528" t="str">
        <f t="shared" si="6"/>
        <v>土地使用年限（年）</v>
      </c>
      <c r="R10" s="710" t="s">
        <v>17</v>
      </c>
      <c r="S10" s="711">
        <f t="shared" si="0"/>
        <v>103</v>
      </c>
      <c r="T10" s="710" t="s">
        <v>17</v>
      </c>
      <c r="U10" s="711">
        <f t="shared" si="1"/>
        <v>103</v>
      </c>
      <c r="V10" s="710" t="s">
        <v>17</v>
      </c>
      <c r="W10" s="711">
        <f t="shared" si="2"/>
        <v>103</v>
      </c>
      <c r="X10" s="712"/>
      <c r="Y10" s="3169"/>
      <c r="Z10" s="55" t="str">
        <f t="shared" si="7"/>
        <v>土地使用年限（年）</v>
      </c>
      <c r="AA10" s="713">
        <f t="shared" si="3"/>
        <v>0.970873786407767</v>
      </c>
      <c r="AB10" s="713">
        <f t="shared" si="4"/>
        <v>0.970873786407767</v>
      </c>
      <c r="AC10" s="713">
        <f t="shared" si="5"/>
        <v>0.970873786407767</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75"/>
      <c r="Q11" s="1528" t="str">
        <f t="shared" si="6"/>
        <v>容积率</v>
      </c>
      <c r="R11" s="710" t="s">
        <v>17</v>
      </c>
      <c r="S11" s="711" t="e">
        <f t="shared" si="0"/>
        <v>#N/A</v>
      </c>
      <c r="T11" s="710" t="s">
        <v>17</v>
      </c>
      <c r="U11" s="711" t="e">
        <f t="shared" si="1"/>
        <v>#N/A</v>
      </c>
      <c r="V11" s="710" t="s">
        <v>17</v>
      </c>
      <c r="W11" s="711" t="e">
        <f t="shared" si="2"/>
        <v>#N/A</v>
      </c>
      <c r="X11" s="712"/>
      <c r="Y11" s="316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75"/>
      <c r="Q12" s="1528">
        <f t="shared" si="6"/>
        <v>111</v>
      </c>
      <c r="R12" s="710" t="s">
        <v>17</v>
      </c>
      <c r="S12" s="711">
        <f t="shared" si="0"/>
        <v>100</v>
      </c>
      <c r="T12" s="710" t="s">
        <v>17</v>
      </c>
      <c r="U12" s="711">
        <f t="shared" si="1"/>
        <v>100</v>
      </c>
      <c r="V12" s="710" t="s">
        <v>17</v>
      </c>
      <c r="W12" s="711">
        <f t="shared" si="2"/>
        <v>100</v>
      </c>
      <c r="X12" s="712"/>
      <c r="Y12" s="316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75"/>
      <c r="Q13" s="1528">
        <f t="shared" si="6"/>
        <v>111</v>
      </c>
      <c r="R13" s="710" t="s">
        <v>17</v>
      </c>
      <c r="S13" s="711">
        <f t="shared" si="0"/>
        <v>100</v>
      </c>
      <c r="T13" s="710" t="s">
        <v>17</v>
      </c>
      <c r="U13" s="711">
        <f t="shared" si="1"/>
        <v>100</v>
      </c>
      <c r="V13" s="710" t="s">
        <v>17</v>
      </c>
      <c r="W13" s="711">
        <f t="shared" si="2"/>
        <v>100</v>
      </c>
      <c r="X13" s="712"/>
      <c r="Y13" s="316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75"/>
      <c r="Q14" s="1528">
        <f t="shared" si="6"/>
        <v>111</v>
      </c>
      <c r="R14" s="710" t="s">
        <v>17</v>
      </c>
      <c r="S14" s="711">
        <f t="shared" si="0"/>
        <v>100</v>
      </c>
      <c r="T14" s="710" t="s">
        <v>17</v>
      </c>
      <c r="U14" s="711">
        <f t="shared" si="1"/>
        <v>100</v>
      </c>
      <c r="V14" s="710" t="s">
        <v>17</v>
      </c>
      <c r="W14" s="711">
        <f t="shared" si="2"/>
        <v>100</v>
      </c>
      <c r="X14" s="712"/>
      <c r="Y14" s="3169"/>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277" t="s">
        <v>2381</v>
      </c>
      <c r="Q15" s="1537" t="str">
        <f t="shared" si="6"/>
        <v>产业集聚程度</v>
      </c>
      <c r="R15" s="714" t="s">
        <v>17</v>
      </c>
      <c r="S15" s="715">
        <f t="shared" si="0"/>
        <v>100</v>
      </c>
      <c r="T15" s="714" t="s">
        <v>17</v>
      </c>
      <c r="U15" s="715">
        <f t="shared" si="1"/>
        <v>100</v>
      </c>
      <c r="V15" s="714" t="s">
        <v>17</v>
      </c>
      <c r="W15" s="715">
        <f t="shared" si="2"/>
        <v>100</v>
      </c>
      <c r="X15" s="1540"/>
      <c r="Y15" s="3277" t="s">
        <v>2381</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51"/>
      <c r="M16" s="2945"/>
      <c r="N16" s="2945"/>
      <c r="O16" s="3003"/>
      <c r="P16" s="3278"/>
      <c r="Q16" s="1537"/>
      <c r="R16" s="714"/>
      <c r="S16" s="715"/>
      <c r="T16" s="714"/>
      <c r="U16" s="715"/>
      <c r="V16" s="714"/>
      <c r="W16" s="715"/>
      <c r="X16" s="1540"/>
      <c r="Y16" s="3278"/>
      <c r="Z16" s="1541"/>
      <c r="AA16" s="1538">
        <v>1</v>
      </c>
      <c r="AB16" s="1538">
        <v>1</v>
      </c>
      <c r="AC16" s="1538">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278"/>
      <c r="Q17" s="1537" t="str">
        <f>B17</f>
        <v>交通便捷度</v>
      </c>
      <c r="R17" s="714" t="s">
        <v>17</v>
      </c>
      <c r="S17" s="715">
        <f>F17</f>
        <v>100</v>
      </c>
      <c r="T17" s="714" t="s">
        <v>17</v>
      </c>
      <c r="U17" s="715">
        <f>H17</f>
        <v>100</v>
      </c>
      <c r="V17" s="714" t="s">
        <v>17</v>
      </c>
      <c r="W17" s="715">
        <f>J17</f>
        <v>100</v>
      </c>
      <c r="X17" s="1540"/>
      <c r="Y17" s="3278"/>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51"/>
      <c r="M18" s="2945"/>
      <c r="N18" s="2945"/>
      <c r="O18" s="3003"/>
      <c r="P18" s="3278"/>
      <c r="Q18" s="1537"/>
      <c r="R18" s="714"/>
      <c r="S18" s="715"/>
      <c r="T18" s="714"/>
      <c r="U18" s="715"/>
      <c r="V18" s="714"/>
      <c r="W18" s="715"/>
      <c r="X18" s="1540"/>
      <c r="Y18" s="3278"/>
      <c r="Z18" s="1541"/>
      <c r="AA18" s="1538">
        <v>1</v>
      </c>
      <c r="AB18" s="1538">
        <v>1</v>
      </c>
      <c r="AC18" s="1538">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278"/>
      <c r="Q19" s="1537" t="str">
        <f t="shared" ref="Q19:Q33" si="8">B19</f>
        <v>区域土地利用方向</v>
      </c>
      <c r="R19" s="714" t="s">
        <v>17</v>
      </c>
      <c r="S19" s="715">
        <f>F19</f>
        <v>100</v>
      </c>
      <c r="T19" s="714" t="s">
        <v>17</v>
      </c>
      <c r="U19" s="715">
        <f>H19</f>
        <v>100</v>
      </c>
      <c r="V19" s="714" t="s">
        <v>17</v>
      </c>
      <c r="W19" s="715">
        <f>J19</f>
        <v>100</v>
      </c>
      <c r="X19" s="1540"/>
      <c r="Y19" s="3278"/>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51"/>
      <c r="M20" s="2945"/>
      <c r="N20" s="2945"/>
      <c r="O20" s="3003"/>
      <c r="P20" s="3278"/>
      <c r="Q20" s="1537"/>
      <c r="R20" s="714"/>
      <c r="S20" s="715"/>
      <c r="T20" s="714"/>
      <c r="U20" s="715"/>
      <c r="V20" s="714"/>
      <c r="W20" s="715"/>
      <c r="X20" s="1540"/>
      <c r="Y20" s="3278"/>
      <c r="Z20" s="1541"/>
      <c r="AA20" s="1538"/>
      <c r="AB20" s="1538"/>
      <c r="AC20" s="1538"/>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278"/>
      <c r="Q21" s="1537" t="str">
        <f t="shared" si="8"/>
        <v>环境状况</v>
      </c>
      <c r="R21" s="714" t="s">
        <v>17</v>
      </c>
      <c r="S21" s="715">
        <f>F21</f>
        <v>100</v>
      </c>
      <c r="T21" s="714" t="s">
        <v>17</v>
      </c>
      <c r="U21" s="715">
        <f>H21</f>
        <v>100</v>
      </c>
      <c r="V21" s="714" t="s">
        <v>17</v>
      </c>
      <c r="W21" s="715">
        <f>J21</f>
        <v>100</v>
      </c>
      <c r="X21" s="1540"/>
      <c r="Y21" s="3278"/>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51"/>
      <c r="M22" s="2945"/>
      <c r="N22" s="2945"/>
      <c r="O22" s="3003"/>
      <c r="P22" s="3278"/>
      <c r="Q22" s="1537"/>
      <c r="R22" s="714"/>
      <c r="S22" s="715"/>
      <c r="T22" s="714"/>
      <c r="U22" s="715"/>
      <c r="V22" s="714"/>
      <c r="W22" s="715"/>
      <c r="X22" s="1540"/>
      <c r="Y22" s="3278"/>
      <c r="Z22" s="1541"/>
      <c r="AA22" s="1538">
        <v>1</v>
      </c>
      <c r="AB22" s="1538">
        <v>1</v>
      </c>
      <c r="AC22" s="1538">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278"/>
      <c r="Q23" s="1528" t="str">
        <f t="shared" si="8"/>
        <v>公共配套设施</v>
      </c>
      <c r="R23" s="710" t="s">
        <v>17</v>
      </c>
      <c r="S23" s="711">
        <f>F23</f>
        <v>100</v>
      </c>
      <c r="T23" s="710" t="s">
        <v>17</v>
      </c>
      <c r="U23" s="711">
        <f>H23</f>
        <v>100</v>
      </c>
      <c r="V23" s="710" t="s">
        <v>17</v>
      </c>
      <c r="W23" s="711">
        <f>J23</f>
        <v>100</v>
      </c>
      <c r="X23" s="712"/>
      <c r="Y23" s="3278"/>
      <c r="Z23" s="55" t="str">
        <f>Q23</f>
        <v>公共配套设施</v>
      </c>
      <c r="AA23" s="1538">
        <f>D23/F23</f>
        <v>1</v>
      </c>
      <c r="AB23" s="1538">
        <f>D23/H23</f>
        <v>1</v>
      </c>
      <c r="AC23" s="1538">
        <f>D23/J23</f>
        <v>1</v>
      </c>
    </row>
    <row r="24" spans="1:29" s="113" customFormat="1" ht="15">
      <c r="A24" s="605"/>
      <c r="B24" s="588"/>
      <c r="C24" s="2164"/>
      <c r="D24" s="407"/>
      <c r="E24" s="2090"/>
      <c r="F24" s="407"/>
      <c r="G24" s="2090"/>
      <c r="H24" s="407"/>
      <c r="I24" s="406"/>
      <c r="J24" s="407"/>
      <c r="K24" s="628"/>
      <c r="L24" s="2946"/>
      <c r="M24" s="2947"/>
      <c r="N24" s="2947"/>
      <c r="O24" s="3001"/>
      <c r="P24" s="3278"/>
      <c r="Q24" s="1528"/>
      <c r="R24" s="710"/>
      <c r="S24" s="711"/>
      <c r="T24" s="710"/>
      <c r="U24" s="711"/>
      <c r="V24" s="710"/>
      <c r="W24" s="711"/>
      <c r="X24" s="712"/>
      <c r="Y24" s="3278"/>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278"/>
      <c r="Q25" s="1528" t="str">
        <f t="shared" ref="Q25" si="9">B25</f>
        <v>基础设施水平</v>
      </c>
      <c r="R25" s="710" t="s">
        <v>17</v>
      </c>
      <c r="S25" s="711">
        <f>F25</f>
        <v>100</v>
      </c>
      <c r="T25" s="710" t="s">
        <v>17</v>
      </c>
      <c r="U25" s="711">
        <f>H25</f>
        <v>100</v>
      </c>
      <c r="V25" s="710" t="s">
        <v>17</v>
      </c>
      <c r="W25" s="711">
        <f>J25</f>
        <v>100</v>
      </c>
      <c r="X25" s="712"/>
      <c r="Y25" s="3278"/>
      <c r="Z25" s="55" t="str">
        <f>Q25</f>
        <v>基础设施水平</v>
      </c>
      <c r="AA25" s="1538">
        <f>D25/F25</f>
        <v>1</v>
      </c>
      <c r="AB25" s="1538">
        <f>D25/H25</f>
        <v>1</v>
      </c>
      <c r="AC25" s="1538">
        <f>D25/J25</f>
        <v>1</v>
      </c>
    </row>
    <row r="26" spans="1:29" s="113" customFormat="1" ht="15">
      <c r="A26" s="605"/>
      <c r="B26" s="588"/>
      <c r="C26" s="2164"/>
      <c r="D26" s="407"/>
      <c r="E26" s="2165"/>
      <c r="F26" s="407"/>
      <c r="G26" s="2165"/>
      <c r="H26" s="407"/>
      <c r="I26" s="2165"/>
      <c r="J26" s="407"/>
      <c r="K26" s="628"/>
      <c r="L26" s="2946"/>
      <c r="M26" s="2947"/>
      <c r="N26" s="2947"/>
      <c r="O26" s="3001"/>
      <c r="P26" s="3278"/>
      <c r="Q26" s="1528"/>
      <c r="R26" s="710"/>
      <c r="S26" s="711"/>
      <c r="T26" s="710"/>
      <c r="U26" s="711"/>
      <c r="V26" s="710"/>
      <c r="W26" s="711"/>
      <c r="X26" s="712"/>
      <c r="Y26" s="3278"/>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278"/>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78"/>
      <c r="Z27" s="1541" t="str">
        <f t="shared" ref="Z27:Z40" si="13">Q27</f>
        <v>临街状况</v>
      </c>
      <c r="AA27" s="1538">
        <f t="shared" si="3"/>
        <v>1</v>
      </c>
      <c r="AB27" s="1538">
        <f t="shared" si="4"/>
        <v>1</v>
      </c>
      <c r="AC27" s="1538">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278"/>
      <c r="Q28" s="1537" t="str">
        <f t="shared" si="8"/>
        <v>毗邻道路的类型与等级</v>
      </c>
      <c r="R28" s="714" t="s">
        <v>17</v>
      </c>
      <c r="S28" s="715">
        <f t="shared" si="10"/>
        <v>100</v>
      </c>
      <c r="T28" s="714" t="s">
        <v>17</v>
      </c>
      <c r="U28" s="715">
        <f t="shared" si="11"/>
        <v>100</v>
      </c>
      <c r="V28" s="714" t="s">
        <v>17</v>
      </c>
      <c r="W28" s="715">
        <f t="shared" si="12"/>
        <v>100</v>
      </c>
      <c r="X28" s="1540"/>
      <c r="Y28" s="3278"/>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51"/>
      <c r="M29" s="2945"/>
      <c r="N29" s="2945"/>
      <c r="O29" s="3003"/>
      <c r="P29" s="3278"/>
      <c r="Q29" s="1537"/>
      <c r="R29" s="714"/>
      <c r="S29" s="715"/>
      <c r="T29" s="714"/>
      <c r="U29" s="715"/>
      <c r="V29" s="714"/>
      <c r="W29" s="715"/>
      <c r="X29" s="1540"/>
      <c r="Y29" s="3278"/>
      <c r="Z29" s="1541"/>
      <c r="AA29" s="1538">
        <v>1</v>
      </c>
      <c r="AB29" s="1538">
        <v>1</v>
      </c>
      <c r="AC29" s="1538">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278"/>
      <c r="Q30" s="1537" t="str">
        <f t="shared" si="8"/>
        <v>土地级别</v>
      </c>
      <c r="R30" s="714" t="s">
        <v>17</v>
      </c>
      <c r="S30" s="715">
        <f t="shared" si="10"/>
        <v>100</v>
      </c>
      <c r="T30" s="714" t="s">
        <v>17</v>
      </c>
      <c r="U30" s="715">
        <f t="shared" si="11"/>
        <v>100</v>
      </c>
      <c r="V30" s="714" t="s">
        <v>17</v>
      </c>
      <c r="W30" s="715">
        <f t="shared" si="12"/>
        <v>100</v>
      </c>
      <c r="X30" s="1540"/>
      <c r="Y30" s="3278"/>
      <c r="Z30" s="1541" t="str">
        <f t="shared" si="13"/>
        <v>土地级别</v>
      </c>
      <c r="AA30" s="1538">
        <f t="shared" si="3"/>
        <v>1</v>
      </c>
      <c r="AB30" s="1538">
        <f t="shared" si="4"/>
        <v>1</v>
      </c>
      <c r="AC30" s="1538">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278"/>
      <c r="Q31" s="1537">
        <f t="shared" si="8"/>
        <v>111</v>
      </c>
      <c r="R31" s="714" t="s">
        <v>17</v>
      </c>
      <c r="S31" s="715">
        <f t="shared" si="10"/>
        <v>100</v>
      </c>
      <c r="T31" s="714" t="s">
        <v>17</v>
      </c>
      <c r="U31" s="715">
        <f t="shared" si="11"/>
        <v>100</v>
      </c>
      <c r="V31" s="714" t="s">
        <v>17</v>
      </c>
      <c r="W31" s="715">
        <f t="shared" si="12"/>
        <v>100</v>
      </c>
      <c r="X31" s="1540"/>
      <c r="Y31" s="3278"/>
      <c r="Z31" s="1541">
        <f t="shared" si="13"/>
        <v>111</v>
      </c>
      <c r="AA31" s="1538">
        <f t="shared" si="3"/>
        <v>1</v>
      </c>
      <c r="AB31" s="1538">
        <f t="shared" si="4"/>
        <v>1</v>
      </c>
      <c r="AC31" s="1538">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279" t="s">
        <v>2386</v>
      </c>
      <c r="Q32" s="1537">
        <f t="shared" si="8"/>
        <v>111</v>
      </c>
      <c r="R32" s="714" t="s">
        <v>17</v>
      </c>
      <c r="S32" s="715">
        <f t="shared" si="10"/>
        <v>100</v>
      </c>
      <c r="T32" s="714" t="s">
        <v>17</v>
      </c>
      <c r="U32" s="715">
        <f t="shared" si="11"/>
        <v>100</v>
      </c>
      <c r="V32" s="714" t="s">
        <v>17</v>
      </c>
      <c r="W32" s="715">
        <f t="shared" si="12"/>
        <v>100</v>
      </c>
      <c r="X32" s="1540"/>
      <c r="Y32" s="3280" t="s">
        <v>2386</v>
      </c>
      <c r="Z32" s="1541">
        <f t="shared" si="13"/>
        <v>111</v>
      </c>
      <c r="AA32" s="1538">
        <f t="shared" si="3"/>
        <v>1</v>
      </c>
      <c r="AB32" s="1538">
        <f t="shared" si="4"/>
        <v>1</v>
      </c>
      <c r="AC32" s="1538">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280"/>
      <c r="Q33" s="1537">
        <f t="shared" si="8"/>
        <v>111</v>
      </c>
      <c r="R33" s="717" t="s">
        <v>17</v>
      </c>
      <c r="S33" s="718">
        <f t="shared" si="10"/>
        <v>100</v>
      </c>
      <c r="T33" s="717" t="s">
        <v>17</v>
      </c>
      <c r="U33" s="718">
        <f t="shared" si="11"/>
        <v>100</v>
      </c>
      <c r="V33" s="717" t="s">
        <v>17</v>
      </c>
      <c r="W33" s="718">
        <f t="shared" si="12"/>
        <v>100</v>
      </c>
      <c r="X33" s="719"/>
      <c r="Y33" s="3280"/>
      <c r="Z33" s="720">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280"/>
      <c r="Q34" s="1537" t="str">
        <f>B34</f>
        <v>宗地面积</v>
      </c>
      <c r="R34" s="714" t="s">
        <v>17</v>
      </c>
      <c r="S34" s="715" t="e">
        <f t="shared" si="10"/>
        <v>#N/A</v>
      </c>
      <c r="T34" s="714" t="s">
        <v>17</v>
      </c>
      <c r="U34" s="715" t="e">
        <f t="shared" si="11"/>
        <v>#N/A</v>
      </c>
      <c r="V34" s="714" t="s">
        <v>17</v>
      </c>
      <c r="W34" s="715" t="e">
        <f t="shared" si="12"/>
        <v>#N/A</v>
      </c>
      <c r="X34" s="1540"/>
      <c r="Y34" s="3280"/>
      <c r="Z34" s="1541" t="str">
        <f t="shared" si="13"/>
        <v>宗地面积</v>
      </c>
      <c r="AA34" s="1538" t="e">
        <f t="shared" si="3"/>
        <v>#N/A</v>
      </c>
      <c r="AB34" s="1538" t="e">
        <f t="shared" si="4"/>
        <v>#N/A</v>
      </c>
      <c r="AC34" s="1538"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280"/>
      <c r="Q35" s="1537" t="str">
        <f t="shared" ref="Q35:Q40" si="14">B35</f>
        <v>宗地形状</v>
      </c>
      <c r="R35" s="714" t="s">
        <v>17</v>
      </c>
      <c r="S35" s="715">
        <f t="shared" si="10"/>
        <v>100</v>
      </c>
      <c r="T35" s="714" t="s">
        <v>17</v>
      </c>
      <c r="U35" s="715">
        <f t="shared" si="11"/>
        <v>100</v>
      </c>
      <c r="V35" s="714" t="s">
        <v>17</v>
      </c>
      <c r="W35" s="715">
        <f t="shared" si="12"/>
        <v>100</v>
      </c>
      <c r="X35" s="1540"/>
      <c r="Y35" s="3280"/>
      <c r="Z35" s="1541" t="str">
        <f t="shared" si="13"/>
        <v>宗地形状</v>
      </c>
      <c r="AA35" s="1538">
        <f t="shared" si="3"/>
        <v>1</v>
      </c>
      <c r="AB35" s="1538">
        <f t="shared" si="4"/>
        <v>1</v>
      </c>
      <c r="AC35" s="1538">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280"/>
      <c r="Q36" s="1537" t="str">
        <f t="shared" si="14"/>
        <v>宗地开发程度</v>
      </c>
      <c r="R36" s="710" t="s">
        <v>17</v>
      </c>
      <c r="S36" s="711">
        <f t="shared" si="10"/>
        <v>100</v>
      </c>
      <c r="T36" s="710" t="s">
        <v>17</v>
      </c>
      <c r="U36" s="711">
        <f t="shared" si="11"/>
        <v>100</v>
      </c>
      <c r="V36" s="710" t="s">
        <v>17</v>
      </c>
      <c r="W36" s="711">
        <f t="shared" si="12"/>
        <v>100</v>
      </c>
      <c r="X36" s="712"/>
      <c r="Y36" s="3280"/>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280" t="s">
        <v>2386</v>
      </c>
      <c r="Q37" s="1537" t="str">
        <f t="shared" si="14"/>
        <v>工程地质条件</v>
      </c>
      <c r="R37" s="714" t="s">
        <v>17</v>
      </c>
      <c r="S37" s="715">
        <f t="shared" si="10"/>
        <v>100</v>
      </c>
      <c r="T37" s="714" t="s">
        <v>17</v>
      </c>
      <c r="U37" s="715">
        <f t="shared" si="11"/>
        <v>100</v>
      </c>
      <c r="V37" s="714" t="s">
        <v>17</v>
      </c>
      <c r="W37" s="715">
        <f t="shared" si="12"/>
        <v>100</v>
      </c>
      <c r="X37" s="1540"/>
      <c r="Y37" s="3280"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280"/>
      <c r="Q38" s="1537">
        <f t="shared" si="14"/>
        <v>111</v>
      </c>
      <c r="R38" s="714" t="s">
        <v>17</v>
      </c>
      <c r="S38" s="715">
        <f t="shared" si="10"/>
        <v>100</v>
      </c>
      <c r="T38" s="714" t="s">
        <v>17</v>
      </c>
      <c r="U38" s="715">
        <f t="shared" si="11"/>
        <v>100</v>
      </c>
      <c r="V38" s="714" t="s">
        <v>17</v>
      </c>
      <c r="W38" s="715">
        <f t="shared" si="12"/>
        <v>100</v>
      </c>
      <c r="X38" s="1540"/>
      <c r="Y38" s="3280"/>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280"/>
      <c r="Q39" s="1537">
        <f t="shared" si="14"/>
        <v>111</v>
      </c>
      <c r="R39" s="714" t="s">
        <v>17</v>
      </c>
      <c r="S39" s="715">
        <f t="shared" si="10"/>
        <v>100</v>
      </c>
      <c r="T39" s="714" t="s">
        <v>17</v>
      </c>
      <c r="U39" s="715">
        <f t="shared" si="11"/>
        <v>100</v>
      </c>
      <c r="V39" s="714" t="s">
        <v>17</v>
      </c>
      <c r="W39" s="715">
        <f t="shared" si="12"/>
        <v>100</v>
      </c>
      <c r="X39" s="1540"/>
      <c r="Y39" s="3280"/>
      <c r="Z39" s="1541">
        <f t="shared" si="13"/>
        <v>111</v>
      </c>
      <c r="AA39" s="1538">
        <f t="shared" si="3"/>
        <v>1</v>
      </c>
      <c r="AB39" s="1538">
        <f t="shared" si="4"/>
        <v>1</v>
      </c>
      <c r="AC39" s="1538">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280"/>
      <c r="Q40" s="1537">
        <f t="shared" si="14"/>
        <v>111</v>
      </c>
      <c r="R40" s="717" t="s">
        <v>17</v>
      </c>
      <c r="S40" s="718">
        <f t="shared" si="10"/>
        <v>100</v>
      </c>
      <c r="T40" s="717" t="s">
        <v>17</v>
      </c>
      <c r="U40" s="718">
        <f t="shared" si="11"/>
        <v>100</v>
      </c>
      <c r="V40" s="717" t="s">
        <v>17</v>
      </c>
      <c r="W40" s="718">
        <f t="shared" si="12"/>
        <v>100</v>
      </c>
      <c r="X40" s="719"/>
      <c r="Y40" s="3280"/>
      <c r="Z40" s="720">
        <f t="shared" si="13"/>
        <v>111</v>
      </c>
      <c r="AA40" s="1538">
        <f t="shared" si="3"/>
        <v>1</v>
      </c>
      <c r="AB40" s="1538">
        <f t="shared" si="4"/>
        <v>1</v>
      </c>
      <c r="AC40" s="1538">
        <f t="shared" si="5"/>
        <v>1</v>
      </c>
    </row>
    <row r="41" spans="1:31" ht="15">
      <c r="A41" s="438" t="s">
        <v>2541</v>
      </c>
      <c r="B41" s="2168" t="s">
        <v>3362</v>
      </c>
      <c r="C41" s="638" t="s">
        <v>1</v>
      </c>
      <c r="D41" s="440"/>
      <c r="E41" s="441"/>
      <c r="F41" s="442"/>
      <c r="G41" s="443"/>
      <c r="H41" s="444"/>
      <c r="I41" s="441"/>
      <c r="J41" s="444"/>
      <c r="K41" s="723"/>
      <c r="L41" s="2953"/>
      <c r="M41" s="2945"/>
      <c r="N41" s="2945"/>
      <c r="O41" s="2954"/>
      <c r="P41" s="3275" t="str">
        <f>A41</f>
        <v>成交单价</v>
      </c>
      <c r="Q41" s="3275"/>
      <c r="R41" s="3281">
        <f>E41</f>
        <v>0</v>
      </c>
      <c r="S41" s="3281"/>
      <c r="T41" s="3281">
        <f>G41</f>
        <v>0</v>
      </c>
      <c r="U41" s="3281"/>
      <c r="V41" s="3281">
        <f>I41</f>
        <v>0</v>
      </c>
      <c r="W41" s="3281"/>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275" t="str">
        <f>A42</f>
        <v>比较价值（元/平方米）</v>
      </c>
      <c r="Q42" s="3275"/>
      <c r="R42" s="3268" t="e">
        <f>ROUND(PRODUCT(R41,AA7:AA40),0)</f>
        <v>#DIV/0!</v>
      </c>
      <c r="S42" s="3268"/>
      <c r="T42" s="3268" t="e">
        <f>ROUND(PRODUCT(T41,AB7:AB40),0)</f>
        <v>#DIV/0!</v>
      </c>
      <c r="U42" s="3268"/>
      <c r="V42" s="3268" t="e">
        <f>ROUND(PRODUCT(V41,AC7:AC40),0)</f>
        <v>#DIV/0!</v>
      </c>
      <c r="W42" s="3268"/>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269" t="str">
        <f>A43</f>
        <v>估价对象XX用房的比较价值（楼面单价，元/平方米）</v>
      </c>
      <c r="Q43" s="3270"/>
      <c r="R43" s="3271" t="e">
        <f>ROUND(IF(D42="简单平均",AVERAGE(R42:W42),R42*F42+T42*H42+V42*J42),0)</f>
        <v>#DIV/0!</v>
      </c>
      <c r="S43" s="3271"/>
      <c r="T43" s="3271"/>
      <c r="U43" s="3271"/>
      <c r="V43" s="3271"/>
      <c r="W43" s="3271"/>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72" t="s">
        <v>2585</v>
      </c>
      <c r="H50" s="3273"/>
      <c r="I50" s="1541" t="s">
        <v>2621</v>
      </c>
      <c r="J50" s="1541">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21890.489999999998</v>
      </c>
      <c r="F51" s="647" t="e">
        <f t="shared" ref="F51:F60" si="15">ROUND(B51*E51/10000,0)</f>
        <v>#DIV/0!</v>
      </c>
      <c r="G51" s="3274"/>
      <c r="H51" s="3275"/>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276"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276"/>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276"/>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276"/>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21890.489999999998</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2622</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52" priority="18" stopIfTrue="1" operator="containsText" text="超过">
      <formula>NOT(ISERROR(SEARCH("超过",F46)))</formula>
    </cfRule>
  </conditionalFormatting>
  <conditionalFormatting sqref="J48">
    <cfRule type="containsText" dxfId="151" priority="17" stopIfTrue="1" operator="containsText" text="超过">
      <formula>NOT(ISERROR(SEARCH("超过",J48)))</formula>
    </cfRule>
  </conditionalFormatting>
  <conditionalFormatting sqref="H48">
    <cfRule type="containsText" dxfId="150" priority="16" stopIfTrue="1" operator="containsText" text="超过">
      <formula>NOT(ISERROR(SEARCH("超过",H48)))</formula>
    </cfRule>
  </conditionalFormatting>
  <conditionalFormatting sqref="F48">
    <cfRule type="containsText" dxfId="149" priority="15" stopIfTrue="1" operator="containsText" text="超过">
      <formula>NOT(ISERROR(SEARCH("超过",F48)))</formula>
    </cfRule>
  </conditionalFormatting>
  <conditionalFormatting sqref="F47 H47 J47">
    <cfRule type="containsText" dxfId="148" priority="14" stopIfTrue="1" operator="containsText" text="超过">
      <formula>NOT(ISERROR(SEARCH("超过",F47)))</formula>
    </cfRule>
  </conditionalFormatting>
  <conditionalFormatting sqref="E46">
    <cfRule type="expression" dxfId="147" priority="13" stopIfTrue="1">
      <formula>$F$46="超过30%"</formula>
    </cfRule>
  </conditionalFormatting>
  <conditionalFormatting sqref="G48">
    <cfRule type="expression" dxfId="146" priority="12" stopIfTrue="1">
      <formula>$H$48="超过30%"</formula>
    </cfRule>
  </conditionalFormatting>
  <conditionalFormatting sqref="E48">
    <cfRule type="expression" dxfId="145" priority="10" stopIfTrue="1">
      <formula>$F$48="超过30%"</formula>
    </cfRule>
  </conditionalFormatting>
  <conditionalFormatting sqref="G46">
    <cfRule type="expression" dxfId="144" priority="9" stopIfTrue="1">
      <formula>$H$46="超过30%"</formula>
    </cfRule>
  </conditionalFormatting>
  <conditionalFormatting sqref="G47">
    <cfRule type="expression" dxfId="143" priority="8" stopIfTrue="1">
      <formula>$H$47="超过20%"</formula>
    </cfRule>
  </conditionalFormatting>
  <conditionalFormatting sqref="I46">
    <cfRule type="expression" dxfId="142" priority="7" stopIfTrue="1">
      <formula>$J$46="超过30%"</formula>
    </cfRule>
  </conditionalFormatting>
  <conditionalFormatting sqref="I47">
    <cfRule type="expression" dxfId="141" priority="6" stopIfTrue="1">
      <formula>$J$47="超过20%"</formula>
    </cfRule>
  </conditionalFormatting>
  <conditionalFormatting sqref="I48">
    <cfRule type="expression" dxfId="140" priority="5" stopIfTrue="1">
      <formula>$J$48="超过30%"</formula>
    </cfRule>
  </conditionalFormatting>
  <conditionalFormatting sqref="E47">
    <cfRule type="expression" dxfId="139" priority="53" stopIfTrue="1">
      <formula>#REF!+$F$47="超过20%"</formula>
    </cfRule>
  </conditionalFormatting>
  <conditionalFormatting sqref="F42">
    <cfRule type="expression" dxfId="138" priority="4">
      <formula>$D$42="简单平均"</formula>
    </cfRule>
  </conditionalFormatting>
  <conditionalFormatting sqref="H42">
    <cfRule type="expression" dxfId="137" priority="3">
      <formula>$D$42="简单平均"</formula>
    </cfRule>
  </conditionalFormatting>
  <conditionalFormatting sqref="J42">
    <cfRule type="expression" dxfId="136" priority="2">
      <formula>$D$42="简单平均"</formula>
    </cfRule>
  </conditionalFormatting>
  <conditionalFormatting sqref="F7:F40 H7:H40 J7:J40">
    <cfRule type="cellIs" dxfId="13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89"/>
  <sheetViews>
    <sheetView workbookViewId="0">
      <selection activeCell="A41" sqref="A41"/>
    </sheetView>
  </sheetViews>
  <sheetFormatPr defaultRowHeight="12.75"/>
  <cols>
    <col min="1" max="1" width="28.125" style="3054" customWidth="1"/>
    <col min="2" max="2" width="6.25" style="3054" customWidth="1"/>
    <col min="3" max="3" width="7.875" style="3054" customWidth="1"/>
    <col min="4" max="4" width="9.75" style="3054" customWidth="1"/>
    <col min="5" max="5" width="10.25" style="3054" customWidth="1"/>
    <col min="6" max="6" width="12.5" style="3054" customWidth="1"/>
    <col min="7" max="7" width="5.25" style="3054" customWidth="1"/>
    <col min="8" max="8" width="7.875" style="3054" customWidth="1"/>
    <col min="9" max="10" width="9" style="3054" customWidth="1"/>
    <col min="11" max="11" width="7" style="3054" customWidth="1"/>
    <col min="12" max="12" width="7.5" style="3054" customWidth="1"/>
    <col min="13" max="13" width="10.5" style="3054" customWidth="1"/>
    <col min="14" max="14" width="4.125" style="3054" customWidth="1"/>
    <col min="15" max="15" width="34.375" style="3054" customWidth="1"/>
    <col min="16" max="16" width="7.875" style="3054" customWidth="1"/>
    <col min="17" max="256" width="9" style="3054"/>
    <col min="257" max="257" width="28.125" style="3054" customWidth="1"/>
    <col min="258" max="258" width="6.25" style="3054" customWidth="1"/>
    <col min="259" max="259" width="7.875" style="3054" customWidth="1"/>
    <col min="260" max="260" width="9.75" style="3054" customWidth="1"/>
    <col min="261" max="261" width="10.25" style="3054" customWidth="1"/>
    <col min="262" max="262" width="12.5" style="3054" customWidth="1"/>
    <col min="263" max="263" width="5.25" style="3054" customWidth="1"/>
    <col min="264" max="264" width="7.875" style="3054" customWidth="1"/>
    <col min="265" max="266" width="9" style="3054" customWidth="1"/>
    <col min="267" max="267" width="7" style="3054" customWidth="1"/>
    <col min="268" max="268" width="7.5" style="3054" customWidth="1"/>
    <col min="269" max="269" width="10.5" style="3054" customWidth="1"/>
    <col min="270" max="270" width="4.125" style="3054" customWidth="1"/>
    <col min="271" max="271" width="34.375" style="3054" customWidth="1"/>
    <col min="272" max="272" width="7.875" style="3054" customWidth="1"/>
    <col min="273" max="512" width="9" style="3054"/>
    <col min="513" max="513" width="28.125" style="3054" customWidth="1"/>
    <col min="514" max="514" width="6.25" style="3054" customWidth="1"/>
    <col min="515" max="515" width="7.875" style="3054" customWidth="1"/>
    <col min="516" max="516" width="9.75" style="3054" customWidth="1"/>
    <col min="517" max="517" width="10.25" style="3054" customWidth="1"/>
    <col min="518" max="518" width="12.5" style="3054" customWidth="1"/>
    <col min="519" max="519" width="5.25" style="3054" customWidth="1"/>
    <col min="520" max="520" width="7.875" style="3054" customWidth="1"/>
    <col min="521" max="522" width="9" style="3054" customWidth="1"/>
    <col min="523" max="523" width="7" style="3054" customWidth="1"/>
    <col min="524" max="524" width="7.5" style="3054" customWidth="1"/>
    <col min="525" max="525" width="10.5" style="3054" customWidth="1"/>
    <col min="526" max="526" width="4.125" style="3054" customWidth="1"/>
    <col min="527" max="527" width="34.375" style="3054" customWidth="1"/>
    <col min="528" max="528" width="7.875" style="3054" customWidth="1"/>
    <col min="529" max="768" width="9" style="3054"/>
    <col min="769" max="769" width="28.125" style="3054" customWidth="1"/>
    <col min="770" max="770" width="6.25" style="3054" customWidth="1"/>
    <col min="771" max="771" width="7.875" style="3054" customWidth="1"/>
    <col min="772" max="772" width="9.75" style="3054" customWidth="1"/>
    <col min="773" max="773" width="10.25" style="3054" customWidth="1"/>
    <col min="774" max="774" width="12.5" style="3054" customWidth="1"/>
    <col min="775" max="775" width="5.25" style="3054" customWidth="1"/>
    <col min="776" max="776" width="7.875" style="3054" customWidth="1"/>
    <col min="777" max="778" width="9" style="3054" customWidth="1"/>
    <col min="779" max="779" width="7" style="3054" customWidth="1"/>
    <col min="780" max="780" width="7.5" style="3054" customWidth="1"/>
    <col min="781" max="781" width="10.5" style="3054" customWidth="1"/>
    <col min="782" max="782" width="4.125" style="3054" customWidth="1"/>
    <col min="783" max="783" width="34.375" style="3054" customWidth="1"/>
    <col min="784" max="784" width="7.875" style="3054" customWidth="1"/>
    <col min="785" max="1024" width="9" style="3054"/>
    <col min="1025" max="1025" width="28.125" style="3054" customWidth="1"/>
    <col min="1026" max="1026" width="6.25" style="3054" customWidth="1"/>
    <col min="1027" max="1027" width="7.875" style="3054" customWidth="1"/>
    <col min="1028" max="1028" width="9.75" style="3054" customWidth="1"/>
    <col min="1029" max="1029" width="10.25" style="3054" customWidth="1"/>
    <col min="1030" max="1030" width="12.5" style="3054" customWidth="1"/>
    <col min="1031" max="1031" width="5.25" style="3054" customWidth="1"/>
    <col min="1032" max="1032" width="7.875" style="3054" customWidth="1"/>
    <col min="1033" max="1034" width="9" style="3054" customWidth="1"/>
    <col min="1035" max="1035" width="7" style="3054" customWidth="1"/>
    <col min="1036" max="1036" width="7.5" style="3054" customWidth="1"/>
    <col min="1037" max="1037" width="10.5" style="3054" customWidth="1"/>
    <col min="1038" max="1038" width="4.125" style="3054" customWidth="1"/>
    <col min="1039" max="1039" width="34.375" style="3054" customWidth="1"/>
    <col min="1040" max="1040" width="7.875" style="3054" customWidth="1"/>
    <col min="1041" max="1280" width="9" style="3054"/>
    <col min="1281" max="1281" width="28.125" style="3054" customWidth="1"/>
    <col min="1282" max="1282" width="6.25" style="3054" customWidth="1"/>
    <col min="1283" max="1283" width="7.875" style="3054" customWidth="1"/>
    <col min="1284" max="1284" width="9.75" style="3054" customWidth="1"/>
    <col min="1285" max="1285" width="10.25" style="3054" customWidth="1"/>
    <col min="1286" max="1286" width="12.5" style="3054" customWidth="1"/>
    <col min="1287" max="1287" width="5.25" style="3054" customWidth="1"/>
    <col min="1288" max="1288" width="7.875" style="3054" customWidth="1"/>
    <col min="1289" max="1290" width="9" style="3054" customWidth="1"/>
    <col min="1291" max="1291" width="7" style="3054" customWidth="1"/>
    <col min="1292" max="1292" width="7.5" style="3054" customWidth="1"/>
    <col min="1293" max="1293" width="10.5" style="3054" customWidth="1"/>
    <col min="1294" max="1294" width="4.125" style="3054" customWidth="1"/>
    <col min="1295" max="1295" width="34.375" style="3054" customWidth="1"/>
    <col min="1296" max="1296" width="7.875" style="3054" customWidth="1"/>
    <col min="1297" max="1536" width="9" style="3054"/>
    <col min="1537" max="1537" width="28.125" style="3054" customWidth="1"/>
    <col min="1538" max="1538" width="6.25" style="3054" customWidth="1"/>
    <col min="1539" max="1539" width="7.875" style="3054" customWidth="1"/>
    <col min="1540" max="1540" width="9.75" style="3054" customWidth="1"/>
    <col min="1541" max="1541" width="10.25" style="3054" customWidth="1"/>
    <col min="1542" max="1542" width="12.5" style="3054" customWidth="1"/>
    <col min="1543" max="1543" width="5.25" style="3054" customWidth="1"/>
    <col min="1544" max="1544" width="7.875" style="3054" customWidth="1"/>
    <col min="1545" max="1546" width="9" style="3054" customWidth="1"/>
    <col min="1547" max="1547" width="7" style="3054" customWidth="1"/>
    <col min="1548" max="1548" width="7.5" style="3054" customWidth="1"/>
    <col min="1549" max="1549" width="10.5" style="3054" customWidth="1"/>
    <col min="1550" max="1550" width="4.125" style="3054" customWidth="1"/>
    <col min="1551" max="1551" width="34.375" style="3054" customWidth="1"/>
    <col min="1552" max="1552" width="7.875" style="3054" customWidth="1"/>
    <col min="1553" max="1792" width="9" style="3054"/>
    <col min="1793" max="1793" width="28.125" style="3054" customWidth="1"/>
    <col min="1794" max="1794" width="6.25" style="3054" customWidth="1"/>
    <col min="1795" max="1795" width="7.875" style="3054" customWidth="1"/>
    <col min="1796" max="1796" width="9.75" style="3054" customWidth="1"/>
    <col min="1797" max="1797" width="10.25" style="3054" customWidth="1"/>
    <col min="1798" max="1798" width="12.5" style="3054" customWidth="1"/>
    <col min="1799" max="1799" width="5.25" style="3054" customWidth="1"/>
    <col min="1800" max="1800" width="7.875" style="3054" customWidth="1"/>
    <col min="1801" max="1802" width="9" style="3054" customWidth="1"/>
    <col min="1803" max="1803" width="7" style="3054" customWidth="1"/>
    <col min="1804" max="1804" width="7.5" style="3054" customWidth="1"/>
    <col min="1805" max="1805" width="10.5" style="3054" customWidth="1"/>
    <col min="1806" max="1806" width="4.125" style="3054" customWidth="1"/>
    <col min="1807" max="1807" width="34.375" style="3054" customWidth="1"/>
    <col min="1808" max="1808" width="7.875" style="3054" customWidth="1"/>
    <col min="1809" max="2048" width="9" style="3054"/>
    <col min="2049" max="2049" width="28.125" style="3054" customWidth="1"/>
    <col min="2050" max="2050" width="6.25" style="3054" customWidth="1"/>
    <col min="2051" max="2051" width="7.875" style="3054" customWidth="1"/>
    <col min="2052" max="2052" width="9.75" style="3054" customWidth="1"/>
    <col min="2053" max="2053" width="10.25" style="3054" customWidth="1"/>
    <col min="2054" max="2054" width="12.5" style="3054" customWidth="1"/>
    <col min="2055" max="2055" width="5.25" style="3054" customWidth="1"/>
    <col min="2056" max="2056" width="7.875" style="3054" customWidth="1"/>
    <col min="2057" max="2058" width="9" style="3054" customWidth="1"/>
    <col min="2059" max="2059" width="7" style="3054" customWidth="1"/>
    <col min="2060" max="2060" width="7.5" style="3054" customWidth="1"/>
    <col min="2061" max="2061" width="10.5" style="3054" customWidth="1"/>
    <col min="2062" max="2062" width="4.125" style="3054" customWidth="1"/>
    <col min="2063" max="2063" width="34.375" style="3054" customWidth="1"/>
    <col min="2064" max="2064" width="7.875" style="3054" customWidth="1"/>
    <col min="2065" max="2304" width="9" style="3054"/>
    <col min="2305" max="2305" width="28.125" style="3054" customWidth="1"/>
    <col min="2306" max="2306" width="6.25" style="3054" customWidth="1"/>
    <col min="2307" max="2307" width="7.875" style="3054" customWidth="1"/>
    <col min="2308" max="2308" width="9.75" style="3054" customWidth="1"/>
    <col min="2309" max="2309" width="10.25" style="3054" customWidth="1"/>
    <col min="2310" max="2310" width="12.5" style="3054" customWidth="1"/>
    <col min="2311" max="2311" width="5.25" style="3054" customWidth="1"/>
    <col min="2312" max="2312" width="7.875" style="3054" customWidth="1"/>
    <col min="2313" max="2314" width="9" style="3054" customWidth="1"/>
    <col min="2315" max="2315" width="7" style="3054" customWidth="1"/>
    <col min="2316" max="2316" width="7.5" style="3054" customWidth="1"/>
    <col min="2317" max="2317" width="10.5" style="3054" customWidth="1"/>
    <col min="2318" max="2318" width="4.125" style="3054" customWidth="1"/>
    <col min="2319" max="2319" width="34.375" style="3054" customWidth="1"/>
    <col min="2320" max="2320" width="7.875" style="3054" customWidth="1"/>
    <col min="2321" max="2560" width="9" style="3054"/>
    <col min="2561" max="2561" width="28.125" style="3054" customWidth="1"/>
    <col min="2562" max="2562" width="6.25" style="3054" customWidth="1"/>
    <col min="2563" max="2563" width="7.875" style="3054" customWidth="1"/>
    <col min="2564" max="2564" width="9.75" style="3054" customWidth="1"/>
    <col min="2565" max="2565" width="10.25" style="3054" customWidth="1"/>
    <col min="2566" max="2566" width="12.5" style="3054" customWidth="1"/>
    <col min="2567" max="2567" width="5.25" style="3054" customWidth="1"/>
    <col min="2568" max="2568" width="7.875" style="3054" customWidth="1"/>
    <col min="2569" max="2570" width="9" style="3054" customWidth="1"/>
    <col min="2571" max="2571" width="7" style="3054" customWidth="1"/>
    <col min="2572" max="2572" width="7.5" style="3054" customWidth="1"/>
    <col min="2573" max="2573" width="10.5" style="3054" customWidth="1"/>
    <col min="2574" max="2574" width="4.125" style="3054" customWidth="1"/>
    <col min="2575" max="2575" width="34.375" style="3054" customWidth="1"/>
    <col min="2576" max="2576" width="7.875" style="3054" customWidth="1"/>
    <col min="2577" max="2816" width="9" style="3054"/>
    <col min="2817" max="2817" width="28.125" style="3054" customWidth="1"/>
    <col min="2818" max="2818" width="6.25" style="3054" customWidth="1"/>
    <col min="2819" max="2819" width="7.875" style="3054" customWidth="1"/>
    <col min="2820" max="2820" width="9.75" style="3054" customWidth="1"/>
    <col min="2821" max="2821" width="10.25" style="3054" customWidth="1"/>
    <col min="2822" max="2822" width="12.5" style="3054" customWidth="1"/>
    <col min="2823" max="2823" width="5.25" style="3054" customWidth="1"/>
    <col min="2824" max="2824" width="7.875" style="3054" customWidth="1"/>
    <col min="2825" max="2826" width="9" style="3054" customWidth="1"/>
    <col min="2827" max="2827" width="7" style="3054" customWidth="1"/>
    <col min="2828" max="2828" width="7.5" style="3054" customWidth="1"/>
    <col min="2829" max="2829" width="10.5" style="3054" customWidth="1"/>
    <col min="2830" max="2830" width="4.125" style="3054" customWidth="1"/>
    <col min="2831" max="2831" width="34.375" style="3054" customWidth="1"/>
    <col min="2832" max="2832" width="7.875" style="3054" customWidth="1"/>
    <col min="2833" max="3072" width="9" style="3054"/>
    <col min="3073" max="3073" width="28.125" style="3054" customWidth="1"/>
    <col min="3074" max="3074" width="6.25" style="3054" customWidth="1"/>
    <col min="3075" max="3075" width="7.875" style="3054" customWidth="1"/>
    <col min="3076" max="3076" width="9.75" style="3054" customWidth="1"/>
    <col min="3077" max="3077" width="10.25" style="3054" customWidth="1"/>
    <col min="3078" max="3078" width="12.5" style="3054" customWidth="1"/>
    <col min="3079" max="3079" width="5.25" style="3054" customWidth="1"/>
    <col min="3080" max="3080" width="7.875" style="3054" customWidth="1"/>
    <col min="3081" max="3082" width="9" style="3054" customWidth="1"/>
    <col min="3083" max="3083" width="7" style="3054" customWidth="1"/>
    <col min="3084" max="3084" width="7.5" style="3054" customWidth="1"/>
    <col min="3085" max="3085" width="10.5" style="3054" customWidth="1"/>
    <col min="3086" max="3086" width="4.125" style="3054" customWidth="1"/>
    <col min="3087" max="3087" width="34.375" style="3054" customWidth="1"/>
    <col min="3088" max="3088" width="7.875" style="3054" customWidth="1"/>
    <col min="3089" max="3328" width="9" style="3054"/>
    <col min="3329" max="3329" width="28.125" style="3054" customWidth="1"/>
    <col min="3330" max="3330" width="6.25" style="3054" customWidth="1"/>
    <col min="3331" max="3331" width="7.875" style="3054" customWidth="1"/>
    <col min="3332" max="3332" width="9.75" style="3054" customWidth="1"/>
    <col min="3333" max="3333" width="10.25" style="3054" customWidth="1"/>
    <col min="3334" max="3334" width="12.5" style="3054" customWidth="1"/>
    <col min="3335" max="3335" width="5.25" style="3054" customWidth="1"/>
    <col min="3336" max="3336" width="7.875" style="3054" customWidth="1"/>
    <col min="3337" max="3338" width="9" style="3054" customWidth="1"/>
    <col min="3339" max="3339" width="7" style="3054" customWidth="1"/>
    <col min="3340" max="3340" width="7.5" style="3054" customWidth="1"/>
    <col min="3341" max="3341" width="10.5" style="3054" customWidth="1"/>
    <col min="3342" max="3342" width="4.125" style="3054" customWidth="1"/>
    <col min="3343" max="3343" width="34.375" style="3054" customWidth="1"/>
    <col min="3344" max="3344" width="7.875" style="3054" customWidth="1"/>
    <col min="3345" max="3584" width="9" style="3054"/>
    <col min="3585" max="3585" width="28.125" style="3054" customWidth="1"/>
    <col min="3586" max="3586" width="6.25" style="3054" customWidth="1"/>
    <col min="3587" max="3587" width="7.875" style="3054" customWidth="1"/>
    <col min="3588" max="3588" width="9.75" style="3054" customWidth="1"/>
    <col min="3589" max="3589" width="10.25" style="3054" customWidth="1"/>
    <col min="3590" max="3590" width="12.5" style="3054" customWidth="1"/>
    <col min="3591" max="3591" width="5.25" style="3054" customWidth="1"/>
    <col min="3592" max="3592" width="7.875" style="3054" customWidth="1"/>
    <col min="3593" max="3594" width="9" style="3054" customWidth="1"/>
    <col min="3595" max="3595" width="7" style="3054" customWidth="1"/>
    <col min="3596" max="3596" width="7.5" style="3054" customWidth="1"/>
    <col min="3597" max="3597" width="10.5" style="3054" customWidth="1"/>
    <col min="3598" max="3598" width="4.125" style="3054" customWidth="1"/>
    <col min="3599" max="3599" width="34.375" style="3054" customWidth="1"/>
    <col min="3600" max="3600" width="7.875" style="3054" customWidth="1"/>
    <col min="3601" max="3840" width="9" style="3054"/>
    <col min="3841" max="3841" width="28.125" style="3054" customWidth="1"/>
    <col min="3842" max="3842" width="6.25" style="3054" customWidth="1"/>
    <col min="3843" max="3843" width="7.875" style="3054" customWidth="1"/>
    <col min="3844" max="3844" width="9.75" style="3054" customWidth="1"/>
    <col min="3845" max="3845" width="10.25" style="3054" customWidth="1"/>
    <col min="3846" max="3846" width="12.5" style="3054" customWidth="1"/>
    <col min="3847" max="3847" width="5.25" style="3054" customWidth="1"/>
    <col min="3848" max="3848" width="7.875" style="3054" customWidth="1"/>
    <col min="3849" max="3850" width="9" style="3054" customWidth="1"/>
    <col min="3851" max="3851" width="7" style="3054" customWidth="1"/>
    <col min="3852" max="3852" width="7.5" style="3054" customWidth="1"/>
    <col min="3853" max="3853" width="10.5" style="3054" customWidth="1"/>
    <col min="3854" max="3854" width="4.125" style="3054" customWidth="1"/>
    <col min="3855" max="3855" width="34.375" style="3054" customWidth="1"/>
    <col min="3856" max="3856" width="7.875" style="3054" customWidth="1"/>
    <col min="3857" max="4096" width="9" style="3054"/>
    <col min="4097" max="4097" width="28.125" style="3054" customWidth="1"/>
    <col min="4098" max="4098" width="6.25" style="3054" customWidth="1"/>
    <col min="4099" max="4099" width="7.875" style="3054" customWidth="1"/>
    <col min="4100" max="4100" width="9.75" style="3054" customWidth="1"/>
    <col min="4101" max="4101" width="10.25" style="3054" customWidth="1"/>
    <col min="4102" max="4102" width="12.5" style="3054" customWidth="1"/>
    <col min="4103" max="4103" width="5.25" style="3054" customWidth="1"/>
    <col min="4104" max="4104" width="7.875" style="3054" customWidth="1"/>
    <col min="4105" max="4106" width="9" style="3054" customWidth="1"/>
    <col min="4107" max="4107" width="7" style="3054" customWidth="1"/>
    <col min="4108" max="4108" width="7.5" style="3054" customWidth="1"/>
    <col min="4109" max="4109" width="10.5" style="3054" customWidth="1"/>
    <col min="4110" max="4110" width="4.125" style="3054" customWidth="1"/>
    <col min="4111" max="4111" width="34.375" style="3054" customWidth="1"/>
    <col min="4112" max="4112" width="7.875" style="3054" customWidth="1"/>
    <col min="4113" max="4352" width="9" style="3054"/>
    <col min="4353" max="4353" width="28.125" style="3054" customWidth="1"/>
    <col min="4354" max="4354" width="6.25" style="3054" customWidth="1"/>
    <col min="4355" max="4355" width="7.875" style="3054" customWidth="1"/>
    <col min="4356" max="4356" width="9.75" style="3054" customWidth="1"/>
    <col min="4357" max="4357" width="10.25" style="3054" customWidth="1"/>
    <col min="4358" max="4358" width="12.5" style="3054" customWidth="1"/>
    <col min="4359" max="4359" width="5.25" style="3054" customWidth="1"/>
    <col min="4360" max="4360" width="7.875" style="3054" customWidth="1"/>
    <col min="4361" max="4362" width="9" style="3054" customWidth="1"/>
    <col min="4363" max="4363" width="7" style="3054" customWidth="1"/>
    <col min="4364" max="4364" width="7.5" style="3054" customWidth="1"/>
    <col min="4365" max="4365" width="10.5" style="3054" customWidth="1"/>
    <col min="4366" max="4366" width="4.125" style="3054" customWidth="1"/>
    <col min="4367" max="4367" width="34.375" style="3054" customWidth="1"/>
    <col min="4368" max="4368" width="7.875" style="3054" customWidth="1"/>
    <col min="4369" max="4608" width="9" style="3054"/>
    <col min="4609" max="4609" width="28.125" style="3054" customWidth="1"/>
    <col min="4610" max="4610" width="6.25" style="3054" customWidth="1"/>
    <col min="4611" max="4611" width="7.875" style="3054" customWidth="1"/>
    <col min="4612" max="4612" width="9.75" style="3054" customWidth="1"/>
    <col min="4613" max="4613" width="10.25" style="3054" customWidth="1"/>
    <col min="4614" max="4614" width="12.5" style="3054" customWidth="1"/>
    <col min="4615" max="4615" width="5.25" style="3054" customWidth="1"/>
    <col min="4616" max="4616" width="7.875" style="3054" customWidth="1"/>
    <col min="4617" max="4618" width="9" style="3054" customWidth="1"/>
    <col min="4619" max="4619" width="7" style="3054" customWidth="1"/>
    <col min="4620" max="4620" width="7.5" style="3054" customWidth="1"/>
    <col min="4621" max="4621" width="10.5" style="3054" customWidth="1"/>
    <col min="4622" max="4622" width="4.125" style="3054" customWidth="1"/>
    <col min="4623" max="4623" width="34.375" style="3054" customWidth="1"/>
    <col min="4624" max="4624" width="7.875" style="3054" customWidth="1"/>
    <col min="4625" max="4864" width="9" style="3054"/>
    <col min="4865" max="4865" width="28.125" style="3054" customWidth="1"/>
    <col min="4866" max="4866" width="6.25" style="3054" customWidth="1"/>
    <col min="4867" max="4867" width="7.875" style="3054" customWidth="1"/>
    <col min="4868" max="4868" width="9.75" style="3054" customWidth="1"/>
    <col min="4869" max="4869" width="10.25" style="3054" customWidth="1"/>
    <col min="4870" max="4870" width="12.5" style="3054" customWidth="1"/>
    <col min="4871" max="4871" width="5.25" style="3054" customWidth="1"/>
    <col min="4872" max="4872" width="7.875" style="3054" customWidth="1"/>
    <col min="4873" max="4874" width="9" style="3054" customWidth="1"/>
    <col min="4875" max="4875" width="7" style="3054" customWidth="1"/>
    <col min="4876" max="4876" width="7.5" style="3054" customWidth="1"/>
    <col min="4877" max="4877" width="10.5" style="3054" customWidth="1"/>
    <col min="4878" max="4878" width="4.125" style="3054" customWidth="1"/>
    <col min="4879" max="4879" width="34.375" style="3054" customWidth="1"/>
    <col min="4880" max="4880" width="7.875" style="3054" customWidth="1"/>
    <col min="4881" max="5120" width="9" style="3054"/>
    <col min="5121" max="5121" width="28.125" style="3054" customWidth="1"/>
    <col min="5122" max="5122" width="6.25" style="3054" customWidth="1"/>
    <col min="5123" max="5123" width="7.875" style="3054" customWidth="1"/>
    <col min="5124" max="5124" width="9.75" style="3054" customWidth="1"/>
    <col min="5125" max="5125" width="10.25" style="3054" customWidth="1"/>
    <col min="5126" max="5126" width="12.5" style="3054" customWidth="1"/>
    <col min="5127" max="5127" width="5.25" style="3054" customWidth="1"/>
    <col min="5128" max="5128" width="7.875" style="3054" customWidth="1"/>
    <col min="5129" max="5130" width="9" style="3054" customWidth="1"/>
    <col min="5131" max="5131" width="7" style="3054" customWidth="1"/>
    <col min="5132" max="5132" width="7.5" style="3054" customWidth="1"/>
    <col min="5133" max="5133" width="10.5" style="3054" customWidth="1"/>
    <col min="5134" max="5134" width="4.125" style="3054" customWidth="1"/>
    <col min="5135" max="5135" width="34.375" style="3054" customWidth="1"/>
    <col min="5136" max="5136" width="7.875" style="3054" customWidth="1"/>
    <col min="5137" max="5376" width="9" style="3054"/>
    <col min="5377" max="5377" width="28.125" style="3054" customWidth="1"/>
    <col min="5378" max="5378" width="6.25" style="3054" customWidth="1"/>
    <col min="5379" max="5379" width="7.875" style="3054" customWidth="1"/>
    <col min="5380" max="5380" width="9.75" style="3054" customWidth="1"/>
    <col min="5381" max="5381" width="10.25" style="3054" customWidth="1"/>
    <col min="5382" max="5382" width="12.5" style="3054" customWidth="1"/>
    <col min="5383" max="5383" width="5.25" style="3054" customWidth="1"/>
    <col min="5384" max="5384" width="7.875" style="3054" customWidth="1"/>
    <col min="5385" max="5386" width="9" style="3054" customWidth="1"/>
    <col min="5387" max="5387" width="7" style="3054" customWidth="1"/>
    <col min="5388" max="5388" width="7.5" style="3054" customWidth="1"/>
    <col min="5389" max="5389" width="10.5" style="3054" customWidth="1"/>
    <col min="5390" max="5390" width="4.125" style="3054" customWidth="1"/>
    <col min="5391" max="5391" width="34.375" style="3054" customWidth="1"/>
    <col min="5392" max="5392" width="7.875" style="3054" customWidth="1"/>
    <col min="5393" max="5632" width="9" style="3054"/>
    <col min="5633" max="5633" width="28.125" style="3054" customWidth="1"/>
    <col min="5634" max="5634" width="6.25" style="3054" customWidth="1"/>
    <col min="5635" max="5635" width="7.875" style="3054" customWidth="1"/>
    <col min="5636" max="5636" width="9.75" style="3054" customWidth="1"/>
    <col min="5637" max="5637" width="10.25" style="3054" customWidth="1"/>
    <col min="5638" max="5638" width="12.5" style="3054" customWidth="1"/>
    <col min="5639" max="5639" width="5.25" style="3054" customWidth="1"/>
    <col min="5640" max="5640" width="7.875" style="3054" customWidth="1"/>
    <col min="5641" max="5642" width="9" style="3054" customWidth="1"/>
    <col min="5643" max="5643" width="7" style="3054" customWidth="1"/>
    <col min="5644" max="5644" width="7.5" style="3054" customWidth="1"/>
    <col min="5645" max="5645" width="10.5" style="3054" customWidth="1"/>
    <col min="5646" max="5646" width="4.125" style="3054" customWidth="1"/>
    <col min="5647" max="5647" width="34.375" style="3054" customWidth="1"/>
    <col min="5648" max="5648" width="7.875" style="3054" customWidth="1"/>
    <col min="5649" max="5888" width="9" style="3054"/>
    <col min="5889" max="5889" width="28.125" style="3054" customWidth="1"/>
    <col min="5890" max="5890" width="6.25" style="3054" customWidth="1"/>
    <col min="5891" max="5891" width="7.875" style="3054" customWidth="1"/>
    <col min="5892" max="5892" width="9.75" style="3054" customWidth="1"/>
    <col min="5893" max="5893" width="10.25" style="3054" customWidth="1"/>
    <col min="5894" max="5894" width="12.5" style="3054" customWidth="1"/>
    <col min="5895" max="5895" width="5.25" style="3054" customWidth="1"/>
    <col min="5896" max="5896" width="7.875" style="3054" customWidth="1"/>
    <col min="5897" max="5898" width="9" style="3054" customWidth="1"/>
    <col min="5899" max="5899" width="7" style="3054" customWidth="1"/>
    <col min="5900" max="5900" width="7.5" style="3054" customWidth="1"/>
    <col min="5901" max="5901" width="10.5" style="3054" customWidth="1"/>
    <col min="5902" max="5902" width="4.125" style="3054" customWidth="1"/>
    <col min="5903" max="5903" width="34.375" style="3054" customWidth="1"/>
    <col min="5904" max="5904" width="7.875" style="3054" customWidth="1"/>
    <col min="5905" max="6144" width="9" style="3054"/>
    <col min="6145" max="6145" width="28.125" style="3054" customWidth="1"/>
    <col min="6146" max="6146" width="6.25" style="3054" customWidth="1"/>
    <col min="6147" max="6147" width="7.875" style="3054" customWidth="1"/>
    <col min="6148" max="6148" width="9.75" style="3054" customWidth="1"/>
    <col min="6149" max="6149" width="10.25" style="3054" customWidth="1"/>
    <col min="6150" max="6150" width="12.5" style="3054" customWidth="1"/>
    <col min="6151" max="6151" width="5.25" style="3054" customWidth="1"/>
    <col min="6152" max="6152" width="7.875" style="3054" customWidth="1"/>
    <col min="6153" max="6154" width="9" style="3054" customWidth="1"/>
    <col min="6155" max="6155" width="7" style="3054" customWidth="1"/>
    <col min="6156" max="6156" width="7.5" style="3054" customWidth="1"/>
    <col min="6157" max="6157" width="10.5" style="3054" customWidth="1"/>
    <col min="6158" max="6158" width="4.125" style="3054" customWidth="1"/>
    <col min="6159" max="6159" width="34.375" style="3054" customWidth="1"/>
    <col min="6160" max="6160" width="7.875" style="3054" customWidth="1"/>
    <col min="6161" max="6400" width="9" style="3054"/>
    <col min="6401" max="6401" width="28.125" style="3054" customWidth="1"/>
    <col min="6402" max="6402" width="6.25" style="3054" customWidth="1"/>
    <col min="6403" max="6403" width="7.875" style="3054" customWidth="1"/>
    <col min="6404" max="6404" width="9.75" style="3054" customWidth="1"/>
    <col min="6405" max="6405" width="10.25" style="3054" customWidth="1"/>
    <col min="6406" max="6406" width="12.5" style="3054" customWidth="1"/>
    <col min="6407" max="6407" width="5.25" style="3054" customWidth="1"/>
    <col min="6408" max="6408" width="7.875" style="3054" customWidth="1"/>
    <col min="6409" max="6410" width="9" style="3054" customWidth="1"/>
    <col min="6411" max="6411" width="7" style="3054" customWidth="1"/>
    <col min="6412" max="6412" width="7.5" style="3054" customWidth="1"/>
    <col min="6413" max="6413" width="10.5" style="3054" customWidth="1"/>
    <col min="6414" max="6414" width="4.125" style="3054" customWidth="1"/>
    <col min="6415" max="6415" width="34.375" style="3054" customWidth="1"/>
    <col min="6416" max="6416" width="7.875" style="3054" customWidth="1"/>
    <col min="6417" max="6656" width="9" style="3054"/>
    <col min="6657" max="6657" width="28.125" style="3054" customWidth="1"/>
    <col min="6658" max="6658" width="6.25" style="3054" customWidth="1"/>
    <col min="6659" max="6659" width="7.875" style="3054" customWidth="1"/>
    <col min="6660" max="6660" width="9.75" style="3054" customWidth="1"/>
    <col min="6661" max="6661" width="10.25" style="3054" customWidth="1"/>
    <col min="6662" max="6662" width="12.5" style="3054" customWidth="1"/>
    <col min="6663" max="6663" width="5.25" style="3054" customWidth="1"/>
    <col min="6664" max="6664" width="7.875" style="3054" customWidth="1"/>
    <col min="6665" max="6666" width="9" style="3054" customWidth="1"/>
    <col min="6667" max="6667" width="7" style="3054" customWidth="1"/>
    <col min="6668" max="6668" width="7.5" style="3054" customWidth="1"/>
    <col min="6669" max="6669" width="10.5" style="3054" customWidth="1"/>
    <col min="6670" max="6670" width="4.125" style="3054" customWidth="1"/>
    <col min="6671" max="6671" width="34.375" style="3054" customWidth="1"/>
    <col min="6672" max="6672" width="7.875" style="3054" customWidth="1"/>
    <col min="6673" max="6912" width="9" style="3054"/>
    <col min="6913" max="6913" width="28.125" style="3054" customWidth="1"/>
    <col min="6914" max="6914" width="6.25" style="3054" customWidth="1"/>
    <col min="6915" max="6915" width="7.875" style="3054" customWidth="1"/>
    <col min="6916" max="6916" width="9.75" style="3054" customWidth="1"/>
    <col min="6917" max="6917" width="10.25" style="3054" customWidth="1"/>
    <col min="6918" max="6918" width="12.5" style="3054" customWidth="1"/>
    <col min="6919" max="6919" width="5.25" style="3054" customWidth="1"/>
    <col min="6920" max="6920" width="7.875" style="3054" customWidth="1"/>
    <col min="6921" max="6922" width="9" style="3054" customWidth="1"/>
    <col min="6923" max="6923" width="7" style="3054" customWidth="1"/>
    <col min="6924" max="6924" width="7.5" style="3054" customWidth="1"/>
    <col min="6925" max="6925" width="10.5" style="3054" customWidth="1"/>
    <col min="6926" max="6926" width="4.125" style="3054" customWidth="1"/>
    <col min="6927" max="6927" width="34.375" style="3054" customWidth="1"/>
    <col min="6928" max="6928" width="7.875" style="3054" customWidth="1"/>
    <col min="6929" max="7168" width="9" style="3054"/>
    <col min="7169" max="7169" width="28.125" style="3054" customWidth="1"/>
    <col min="7170" max="7170" width="6.25" style="3054" customWidth="1"/>
    <col min="7171" max="7171" width="7.875" style="3054" customWidth="1"/>
    <col min="7172" max="7172" width="9.75" style="3054" customWidth="1"/>
    <col min="7173" max="7173" width="10.25" style="3054" customWidth="1"/>
    <col min="7174" max="7174" width="12.5" style="3054" customWidth="1"/>
    <col min="7175" max="7175" width="5.25" style="3054" customWidth="1"/>
    <col min="7176" max="7176" width="7.875" style="3054" customWidth="1"/>
    <col min="7177" max="7178" width="9" style="3054" customWidth="1"/>
    <col min="7179" max="7179" width="7" style="3054" customWidth="1"/>
    <col min="7180" max="7180" width="7.5" style="3054" customWidth="1"/>
    <col min="7181" max="7181" width="10.5" style="3054" customWidth="1"/>
    <col min="7182" max="7182" width="4.125" style="3054" customWidth="1"/>
    <col min="7183" max="7183" width="34.375" style="3054" customWidth="1"/>
    <col min="7184" max="7184" width="7.875" style="3054" customWidth="1"/>
    <col min="7185" max="7424" width="9" style="3054"/>
    <col min="7425" max="7425" width="28.125" style="3054" customWidth="1"/>
    <col min="7426" max="7426" width="6.25" style="3054" customWidth="1"/>
    <col min="7427" max="7427" width="7.875" style="3054" customWidth="1"/>
    <col min="7428" max="7428" width="9.75" style="3054" customWidth="1"/>
    <col min="7429" max="7429" width="10.25" style="3054" customWidth="1"/>
    <col min="7430" max="7430" width="12.5" style="3054" customWidth="1"/>
    <col min="7431" max="7431" width="5.25" style="3054" customWidth="1"/>
    <col min="7432" max="7432" width="7.875" style="3054" customWidth="1"/>
    <col min="7433" max="7434" width="9" style="3054" customWidth="1"/>
    <col min="7435" max="7435" width="7" style="3054" customWidth="1"/>
    <col min="7436" max="7436" width="7.5" style="3054" customWidth="1"/>
    <col min="7437" max="7437" width="10.5" style="3054" customWidth="1"/>
    <col min="7438" max="7438" width="4.125" style="3054" customWidth="1"/>
    <col min="7439" max="7439" width="34.375" style="3054" customWidth="1"/>
    <col min="7440" max="7440" width="7.875" style="3054" customWidth="1"/>
    <col min="7441" max="7680" width="9" style="3054"/>
    <col min="7681" max="7681" width="28.125" style="3054" customWidth="1"/>
    <col min="7682" max="7682" width="6.25" style="3054" customWidth="1"/>
    <col min="7683" max="7683" width="7.875" style="3054" customWidth="1"/>
    <col min="7684" max="7684" width="9.75" style="3054" customWidth="1"/>
    <col min="7685" max="7685" width="10.25" style="3054" customWidth="1"/>
    <col min="7686" max="7686" width="12.5" style="3054" customWidth="1"/>
    <col min="7687" max="7687" width="5.25" style="3054" customWidth="1"/>
    <col min="7688" max="7688" width="7.875" style="3054" customWidth="1"/>
    <col min="7689" max="7690" width="9" style="3054" customWidth="1"/>
    <col min="7691" max="7691" width="7" style="3054" customWidth="1"/>
    <col min="7692" max="7692" width="7.5" style="3054" customWidth="1"/>
    <col min="7693" max="7693" width="10.5" style="3054" customWidth="1"/>
    <col min="7694" max="7694" width="4.125" style="3054" customWidth="1"/>
    <col min="7695" max="7695" width="34.375" style="3054" customWidth="1"/>
    <col min="7696" max="7696" width="7.875" style="3054" customWidth="1"/>
    <col min="7697" max="7936" width="9" style="3054"/>
    <col min="7937" max="7937" width="28.125" style="3054" customWidth="1"/>
    <col min="7938" max="7938" width="6.25" style="3054" customWidth="1"/>
    <col min="7939" max="7939" width="7.875" style="3054" customWidth="1"/>
    <col min="7940" max="7940" width="9.75" style="3054" customWidth="1"/>
    <col min="7941" max="7941" width="10.25" style="3054" customWidth="1"/>
    <col min="7942" max="7942" width="12.5" style="3054" customWidth="1"/>
    <col min="7943" max="7943" width="5.25" style="3054" customWidth="1"/>
    <col min="7944" max="7944" width="7.875" style="3054" customWidth="1"/>
    <col min="7945" max="7946" width="9" style="3054" customWidth="1"/>
    <col min="7947" max="7947" width="7" style="3054" customWidth="1"/>
    <col min="7948" max="7948" width="7.5" style="3054" customWidth="1"/>
    <col min="7949" max="7949" width="10.5" style="3054" customWidth="1"/>
    <col min="7950" max="7950" width="4.125" style="3054" customWidth="1"/>
    <col min="7951" max="7951" width="34.375" style="3054" customWidth="1"/>
    <col min="7952" max="7952" width="7.875" style="3054" customWidth="1"/>
    <col min="7953" max="8192" width="9" style="3054"/>
    <col min="8193" max="8193" width="28.125" style="3054" customWidth="1"/>
    <col min="8194" max="8194" width="6.25" style="3054" customWidth="1"/>
    <col min="8195" max="8195" width="7.875" style="3054" customWidth="1"/>
    <col min="8196" max="8196" width="9.75" style="3054" customWidth="1"/>
    <col min="8197" max="8197" width="10.25" style="3054" customWidth="1"/>
    <col min="8198" max="8198" width="12.5" style="3054" customWidth="1"/>
    <col min="8199" max="8199" width="5.25" style="3054" customWidth="1"/>
    <col min="8200" max="8200" width="7.875" style="3054" customWidth="1"/>
    <col min="8201" max="8202" width="9" style="3054" customWidth="1"/>
    <col min="8203" max="8203" width="7" style="3054" customWidth="1"/>
    <col min="8204" max="8204" width="7.5" style="3054" customWidth="1"/>
    <col min="8205" max="8205" width="10.5" style="3054" customWidth="1"/>
    <col min="8206" max="8206" width="4.125" style="3054" customWidth="1"/>
    <col min="8207" max="8207" width="34.375" style="3054" customWidth="1"/>
    <col min="8208" max="8208" width="7.875" style="3054" customWidth="1"/>
    <col min="8209" max="8448" width="9" style="3054"/>
    <col min="8449" max="8449" width="28.125" style="3054" customWidth="1"/>
    <col min="8450" max="8450" width="6.25" style="3054" customWidth="1"/>
    <col min="8451" max="8451" width="7.875" style="3054" customWidth="1"/>
    <col min="8452" max="8452" width="9.75" style="3054" customWidth="1"/>
    <col min="8453" max="8453" width="10.25" style="3054" customWidth="1"/>
    <col min="8454" max="8454" width="12.5" style="3054" customWidth="1"/>
    <col min="8455" max="8455" width="5.25" style="3054" customWidth="1"/>
    <col min="8456" max="8456" width="7.875" style="3054" customWidth="1"/>
    <col min="8457" max="8458" width="9" style="3054" customWidth="1"/>
    <col min="8459" max="8459" width="7" style="3054" customWidth="1"/>
    <col min="8460" max="8460" width="7.5" style="3054" customWidth="1"/>
    <col min="8461" max="8461" width="10.5" style="3054" customWidth="1"/>
    <col min="8462" max="8462" width="4.125" style="3054" customWidth="1"/>
    <col min="8463" max="8463" width="34.375" style="3054" customWidth="1"/>
    <col min="8464" max="8464" width="7.875" style="3054" customWidth="1"/>
    <col min="8465" max="8704" width="9" style="3054"/>
    <col min="8705" max="8705" width="28.125" style="3054" customWidth="1"/>
    <col min="8706" max="8706" width="6.25" style="3054" customWidth="1"/>
    <col min="8707" max="8707" width="7.875" style="3054" customWidth="1"/>
    <col min="8708" max="8708" width="9.75" style="3054" customWidth="1"/>
    <col min="8709" max="8709" width="10.25" style="3054" customWidth="1"/>
    <col min="8710" max="8710" width="12.5" style="3054" customWidth="1"/>
    <col min="8711" max="8711" width="5.25" style="3054" customWidth="1"/>
    <col min="8712" max="8712" width="7.875" style="3054" customWidth="1"/>
    <col min="8713" max="8714" width="9" style="3054" customWidth="1"/>
    <col min="8715" max="8715" width="7" style="3054" customWidth="1"/>
    <col min="8716" max="8716" width="7.5" style="3054" customWidth="1"/>
    <col min="8717" max="8717" width="10.5" style="3054" customWidth="1"/>
    <col min="8718" max="8718" width="4.125" style="3054" customWidth="1"/>
    <col min="8719" max="8719" width="34.375" style="3054" customWidth="1"/>
    <col min="8720" max="8720" width="7.875" style="3054" customWidth="1"/>
    <col min="8721" max="8960" width="9" style="3054"/>
    <col min="8961" max="8961" width="28.125" style="3054" customWidth="1"/>
    <col min="8962" max="8962" width="6.25" style="3054" customWidth="1"/>
    <col min="8963" max="8963" width="7.875" style="3054" customWidth="1"/>
    <col min="8964" max="8964" width="9.75" style="3054" customWidth="1"/>
    <col min="8965" max="8965" width="10.25" style="3054" customWidth="1"/>
    <col min="8966" max="8966" width="12.5" style="3054" customWidth="1"/>
    <col min="8967" max="8967" width="5.25" style="3054" customWidth="1"/>
    <col min="8968" max="8968" width="7.875" style="3054" customWidth="1"/>
    <col min="8969" max="8970" width="9" style="3054" customWidth="1"/>
    <col min="8971" max="8971" width="7" style="3054" customWidth="1"/>
    <col min="8972" max="8972" width="7.5" style="3054" customWidth="1"/>
    <col min="8973" max="8973" width="10.5" style="3054" customWidth="1"/>
    <col min="8974" max="8974" width="4.125" style="3054" customWidth="1"/>
    <col min="8975" max="8975" width="34.375" style="3054" customWidth="1"/>
    <col min="8976" max="8976" width="7.875" style="3054" customWidth="1"/>
    <col min="8977" max="9216" width="9" style="3054"/>
    <col min="9217" max="9217" width="28.125" style="3054" customWidth="1"/>
    <col min="9218" max="9218" width="6.25" style="3054" customWidth="1"/>
    <col min="9219" max="9219" width="7.875" style="3054" customWidth="1"/>
    <col min="9220" max="9220" width="9.75" style="3054" customWidth="1"/>
    <col min="9221" max="9221" width="10.25" style="3054" customWidth="1"/>
    <col min="9222" max="9222" width="12.5" style="3054" customWidth="1"/>
    <col min="9223" max="9223" width="5.25" style="3054" customWidth="1"/>
    <col min="9224" max="9224" width="7.875" style="3054" customWidth="1"/>
    <col min="9225" max="9226" width="9" style="3054" customWidth="1"/>
    <col min="9227" max="9227" width="7" style="3054" customWidth="1"/>
    <col min="9228" max="9228" width="7.5" style="3054" customWidth="1"/>
    <col min="9229" max="9229" width="10.5" style="3054" customWidth="1"/>
    <col min="9230" max="9230" width="4.125" style="3054" customWidth="1"/>
    <col min="9231" max="9231" width="34.375" style="3054" customWidth="1"/>
    <col min="9232" max="9232" width="7.875" style="3054" customWidth="1"/>
    <col min="9233" max="9472" width="9" style="3054"/>
    <col min="9473" max="9473" width="28.125" style="3054" customWidth="1"/>
    <col min="9474" max="9474" width="6.25" style="3054" customWidth="1"/>
    <col min="9475" max="9475" width="7.875" style="3054" customWidth="1"/>
    <col min="9476" max="9476" width="9.75" style="3054" customWidth="1"/>
    <col min="9477" max="9477" width="10.25" style="3054" customWidth="1"/>
    <col min="9478" max="9478" width="12.5" style="3054" customWidth="1"/>
    <col min="9479" max="9479" width="5.25" style="3054" customWidth="1"/>
    <col min="9480" max="9480" width="7.875" style="3054" customWidth="1"/>
    <col min="9481" max="9482" width="9" style="3054" customWidth="1"/>
    <col min="9483" max="9483" width="7" style="3054" customWidth="1"/>
    <col min="9484" max="9484" width="7.5" style="3054" customWidth="1"/>
    <col min="9485" max="9485" width="10.5" style="3054" customWidth="1"/>
    <col min="9486" max="9486" width="4.125" style="3054" customWidth="1"/>
    <col min="9487" max="9487" width="34.375" style="3054" customWidth="1"/>
    <col min="9488" max="9488" width="7.875" style="3054" customWidth="1"/>
    <col min="9489" max="9728" width="9" style="3054"/>
    <col min="9729" max="9729" width="28.125" style="3054" customWidth="1"/>
    <col min="9730" max="9730" width="6.25" style="3054" customWidth="1"/>
    <col min="9731" max="9731" width="7.875" style="3054" customWidth="1"/>
    <col min="9732" max="9732" width="9.75" style="3054" customWidth="1"/>
    <col min="9733" max="9733" width="10.25" style="3054" customWidth="1"/>
    <col min="9734" max="9734" width="12.5" style="3054" customWidth="1"/>
    <col min="9735" max="9735" width="5.25" style="3054" customWidth="1"/>
    <col min="9736" max="9736" width="7.875" style="3054" customWidth="1"/>
    <col min="9737" max="9738" width="9" style="3054" customWidth="1"/>
    <col min="9739" max="9739" width="7" style="3054" customWidth="1"/>
    <col min="9740" max="9740" width="7.5" style="3054" customWidth="1"/>
    <col min="9741" max="9741" width="10.5" style="3054" customWidth="1"/>
    <col min="9742" max="9742" width="4.125" style="3054" customWidth="1"/>
    <col min="9743" max="9743" width="34.375" style="3054" customWidth="1"/>
    <col min="9744" max="9744" width="7.875" style="3054" customWidth="1"/>
    <col min="9745" max="9984" width="9" style="3054"/>
    <col min="9985" max="9985" width="28.125" style="3054" customWidth="1"/>
    <col min="9986" max="9986" width="6.25" style="3054" customWidth="1"/>
    <col min="9987" max="9987" width="7.875" style="3054" customWidth="1"/>
    <col min="9988" max="9988" width="9.75" style="3054" customWidth="1"/>
    <col min="9989" max="9989" width="10.25" style="3054" customWidth="1"/>
    <col min="9990" max="9990" width="12.5" style="3054" customWidth="1"/>
    <col min="9991" max="9991" width="5.25" style="3054" customWidth="1"/>
    <col min="9992" max="9992" width="7.875" style="3054" customWidth="1"/>
    <col min="9993" max="9994" width="9" style="3054" customWidth="1"/>
    <col min="9995" max="9995" width="7" style="3054" customWidth="1"/>
    <col min="9996" max="9996" width="7.5" style="3054" customWidth="1"/>
    <col min="9997" max="9997" width="10.5" style="3054" customWidth="1"/>
    <col min="9998" max="9998" width="4.125" style="3054" customWidth="1"/>
    <col min="9999" max="9999" width="34.375" style="3054" customWidth="1"/>
    <col min="10000" max="10000" width="7.875" style="3054" customWidth="1"/>
    <col min="10001" max="10240" width="9" style="3054"/>
    <col min="10241" max="10241" width="28.125" style="3054" customWidth="1"/>
    <col min="10242" max="10242" width="6.25" style="3054" customWidth="1"/>
    <col min="10243" max="10243" width="7.875" style="3054" customWidth="1"/>
    <col min="10244" max="10244" width="9.75" style="3054" customWidth="1"/>
    <col min="10245" max="10245" width="10.25" style="3054" customWidth="1"/>
    <col min="10246" max="10246" width="12.5" style="3054" customWidth="1"/>
    <col min="10247" max="10247" width="5.25" style="3054" customWidth="1"/>
    <col min="10248" max="10248" width="7.875" style="3054" customWidth="1"/>
    <col min="10249" max="10250" width="9" style="3054" customWidth="1"/>
    <col min="10251" max="10251" width="7" style="3054" customWidth="1"/>
    <col min="10252" max="10252" width="7.5" style="3054" customWidth="1"/>
    <col min="10253" max="10253" width="10.5" style="3054" customWidth="1"/>
    <col min="10254" max="10254" width="4.125" style="3054" customWidth="1"/>
    <col min="10255" max="10255" width="34.375" style="3054" customWidth="1"/>
    <col min="10256" max="10256" width="7.875" style="3054" customWidth="1"/>
    <col min="10257" max="10496" width="9" style="3054"/>
    <col min="10497" max="10497" width="28.125" style="3054" customWidth="1"/>
    <col min="10498" max="10498" width="6.25" style="3054" customWidth="1"/>
    <col min="10499" max="10499" width="7.875" style="3054" customWidth="1"/>
    <col min="10500" max="10500" width="9.75" style="3054" customWidth="1"/>
    <col min="10501" max="10501" width="10.25" style="3054" customWidth="1"/>
    <col min="10502" max="10502" width="12.5" style="3054" customWidth="1"/>
    <col min="10503" max="10503" width="5.25" style="3054" customWidth="1"/>
    <col min="10504" max="10504" width="7.875" style="3054" customWidth="1"/>
    <col min="10505" max="10506" width="9" style="3054" customWidth="1"/>
    <col min="10507" max="10507" width="7" style="3054" customWidth="1"/>
    <col min="10508" max="10508" width="7.5" style="3054" customWidth="1"/>
    <col min="10509" max="10509" width="10.5" style="3054" customWidth="1"/>
    <col min="10510" max="10510" width="4.125" style="3054" customWidth="1"/>
    <col min="10511" max="10511" width="34.375" style="3054" customWidth="1"/>
    <col min="10512" max="10512" width="7.875" style="3054" customWidth="1"/>
    <col min="10513" max="10752" width="9" style="3054"/>
    <col min="10753" max="10753" width="28.125" style="3054" customWidth="1"/>
    <col min="10754" max="10754" width="6.25" style="3054" customWidth="1"/>
    <col min="10755" max="10755" width="7.875" style="3054" customWidth="1"/>
    <col min="10756" max="10756" width="9.75" style="3054" customWidth="1"/>
    <col min="10757" max="10757" width="10.25" style="3054" customWidth="1"/>
    <col min="10758" max="10758" width="12.5" style="3054" customWidth="1"/>
    <col min="10759" max="10759" width="5.25" style="3054" customWidth="1"/>
    <col min="10760" max="10760" width="7.875" style="3054" customWidth="1"/>
    <col min="10761" max="10762" width="9" style="3054" customWidth="1"/>
    <col min="10763" max="10763" width="7" style="3054" customWidth="1"/>
    <col min="10764" max="10764" width="7.5" style="3054" customWidth="1"/>
    <col min="10765" max="10765" width="10.5" style="3054" customWidth="1"/>
    <col min="10766" max="10766" width="4.125" style="3054" customWidth="1"/>
    <col min="10767" max="10767" width="34.375" style="3054" customWidth="1"/>
    <col min="10768" max="10768" width="7.875" style="3054" customWidth="1"/>
    <col min="10769" max="11008" width="9" style="3054"/>
    <col min="11009" max="11009" width="28.125" style="3054" customWidth="1"/>
    <col min="11010" max="11010" width="6.25" style="3054" customWidth="1"/>
    <col min="11011" max="11011" width="7.875" style="3054" customWidth="1"/>
    <col min="11012" max="11012" width="9.75" style="3054" customWidth="1"/>
    <col min="11013" max="11013" width="10.25" style="3054" customWidth="1"/>
    <col min="11014" max="11014" width="12.5" style="3054" customWidth="1"/>
    <col min="11015" max="11015" width="5.25" style="3054" customWidth="1"/>
    <col min="11016" max="11016" width="7.875" style="3054" customWidth="1"/>
    <col min="11017" max="11018" width="9" style="3054" customWidth="1"/>
    <col min="11019" max="11019" width="7" style="3054" customWidth="1"/>
    <col min="11020" max="11020" width="7.5" style="3054" customWidth="1"/>
    <col min="11021" max="11021" width="10.5" style="3054" customWidth="1"/>
    <col min="11022" max="11022" width="4.125" style="3054" customWidth="1"/>
    <col min="11023" max="11023" width="34.375" style="3054" customWidth="1"/>
    <col min="11024" max="11024" width="7.875" style="3054" customWidth="1"/>
    <col min="11025" max="11264" width="9" style="3054"/>
    <col min="11265" max="11265" width="28.125" style="3054" customWidth="1"/>
    <col min="11266" max="11266" width="6.25" style="3054" customWidth="1"/>
    <col min="11267" max="11267" width="7.875" style="3054" customWidth="1"/>
    <col min="11268" max="11268" width="9.75" style="3054" customWidth="1"/>
    <col min="11269" max="11269" width="10.25" style="3054" customWidth="1"/>
    <col min="11270" max="11270" width="12.5" style="3054" customWidth="1"/>
    <col min="11271" max="11271" width="5.25" style="3054" customWidth="1"/>
    <col min="11272" max="11272" width="7.875" style="3054" customWidth="1"/>
    <col min="11273" max="11274" width="9" style="3054" customWidth="1"/>
    <col min="11275" max="11275" width="7" style="3054" customWidth="1"/>
    <col min="11276" max="11276" width="7.5" style="3054" customWidth="1"/>
    <col min="11277" max="11277" width="10.5" style="3054" customWidth="1"/>
    <col min="11278" max="11278" width="4.125" style="3054" customWidth="1"/>
    <col min="11279" max="11279" width="34.375" style="3054" customWidth="1"/>
    <col min="11280" max="11280" width="7.875" style="3054" customWidth="1"/>
    <col min="11281" max="11520" width="9" style="3054"/>
    <col min="11521" max="11521" width="28.125" style="3054" customWidth="1"/>
    <col min="11522" max="11522" width="6.25" style="3054" customWidth="1"/>
    <col min="11523" max="11523" width="7.875" style="3054" customWidth="1"/>
    <col min="11524" max="11524" width="9.75" style="3054" customWidth="1"/>
    <col min="11525" max="11525" width="10.25" style="3054" customWidth="1"/>
    <col min="11526" max="11526" width="12.5" style="3054" customWidth="1"/>
    <col min="11527" max="11527" width="5.25" style="3054" customWidth="1"/>
    <col min="11528" max="11528" width="7.875" style="3054" customWidth="1"/>
    <col min="11529" max="11530" width="9" style="3054" customWidth="1"/>
    <col min="11531" max="11531" width="7" style="3054" customWidth="1"/>
    <col min="11532" max="11532" width="7.5" style="3054" customWidth="1"/>
    <col min="11533" max="11533" width="10.5" style="3054" customWidth="1"/>
    <col min="11534" max="11534" width="4.125" style="3054" customWidth="1"/>
    <col min="11535" max="11535" width="34.375" style="3054" customWidth="1"/>
    <col min="11536" max="11536" width="7.875" style="3054" customWidth="1"/>
    <col min="11537" max="11776" width="9" style="3054"/>
    <col min="11777" max="11777" width="28.125" style="3054" customWidth="1"/>
    <col min="11778" max="11778" width="6.25" style="3054" customWidth="1"/>
    <col min="11779" max="11779" width="7.875" style="3054" customWidth="1"/>
    <col min="11780" max="11780" width="9.75" style="3054" customWidth="1"/>
    <col min="11781" max="11781" width="10.25" style="3054" customWidth="1"/>
    <col min="11782" max="11782" width="12.5" style="3054" customWidth="1"/>
    <col min="11783" max="11783" width="5.25" style="3054" customWidth="1"/>
    <col min="11784" max="11784" width="7.875" style="3054" customWidth="1"/>
    <col min="11785" max="11786" width="9" style="3054" customWidth="1"/>
    <col min="11787" max="11787" width="7" style="3054" customWidth="1"/>
    <col min="11788" max="11788" width="7.5" style="3054" customWidth="1"/>
    <col min="11789" max="11789" width="10.5" style="3054" customWidth="1"/>
    <col min="11790" max="11790" width="4.125" style="3054" customWidth="1"/>
    <col min="11791" max="11791" width="34.375" style="3054" customWidth="1"/>
    <col min="11792" max="11792" width="7.875" style="3054" customWidth="1"/>
    <col min="11793" max="12032" width="9" style="3054"/>
    <col min="12033" max="12033" width="28.125" style="3054" customWidth="1"/>
    <col min="12034" max="12034" width="6.25" style="3054" customWidth="1"/>
    <col min="12035" max="12035" width="7.875" style="3054" customWidth="1"/>
    <col min="12036" max="12036" width="9.75" style="3054" customWidth="1"/>
    <col min="12037" max="12037" width="10.25" style="3054" customWidth="1"/>
    <col min="12038" max="12038" width="12.5" style="3054" customWidth="1"/>
    <col min="12039" max="12039" width="5.25" style="3054" customWidth="1"/>
    <col min="12040" max="12040" width="7.875" style="3054" customWidth="1"/>
    <col min="12041" max="12042" width="9" style="3054" customWidth="1"/>
    <col min="12043" max="12043" width="7" style="3054" customWidth="1"/>
    <col min="12044" max="12044" width="7.5" style="3054" customWidth="1"/>
    <col min="12045" max="12045" width="10.5" style="3054" customWidth="1"/>
    <col min="12046" max="12046" width="4.125" style="3054" customWidth="1"/>
    <col min="12047" max="12047" width="34.375" style="3054" customWidth="1"/>
    <col min="12048" max="12048" width="7.875" style="3054" customWidth="1"/>
    <col min="12049" max="12288" width="9" style="3054"/>
    <col min="12289" max="12289" width="28.125" style="3054" customWidth="1"/>
    <col min="12290" max="12290" width="6.25" style="3054" customWidth="1"/>
    <col min="12291" max="12291" width="7.875" style="3054" customWidth="1"/>
    <col min="12292" max="12292" width="9.75" style="3054" customWidth="1"/>
    <col min="12293" max="12293" width="10.25" style="3054" customWidth="1"/>
    <col min="12294" max="12294" width="12.5" style="3054" customWidth="1"/>
    <col min="12295" max="12295" width="5.25" style="3054" customWidth="1"/>
    <col min="12296" max="12296" width="7.875" style="3054" customWidth="1"/>
    <col min="12297" max="12298" width="9" style="3054" customWidth="1"/>
    <col min="12299" max="12299" width="7" style="3054" customWidth="1"/>
    <col min="12300" max="12300" width="7.5" style="3054" customWidth="1"/>
    <col min="12301" max="12301" width="10.5" style="3054" customWidth="1"/>
    <col min="12302" max="12302" width="4.125" style="3054" customWidth="1"/>
    <col min="12303" max="12303" width="34.375" style="3054" customWidth="1"/>
    <col min="12304" max="12304" width="7.875" style="3054" customWidth="1"/>
    <col min="12305" max="12544" width="9" style="3054"/>
    <col min="12545" max="12545" width="28.125" style="3054" customWidth="1"/>
    <col min="12546" max="12546" width="6.25" style="3054" customWidth="1"/>
    <col min="12547" max="12547" width="7.875" style="3054" customWidth="1"/>
    <col min="12548" max="12548" width="9.75" style="3054" customWidth="1"/>
    <col min="12549" max="12549" width="10.25" style="3054" customWidth="1"/>
    <col min="12550" max="12550" width="12.5" style="3054" customWidth="1"/>
    <col min="12551" max="12551" width="5.25" style="3054" customWidth="1"/>
    <col min="12552" max="12552" width="7.875" style="3054" customWidth="1"/>
    <col min="12553" max="12554" width="9" style="3054" customWidth="1"/>
    <col min="12555" max="12555" width="7" style="3054" customWidth="1"/>
    <col min="12556" max="12556" width="7.5" style="3054" customWidth="1"/>
    <col min="12557" max="12557" width="10.5" style="3054" customWidth="1"/>
    <col min="12558" max="12558" width="4.125" style="3054" customWidth="1"/>
    <col min="12559" max="12559" width="34.375" style="3054" customWidth="1"/>
    <col min="12560" max="12560" width="7.875" style="3054" customWidth="1"/>
    <col min="12561" max="12800" width="9" style="3054"/>
    <col min="12801" max="12801" width="28.125" style="3054" customWidth="1"/>
    <col min="12802" max="12802" width="6.25" style="3054" customWidth="1"/>
    <col min="12803" max="12803" width="7.875" style="3054" customWidth="1"/>
    <col min="12804" max="12804" width="9.75" style="3054" customWidth="1"/>
    <col min="12805" max="12805" width="10.25" style="3054" customWidth="1"/>
    <col min="12806" max="12806" width="12.5" style="3054" customWidth="1"/>
    <col min="12807" max="12807" width="5.25" style="3054" customWidth="1"/>
    <col min="12808" max="12808" width="7.875" style="3054" customWidth="1"/>
    <col min="12809" max="12810" width="9" style="3054" customWidth="1"/>
    <col min="12811" max="12811" width="7" style="3054" customWidth="1"/>
    <col min="12812" max="12812" width="7.5" style="3054" customWidth="1"/>
    <col min="12813" max="12813" width="10.5" style="3054" customWidth="1"/>
    <col min="12814" max="12814" width="4.125" style="3054" customWidth="1"/>
    <col min="12815" max="12815" width="34.375" style="3054" customWidth="1"/>
    <col min="12816" max="12816" width="7.875" style="3054" customWidth="1"/>
    <col min="12817" max="13056" width="9" style="3054"/>
    <col min="13057" max="13057" width="28.125" style="3054" customWidth="1"/>
    <col min="13058" max="13058" width="6.25" style="3054" customWidth="1"/>
    <col min="13059" max="13059" width="7.875" style="3054" customWidth="1"/>
    <col min="13060" max="13060" width="9.75" style="3054" customWidth="1"/>
    <col min="13061" max="13061" width="10.25" style="3054" customWidth="1"/>
    <col min="13062" max="13062" width="12.5" style="3054" customWidth="1"/>
    <col min="13063" max="13063" width="5.25" style="3054" customWidth="1"/>
    <col min="13064" max="13064" width="7.875" style="3054" customWidth="1"/>
    <col min="13065" max="13066" width="9" style="3054" customWidth="1"/>
    <col min="13067" max="13067" width="7" style="3054" customWidth="1"/>
    <col min="13068" max="13068" width="7.5" style="3054" customWidth="1"/>
    <col min="13069" max="13069" width="10.5" style="3054" customWidth="1"/>
    <col min="13070" max="13070" width="4.125" style="3054" customWidth="1"/>
    <col min="13071" max="13071" width="34.375" style="3054" customWidth="1"/>
    <col min="13072" max="13072" width="7.875" style="3054" customWidth="1"/>
    <col min="13073" max="13312" width="9" style="3054"/>
    <col min="13313" max="13313" width="28.125" style="3054" customWidth="1"/>
    <col min="13314" max="13314" width="6.25" style="3054" customWidth="1"/>
    <col min="13315" max="13315" width="7.875" style="3054" customWidth="1"/>
    <col min="13316" max="13316" width="9.75" style="3054" customWidth="1"/>
    <col min="13317" max="13317" width="10.25" style="3054" customWidth="1"/>
    <col min="13318" max="13318" width="12.5" style="3054" customWidth="1"/>
    <col min="13319" max="13319" width="5.25" style="3054" customWidth="1"/>
    <col min="13320" max="13320" width="7.875" style="3054" customWidth="1"/>
    <col min="13321" max="13322" width="9" style="3054" customWidth="1"/>
    <col min="13323" max="13323" width="7" style="3054" customWidth="1"/>
    <col min="13324" max="13324" width="7.5" style="3054" customWidth="1"/>
    <col min="13325" max="13325" width="10.5" style="3054" customWidth="1"/>
    <col min="13326" max="13326" width="4.125" style="3054" customWidth="1"/>
    <col min="13327" max="13327" width="34.375" style="3054" customWidth="1"/>
    <col min="13328" max="13328" width="7.875" style="3054" customWidth="1"/>
    <col min="13329" max="13568" width="9" style="3054"/>
    <col min="13569" max="13569" width="28.125" style="3054" customWidth="1"/>
    <col min="13570" max="13570" width="6.25" style="3054" customWidth="1"/>
    <col min="13571" max="13571" width="7.875" style="3054" customWidth="1"/>
    <col min="13572" max="13572" width="9.75" style="3054" customWidth="1"/>
    <col min="13573" max="13573" width="10.25" style="3054" customWidth="1"/>
    <col min="13574" max="13574" width="12.5" style="3054" customWidth="1"/>
    <col min="13575" max="13575" width="5.25" style="3054" customWidth="1"/>
    <col min="13576" max="13576" width="7.875" style="3054" customWidth="1"/>
    <col min="13577" max="13578" width="9" style="3054" customWidth="1"/>
    <col min="13579" max="13579" width="7" style="3054" customWidth="1"/>
    <col min="13580" max="13580" width="7.5" style="3054" customWidth="1"/>
    <col min="13581" max="13581" width="10.5" style="3054" customWidth="1"/>
    <col min="13582" max="13582" width="4.125" style="3054" customWidth="1"/>
    <col min="13583" max="13583" width="34.375" style="3054" customWidth="1"/>
    <col min="13584" max="13584" width="7.875" style="3054" customWidth="1"/>
    <col min="13585" max="13824" width="9" style="3054"/>
    <col min="13825" max="13825" width="28.125" style="3054" customWidth="1"/>
    <col min="13826" max="13826" width="6.25" style="3054" customWidth="1"/>
    <col min="13827" max="13827" width="7.875" style="3054" customWidth="1"/>
    <col min="13828" max="13828" width="9.75" style="3054" customWidth="1"/>
    <col min="13829" max="13829" width="10.25" style="3054" customWidth="1"/>
    <col min="13830" max="13830" width="12.5" style="3054" customWidth="1"/>
    <col min="13831" max="13831" width="5.25" style="3054" customWidth="1"/>
    <col min="13832" max="13832" width="7.875" style="3054" customWidth="1"/>
    <col min="13833" max="13834" width="9" style="3054" customWidth="1"/>
    <col min="13835" max="13835" width="7" style="3054" customWidth="1"/>
    <col min="13836" max="13836" width="7.5" style="3054" customWidth="1"/>
    <col min="13837" max="13837" width="10.5" style="3054" customWidth="1"/>
    <col min="13838" max="13838" width="4.125" style="3054" customWidth="1"/>
    <col min="13839" max="13839" width="34.375" style="3054" customWidth="1"/>
    <col min="13840" max="13840" width="7.875" style="3054" customWidth="1"/>
    <col min="13841" max="14080" width="9" style="3054"/>
    <col min="14081" max="14081" width="28.125" style="3054" customWidth="1"/>
    <col min="14082" max="14082" width="6.25" style="3054" customWidth="1"/>
    <col min="14083" max="14083" width="7.875" style="3054" customWidth="1"/>
    <col min="14084" max="14084" width="9.75" style="3054" customWidth="1"/>
    <col min="14085" max="14085" width="10.25" style="3054" customWidth="1"/>
    <col min="14086" max="14086" width="12.5" style="3054" customWidth="1"/>
    <col min="14087" max="14087" width="5.25" style="3054" customWidth="1"/>
    <col min="14088" max="14088" width="7.875" style="3054" customWidth="1"/>
    <col min="14089" max="14090" width="9" style="3054" customWidth="1"/>
    <col min="14091" max="14091" width="7" style="3054" customWidth="1"/>
    <col min="14092" max="14092" width="7.5" style="3054" customWidth="1"/>
    <col min="14093" max="14093" width="10.5" style="3054" customWidth="1"/>
    <col min="14094" max="14094" width="4.125" style="3054" customWidth="1"/>
    <col min="14095" max="14095" width="34.375" style="3054" customWidth="1"/>
    <col min="14096" max="14096" width="7.875" style="3054" customWidth="1"/>
    <col min="14097" max="14336" width="9" style="3054"/>
    <col min="14337" max="14337" width="28.125" style="3054" customWidth="1"/>
    <col min="14338" max="14338" width="6.25" style="3054" customWidth="1"/>
    <col min="14339" max="14339" width="7.875" style="3054" customWidth="1"/>
    <col min="14340" max="14340" width="9.75" style="3054" customWidth="1"/>
    <col min="14341" max="14341" width="10.25" style="3054" customWidth="1"/>
    <col min="14342" max="14342" width="12.5" style="3054" customWidth="1"/>
    <col min="14343" max="14343" width="5.25" style="3054" customWidth="1"/>
    <col min="14344" max="14344" width="7.875" style="3054" customWidth="1"/>
    <col min="14345" max="14346" width="9" style="3054" customWidth="1"/>
    <col min="14347" max="14347" width="7" style="3054" customWidth="1"/>
    <col min="14348" max="14348" width="7.5" style="3054" customWidth="1"/>
    <col min="14349" max="14349" width="10.5" style="3054" customWidth="1"/>
    <col min="14350" max="14350" width="4.125" style="3054" customWidth="1"/>
    <col min="14351" max="14351" width="34.375" style="3054" customWidth="1"/>
    <col min="14352" max="14352" width="7.875" style="3054" customWidth="1"/>
    <col min="14353" max="14592" width="9" style="3054"/>
    <col min="14593" max="14593" width="28.125" style="3054" customWidth="1"/>
    <col min="14594" max="14594" width="6.25" style="3054" customWidth="1"/>
    <col min="14595" max="14595" width="7.875" style="3054" customWidth="1"/>
    <col min="14596" max="14596" width="9.75" style="3054" customWidth="1"/>
    <col min="14597" max="14597" width="10.25" style="3054" customWidth="1"/>
    <col min="14598" max="14598" width="12.5" style="3054" customWidth="1"/>
    <col min="14599" max="14599" width="5.25" style="3054" customWidth="1"/>
    <col min="14600" max="14600" width="7.875" style="3054" customWidth="1"/>
    <col min="14601" max="14602" width="9" style="3054" customWidth="1"/>
    <col min="14603" max="14603" width="7" style="3054" customWidth="1"/>
    <col min="14604" max="14604" width="7.5" style="3054" customWidth="1"/>
    <col min="14605" max="14605" width="10.5" style="3054" customWidth="1"/>
    <col min="14606" max="14606" width="4.125" style="3054" customWidth="1"/>
    <col min="14607" max="14607" width="34.375" style="3054" customWidth="1"/>
    <col min="14608" max="14608" width="7.875" style="3054" customWidth="1"/>
    <col min="14609" max="14848" width="9" style="3054"/>
    <col min="14849" max="14849" width="28.125" style="3054" customWidth="1"/>
    <col min="14850" max="14850" width="6.25" style="3054" customWidth="1"/>
    <col min="14851" max="14851" width="7.875" style="3054" customWidth="1"/>
    <col min="14852" max="14852" width="9.75" style="3054" customWidth="1"/>
    <col min="14853" max="14853" width="10.25" style="3054" customWidth="1"/>
    <col min="14854" max="14854" width="12.5" style="3054" customWidth="1"/>
    <col min="14855" max="14855" width="5.25" style="3054" customWidth="1"/>
    <col min="14856" max="14856" width="7.875" style="3054" customWidth="1"/>
    <col min="14857" max="14858" width="9" style="3054" customWidth="1"/>
    <col min="14859" max="14859" width="7" style="3054" customWidth="1"/>
    <col min="14860" max="14860" width="7.5" style="3054" customWidth="1"/>
    <col min="14861" max="14861" width="10.5" style="3054" customWidth="1"/>
    <col min="14862" max="14862" width="4.125" style="3054" customWidth="1"/>
    <col min="14863" max="14863" width="34.375" style="3054" customWidth="1"/>
    <col min="14864" max="14864" width="7.875" style="3054" customWidth="1"/>
    <col min="14865" max="15104" width="9" style="3054"/>
    <col min="15105" max="15105" width="28.125" style="3054" customWidth="1"/>
    <col min="15106" max="15106" width="6.25" style="3054" customWidth="1"/>
    <col min="15107" max="15107" width="7.875" style="3054" customWidth="1"/>
    <col min="15108" max="15108" width="9.75" style="3054" customWidth="1"/>
    <col min="15109" max="15109" width="10.25" style="3054" customWidth="1"/>
    <col min="15110" max="15110" width="12.5" style="3054" customWidth="1"/>
    <col min="15111" max="15111" width="5.25" style="3054" customWidth="1"/>
    <col min="15112" max="15112" width="7.875" style="3054" customWidth="1"/>
    <col min="15113" max="15114" width="9" style="3054" customWidth="1"/>
    <col min="15115" max="15115" width="7" style="3054" customWidth="1"/>
    <col min="15116" max="15116" width="7.5" style="3054" customWidth="1"/>
    <col min="15117" max="15117" width="10.5" style="3054" customWidth="1"/>
    <col min="15118" max="15118" width="4.125" style="3054" customWidth="1"/>
    <col min="15119" max="15119" width="34.375" style="3054" customWidth="1"/>
    <col min="15120" max="15120" width="7.875" style="3054" customWidth="1"/>
    <col min="15121" max="15360" width="9" style="3054"/>
    <col min="15361" max="15361" width="28.125" style="3054" customWidth="1"/>
    <col min="15362" max="15362" width="6.25" style="3054" customWidth="1"/>
    <col min="15363" max="15363" width="7.875" style="3054" customWidth="1"/>
    <col min="15364" max="15364" width="9.75" style="3054" customWidth="1"/>
    <col min="15365" max="15365" width="10.25" style="3054" customWidth="1"/>
    <col min="15366" max="15366" width="12.5" style="3054" customWidth="1"/>
    <col min="15367" max="15367" width="5.25" style="3054" customWidth="1"/>
    <col min="15368" max="15368" width="7.875" style="3054" customWidth="1"/>
    <col min="15369" max="15370" width="9" style="3054" customWidth="1"/>
    <col min="15371" max="15371" width="7" style="3054" customWidth="1"/>
    <col min="15372" max="15372" width="7.5" style="3054" customWidth="1"/>
    <col min="15373" max="15373" width="10.5" style="3054" customWidth="1"/>
    <col min="15374" max="15374" width="4.125" style="3054" customWidth="1"/>
    <col min="15375" max="15375" width="34.375" style="3054" customWidth="1"/>
    <col min="15376" max="15376" width="7.875" style="3054" customWidth="1"/>
    <col min="15377" max="15616" width="9" style="3054"/>
    <col min="15617" max="15617" width="28.125" style="3054" customWidth="1"/>
    <col min="15618" max="15618" width="6.25" style="3054" customWidth="1"/>
    <col min="15619" max="15619" width="7.875" style="3054" customWidth="1"/>
    <col min="15620" max="15620" width="9.75" style="3054" customWidth="1"/>
    <col min="15621" max="15621" width="10.25" style="3054" customWidth="1"/>
    <col min="15622" max="15622" width="12.5" style="3054" customWidth="1"/>
    <col min="15623" max="15623" width="5.25" style="3054" customWidth="1"/>
    <col min="15624" max="15624" width="7.875" style="3054" customWidth="1"/>
    <col min="15625" max="15626" width="9" style="3054" customWidth="1"/>
    <col min="15627" max="15627" width="7" style="3054" customWidth="1"/>
    <col min="15628" max="15628" width="7.5" style="3054" customWidth="1"/>
    <col min="15629" max="15629" width="10.5" style="3054" customWidth="1"/>
    <col min="15630" max="15630" width="4.125" style="3054" customWidth="1"/>
    <col min="15631" max="15631" width="34.375" style="3054" customWidth="1"/>
    <col min="15632" max="15632" width="7.875" style="3054" customWidth="1"/>
    <col min="15633" max="15872" width="9" style="3054"/>
    <col min="15873" max="15873" width="28.125" style="3054" customWidth="1"/>
    <col min="15874" max="15874" width="6.25" style="3054" customWidth="1"/>
    <col min="15875" max="15875" width="7.875" style="3054" customWidth="1"/>
    <col min="15876" max="15876" width="9.75" style="3054" customWidth="1"/>
    <col min="15877" max="15877" width="10.25" style="3054" customWidth="1"/>
    <col min="15878" max="15878" width="12.5" style="3054" customWidth="1"/>
    <col min="15879" max="15879" width="5.25" style="3054" customWidth="1"/>
    <col min="15880" max="15880" width="7.875" style="3054" customWidth="1"/>
    <col min="15881" max="15882" width="9" style="3054" customWidth="1"/>
    <col min="15883" max="15883" width="7" style="3054" customWidth="1"/>
    <col min="15884" max="15884" width="7.5" style="3054" customWidth="1"/>
    <col min="15885" max="15885" width="10.5" style="3054" customWidth="1"/>
    <col min="15886" max="15886" width="4.125" style="3054" customWidth="1"/>
    <col min="15887" max="15887" width="34.375" style="3054" customWidth="1"/>
    <col min="15888" max="15888" width="7.875" style="3054" customWidth="1"/>
    <col min="15889" max="16128" width="9" style="3054"/>
    <col min="16129" max="16129" width="28.125" style="3054" customWidth="1"/>
    <col min="16130" max="16130" width="6.25" style="3054" customWidth="1"/>
    <col min="16131" max="16131" width="7.875" style="3054" customWidth="1"/>
    <col min="16132" max="16132" width="9.75" style="3054" customWidth="1"/>
    <col min="16133" max="16133" width="10.25" style="3054" customWidth="1"/>
    <col min="16134" max="16134" width="12.5" style="3054" customWidth="1"/>
    <col min="16135" max="16135" width="5.25" style="3054" customWidth="1"/>
    <col min="16136" max="16136" width="7.875" style="3054" customWidth="1"/>
    <col min="16137" max="16138" width="9" style="3054" customWidth="1"/>
    <col min="16139" max="16139" width="7" style="3054" customWidth="1"/>
    <col min="16140" max="16140" width="7.5" style="3054" customWidth="1"/>
    <col min="16141" max="16141" width="10.5" style="3054" customWidth="1"/>
    <col min="16142" max="16142" width="4.125" style="3054" customWidth="1"/>
    <col min="16143" max="16143" width="34.375" style="3054" customWidth="1"/>
    <col min="16144" max="16144" width="7.875" style="3054" customWidth="1"/>
    <col min="16145" max="16384" width="9" style="3054"/>
  </cols>
  <sheetData>
    <row r="1" spans="1:16">
      <c r="A1" s="3054" t="s">
        <v>3073</v>
      </c>
      <c r="B1" s="3054" t="s">
        <v>3074</v>
      </c>
      <c r="C1" s="3054" t="s">
        <v>3075</v>
      </c>
      <c r="D1" s="3054" t="s">
        <v>3076</v>
      </c>
      <c r="E1" s="3054" t="s">
        <v>3077</v>
      </c>
      <c r="F1" s="3054" t="s">
        <v>3078</v>
      </c>
      <c r="G1" s="3054" t="s">
        <v>3079</v>
      </c>
      <c r="H1" s="3054" t="s">
        <v>3080</v>
      </c>
      <c r="I1" s="3054" t="s">
        <v>3081</v>
      </c>
      <c r="J1" s="3054" t="s">
        <v>3082</v>
      </c>
      <c r="K1" s="3054" t="s">
        <v>3083</v>
      </c>
      <c r="L1" s="3054" t="s">
        <v>3084</v>
      </c>
      <c r="M1" s="3054" t="s">
        <v>3085</v>
      </c>
      <c r="N1" s="3054" t="s">
        <v>3086</v>
      </c>
      <c r="O1" s="3054" t="s">
        <v>3087</v>
      </c>
      <c r="P1" s="3054" t="s">
        <v>3088</v>
      </c>
    </row>
    <row r="2" spans="1:16">
      <c r="A2" s="3055" t="s">
        <v>3089</v>
      </c>
      <c r="B2" s="3054" t="s">
        <v>3090</v>
      </c>
      <c r="C2" s="3054" t="s">
        <v>3091</v>
      </c>
      <c r="D2" s="3054">
        <v>2492.8000000000002</v>
      </c>
      <c r="E2" s="3054">
        <v>2492.8000000000002</v>
      </c>
      <c r="F2" s="3054" t="s">
        <v>3092</v>
      </c>
      <c r="G2" s="3054" t="s">
        <v>3093</v>
      </c>
      <c r="H2" s="3054" t="s">
        <v>3091</v>
      </c>
      <c r="I2" s="3054" t="s">
        <v>3094</v>
      </c>
      <c r="J2" s="3054" t="s">
        <v>3094</v>
      </c>
      <c r="K2" s="3054">
        <v>42</v>
      </c>
      <c r="L2" s="3054">
        <v>42</v>
      </c>
      <c r="M2" s="3054">
        <v>168.49</v>
      </c>
      <c r="N2" s="3054">
        <v>0</v>
      </c>
      <c r="O2" s="3054" t="s">
        <v>3095</v>
      </c>
      <c r="P2" s="3054" t="s">
        <v>3096</v>
      </c>
    </row>
    <row r="3" spans="1:16" s="3057" customFormat="1">
      <c r="A3" s="3056" t="s">
        <v>3097</v>
      </c>
      <c r="B3" s="3057" t="s">
        <v>3090</v>
      </c>
      <c r="C3" s="3057" t="s">
        <v>3091</v>
      </c>
      <c r="D3" s="3057">
        <v>32999.370000000003</v>
      </c>
      <c r="E3" s="3057">
        <v>32999.370000000003</v>
      </c>
      <c r="F3" s="3057" t="s">
        <v>3092</v>
      </c>
      <c r="G3" s="3057" t="s">
        <v>3093</v>
      </c>
      <c r="H3" s="3057" t="s">
        <v>3091</v>
      </c>
      <c r="I3" s="3057" t="s">
        <v>3094</v>
      </c>
      <c r="J3" s="3057" t="s">
        <v>3094</v>
      </c>
      <c r="K3" s="3057">
        <v>634</v>
      </c>
      <c r="L3" s="3057">
        <v>634</v>
      </c>
      <c r="M3" s="3057">
        <v>192.12</v>
      </c>
      <c r="N3" s="3057">
        <v>0</v>
      </c>
      <c r="O3" s="3057" t="s">
        <v>3098</v>
      </c>
      <c r="P3" s="3057" t="s">
        <v>3096</v>
      </c>
    </row>
    <row r="4" spans="1:16" ht="14.25">
      <c r="A4" s="3058" t="s">
        <v>3099</v>
      </c>
      <c r="B4" s="3054" t="s">
        <v>3090</v>
      </c>
      <c r="C4" s="3054" t="s">
        <v>3091</v>
      </c>
      <c r="D4" s="3054">
        <v>26489.63</v>
      </c>
      <c r="E4" s="3054">
        <v>26489.63</v>
      </c>
      <c r="F4" s="3054" t="s">
        <v>3092</v>
      </c>
      <c r="G4" s="3054" t="s">
        <v>3093</v>
      </c>
      <c r="H4" s="3054" t="s">
        <v>3100</v>
      </c>
      <c r="I4" s="3054" t="s">
        <v>3094</v>
      </c>
      <c r="J4" s="3054" t="s">
        <v>3094</v>
      </c>
      <c r="K4" s="3054">
        <v>526</v>
      </c>
      <c r="L4" s="3054">
        <v>526</v>
      </c>
      <c r="M4" s="3054">
        <v>198.56</v>
      </c>
      <c r="N4" s="3054">
        <v>0</v>
      </c>
      <c r="O4" s="3054" t="s">
        <v>3101</v>
      </c>
      <c r="P4" s="3054" t="s">
        <v>3096</v>
      </c>
    </row>
    <row r="5" spans="1:16">
      <c r="A5" s="3055" t="s">
        <v>3102</v>
      </c>
      <c r="B5" s="3054" t="s">
        <v>3090</v>
      </c>
      <c r="C5" s="3054" t="s">
        <v>3091</v>
      </c>
      <c r="D5" s="3054">
        <v>33350</v>
      </c>
      <c r="E5" s="3054">
        <v>33350</v>
      </c>
      <c r="F5" s="3054" t="s">
        <v>3092</v>
      </c>
      <c r="G5" s="3054" t="s">
        <v>3093</v>
      </c>
      <c r="H5" s="3054" t="s">
        <v>3091</v>
      </c>
      <c r="I5" s="3054" t="s">
        <v>3103</v>
      </c>
      <c r="J5" s="3054" t="s">
        <v>3103</v>
      </c>
      <c r="K5" s="3054">
        <v>442</v>
      </c>
      <c r="L5" s="3054">
        <v>442</v>
      </c>
      <c r="M5" s="3054">
        <v>132.53</v>
      </c>
      <c r="N5" s="3054">
        <v>0</v>
      </c>
      <c r="O5" s="3054" t="s">
        <v>3104</v>
      </c>
      <c r="P5" s="3054" t="s">
        <v>3096</v>
      </c>
    </row>
    <row r="6" spans="1:16">
      <c r="A6" s="3054" t="s">
        <v>3105</v>
      </c>
      <c r="B6" s="3054" t="s">
        <v>3090</v>
      </c>
      <c r="C6" s="3054" t="s">
        <v>3091</v>
      </c>
      <c r="D6" s="3054">
        <v>47724.59</v>
      </c>
      <c r="E6" s="3054">
        <v>47724.59</v>
      </c>
      <c r="F6" s="3054" t="s">
        <v>3092</v>
      </c>
      <c r="G6" s="3054" t="s">
        <v>3093</v>
      </c>
      <c r="H6" s="3054" t="s">
        <v>3091</v>
      </c>
      <c r="I6" s="3054" t="s">
        <v>3103</v>
      </c>
      <c r="J6" s="3054" t="s">
        <v>3103</v>
      </c>
      <c r="K6" s="3054">
        <v>716</v>
      </c>
      <c r="L6" s="3054">
        <v>716</v>
      </c>
      <c r="M6" s="3054">
        <v>150.03</v>
      </c>
      <c r="N6" s="3054">
        <v>0</v>
      </c>
      <c r="O6" s="3054" t="s">
        <v>3106</v>
      </c>
      <c r="P6" s="3054" t="s">
        <v>3096</v>
      </c>
    </row>
    <row r="7" spans="1:16">
      <c r="A7" s="3054" t="s">
        <v>3107</v>
      </c>
      <c r="B7" s="3054" t="s">
        <v>3090</v>
      </c>
      <c r="C7" s="3054" t="s">
        <v>3091</v>
      </c>
      <c r="D7" s="3054">
        <v>19891.97</v>
      </c>
      <c r="E7" s="3054">
        <v>19891.97</v>
      </c>
      <c r="F7" s="3054" t="s">
        <v>3092</v>
      </c>
      <c r="G7" s="3054" t="s">
        <v>3093</v>
      </c>
      <c r="H7" s="3054" t="s">
        <v>3091</v>
      </c>
      <c r="I7" s="3054" t="s">
        <v>3103</v>
      </c>
      <c r="J7" s="3054" t="s">
        <v>3103</v>
      </c>
      <c r="K7" s="3054">
        <v>382</v>
      </c>
      <c r="L7" s="3054">
        <v>382</v>
      </c>
      <c r="M7" s="3054">
        <v>192.03</v>
      </c>
      <c r="N7" s="3054">
        <v>0</v>
      </c>
      <c r="O7" s="3054" t="s">
        <v>3108</v>
      </c>
      <c r="P7" s="3054" t="s">
        <v>3096</v>
      </c>
    </row>
    <row r="8" spans="1:16">
      <c r="A8" s="3054" t="s">
        <v>3109</v>
      </c>
      <c r="B8" s="3054" t="s">
        <v>3090</v>
      </c>
      <c r="C8" s="3054" t="s">
        <v>3091</v>
      </c>
      <c r="D8" s="3054">
        <v>21313</v>
      </c>
      <c r="E8" s="3054">
        <v>21313</v>
      </c>
      <c r="F8" s="3054" t="s">
        <v>3092</v>
      </c>
      <c r="G8" s="3054" t="s">
        <v>3093</v>
      </c>
      <c r="H8" s="3054" t="s">
        <v>3091</v>
      </c>
      <c r="I8" s="3054" t="s">
        <v>3110</v>
      </c>
      <c r="J8" s="3054" t="s">
        <v>3110</v>
      </c>
      <c r="K8" s="3054">
        <v>451</v>
      </c>
      <c r="L8" s="3054">
        <v>451</v>
      </c>
      <c r="M8" s="3054">
        <v>211.61</v>
      </c>
      <c r="N8" s="3054">
        <v>0</v>
      </c>
      <c r="O8" s="3054" t="s">
        <v>3111</v>
      </c>
      <c r="P8" s="3054" t="s">
        <v>3096</v>
      </c>
    </row>
    <row r="9" spans="1:16">
      <c r="A9" s="3055" t="s">
        <v>3112</v>
      </c>
      <c r="B9" s="3054" t="s">
        <v>3090</v>
      </c>
      <c r="C9" s="3054" t="s">
        <v>3091</v>
      </c>
      <c r="D9" s="3054">
        <v>135078</v>
      </c>
      <c r="E9" s="3054">
        <v>135078</v>
      </c>
      <c r="F9" s="3054" t="s">
        <v>3092</v>
      </c>
      <c r="G9" s="3054" t="s">
        <v>3093</v>
      </c>
      <c r="H9" s="3054" t="s">
        <v>3091</v>
      </c>
      <c r="I9" s="3054" t="s">
        <v>3113</v>
      </c>
      <c r="J9" s="3054" t="s">
        <v>3113</v>
      </c>
      <c r="K9" s="3054">
        <v>2810</v>
      </c>
      <c r="L9" s="3054">
        <v>2810</v>
      </c>
      <c r="M9" s="3054">
        <v>208.03</v>
      </c>
      <c r="N9" s="3054">
        <v>0</v>
      </c>
      <c r="O9" s="3054" t="s">
        <v>3114</v>
      </c>
      <c r="P9" s="3054" t="s">
        <v>3096</v>
      </c>
    </row>
    <row r="10" spans="1:16">
      <c r="A10" s="3054" t="s">
        <v>3115</v>
      </c>
      <c r="B10" s="3054" t="s">
        <v>3090</v>
      </c>
      <c r="C10" s="3054" t="s">
        <v>3091</v>
      </c>
      <c r="D10" s="3054">
        <v>13934</v>
      </c>
      <c r="E10" s="3054">
        <v>13934</v>
      </c>
      <c r="F10" s="3054" t="s">
        <v>3092</v>
      </c>
      <c r="G10" s="3054" t="s">
        <v>3093</v>
      </c>
      <c r="H10" s="3054" t="s">
        <v>3091</v>
      </c>
      <c r="I10" s="3054" t="s">
        <v>3116</v>
      </c>
      <c r="J10" s="3054" t="s">
        <v>3116</v>
      </c>
      <c r="K10" s="3054">
        <v>293</v>
      </c>
      <c r="L10" s="3054">
        <v>293</v>
      </c>
      <c r="M10" s="3054">
        <v>210.28</v>
      </c>
      <c r="N10" s="3054">
        <v>0</v>
      </c>
      <c r="O10" s="3054" t="s">
        <v>3117</v>
      </c>
      <c r="P10" s="3054" t="s">
        <v>3118</v>
      </c>
    </row>
    <row r="11" spans="1:16" s="3057" customFormat="1">
      <c r="A11" s="3057" t="s">
        <v>3119</v>
      </c>
      <c r="B11" s="3057" t="s">
        <v>3090</v>
      </c>
      <c r="C11" s="3057" t="s">
        <v>3091</v>
      </c>
      <c r="D11" s="3057">
        <v>29801</v>
      </c>
      <c r="E11" s="3057">
        <v>29801</v>
      </c>
      <c r="F11" s="3057" t="s">
        <v>3092</v>
      </c>
      <c r="G11" s="3057" t="s">
        <v>3093</v>
      </c>
      <c r="H11" s="3057" t="s">
        <v>3091</v>
      </c>
      <c r="I11" s="3057" t="s">
        <v>3116</v>
      </c>
      <c r="J11" s="3057" t="s">
        <v>3116</v>
      </c>
      <c r="K11" s="3057">
        <v>620</v>
      </c>
      <c r="L11" s="3057">
        <v>620</v>
      </c>
      <c r="M11" s="3057">
        <v>208.05</v>
      </c>
      <c r="N11" s="3057">
        <v>0</v>
      </c>
      <c r="O11" s="3057" t="s">
        <v>3120</v>
      </c>
      <c r="P11" s="3057" t="s">
        <v>3096</v>
      </c>
    </row>
    <row r="12" spans="1:16">
      <c r="A12" s="3054" t="s">
        <v>3121</v>
      </c>
      <c r="B12" s="3054" t="s">
        <v>3090</v>
      </c>
      <c r="C12" s="3054" t="s">
        <v>3091</v>
      </c>
      <c r="D12" s="3054">
        <v>10002</v>
      </c>
      <c r="E12" s="3054">
        <v>10002</v>
      </c>
      <c r="F12" s="3054" t="s">
        <v>3092</v>
      </c>
      <c r="G12" s="3054" t="s">
        <v>3093</v>
      </c>
      <c r="H12" s="3054" t="s">
        <v>3091</v>
      </c>
      <c r="I12" s="3054" t="s">
        <v>3116</v>
      </c>
      <c r="J12" s="3054" t="s">
        <v>3116</v>
      </c>
      <c r="K12" s="3054">
        <v>214</v>
      </c>
      <c r="L12" s="3054">
        <v>214</v>
      </c>
      <c r="M12" s="3054">
        <v>213.96</v>
      </c>
      <c r="N12" s="3054">
        <v>0</v>
      </c>
      <c r="O12" s="3054" t="s">
        <v>3122</v>
      </c>
      <c r="P12" s="3054" t="s">
        <v>3118</v>
      </c>
    </row>
    <row r="13" spans="1:16">
      <c r="A13" s="3054" t="s">
        <v>3123</v>
      </c>
      <c r="B13" s="3054" t="s">
        <v>3090</v>
      </c>
      <c r="C13" s="3054" t="s">
        <v>3091</v>
      </c>
      <c r="D13" s="3054">
        <v>26715</v>
      </c>
      <c r="E13" s="3054">
        <v>26715</v>
      </c>
      <c r="F13" s="3054" t="s">
        <v>3092</v>
      </c>
      <c r="G13" s="3054" t="s">
        <v>3093</v>
      </c>
      <c r="H13" s="3054" t="s">
        <v>3091</v>
      </c>
      <c r="I13" s="3054" t="s">
        <v>3116</v>
      </c>
      <c r="J13" s="3054" t="s">
        <v>3116</v>
      </c>
      <c r="K13" s="3054">
        <v>556</v>
      </c>
      <c r="L13" s="3054">
        <v>556</v>
      </c>
      <c r="M13" s="3054">
        <v>208.12</v>
      </c>
      <c r="N13" s="3054">
        <v>0</v>
      </c>
      <c r="O13" s="3054" t="s">
        <v>3124</v>
      </c>
      <c r="P13" s="3054" t="s">
        <v>3125</v>
      </c>
    </row>
    <row r="14" spans="1:16" s="3057" customFormat="1">
      <c r="A14" s="3057" t="s">
        <v>3126</v>
      </c>
      <c r="B14" s="3057" t="s">
        <v>3090</v>
      </c>
      <c r="C14" s="3057" t="s">
        <v>3091</v>
      </c>
      <c r="D14" s="3057">
        <v>15036.7</v>
      </c>
      <c r="E14" s="3057">
        <v>15036.7</v>
      </c>
      <c r="F14" s="3057" t="s">
        <v>3092</v>
      </c>
      <c r="G14" s="3057" t="s">
        <v>3093</v>
      </c>
      <c r="H14" s="3057" t="s">
        <v>3091</v>
      </c>
      <c r="I14" s="3057" t="s">
        <v>3127</v>
      </c>
      <c r="J14" s="3057" t="s">
        <v>3127</v>
      </c>
      <c r="K14" s="3057">
        <v>272</v>
      </c>
      <c r="L14" s="3057">
        <v>272</v>
      </c>
      <c r="M14" s="3057">
        <v>180.88</v>
      </c>
      <c r="N14" s="3057">
        <v>0</v>
      </c>
      <c r="O14" s="3057" t="s">
        <v>3128</v>
      </c>
      <c r="P14" s="3057" t="s">
        <v>3118</v>
      </c>
    </row>
    <row r="15" spans="1:16" s="3057" customFormat="1">
      <c r="A15" s="3056" t="s">
        <v>3129</v>
      </c>
      <c r="B15" s="3057" t="s">
        <v>3090</v>
      </c>
      <c r="C15" s="3057" t="s">
        <v>3091</v>
      </c>
      <c r="D15" s="3057">
        <v>4626.92</v>
      </c>
      <c r="E15" s="3057">
        <v>4626.92</v>
      </c>
      <c r="F15" s="3057" t="s">
        <v>3092</v>
      </c>
      <c r="G15" s="3057" t="s">
        <v>3093</v>
      </c>
      <c r="H15" s="3057" t="s">
        <v>3091</v>
      </c>
      <c r="I15" s="3057" t="s">
        <v>3127</v>
      </c>
      <c r="J15" s="3057" t="s">
        <v>3127</v>
      </c>
      <c r="K15" s="3057">
        <v>84</v>
      </c>
      <c r="L15" s="3057">
        <v>84</v>
      </c>
      <c r="M15" s="3057">
        <v>181.55</v>
      </c>
      <c r="N15" s="3057">
        <v>0</v>
      </c>
      <c r="O15" s="3057" t="s">
        <v>3130</v>
      </c>
      <c r="P15" s="3057" t="s">
        <v>3131</v>
      </c>
    </row>
    <row r="16" spans="1:16">
      <c r="A16" s="3054" t="s">
        <v>3132</v>
      </c>
      <c r="B16" s="3054" t="s">
        <v>3090</v>
      </c>
      <c r="C16" s="3054" t="s">
        <v>3091</v>
      </c>
      <c r="D16" s="3054">
        <v>119446.22</v>
      </c>
      <c r="E16" s="3054">
        <v>119446.22</v>
      </c>
      <c r="F16" s="3054" t="s">
        <v>3092</v>
      </c>
      <c r="G16" s="3054" t="s">
        <v>3093</v>
      </c>
      <c r="H16" s="3054" t="s">
        <v>3091</v>
      </c>
      <c r="I16" s="3054" t="s">
        <v>3127</v>
      </c>
      <c r="J16" s="3054" t="s">
        <v>3127</v>
      </c>
      <c r="K16" s="3054">
        <v>1606</v>
      </c>
      <c r="L16" s="3054">
        <v>1606</v>
      </c>
      <c r="M16" s="3054">
        <v>134.44</v>
      </c>
      <c r="N16" s="3054">
        <v>0</v>
      </c>
      <c r="O16" s="3054" t="s">
        <v>3133</v>
      </c>
      <c r="P16" s="3054" t="s">
        <v>3118</v>
      </c>
    </row>
    <row r="17" spans="1:16" ht="14.25">
      <c r="A17" s="3058" t="s">
        <v>3134</v>
      </c>
      <c r="B17" s="3054" t="s">
        <v>3090</v>
      </c>
      <c r="C17" s="3054" t="s">
        <v>3091</v>
      </c>
      <c r="D17" s="3054">
        <v>13409.52</v>
      </c>
      <c r="E17" s="3054">
        <v>13409.52</v>
      </c>
      <c r="F17" s="3054" t="s">
        <v>3092</v>
      </c>
      <c r="G17" s="3054" t="s">
        <v>3093</v>
      </c>
      <c r="H17" s="3054" t="s">
        <v>3091</v>
      </c>
      <c r="I17" s="3054" t="s">
        <v>3135</v>
      </c>
      <c r="J17" s="3054" t="s">
        <v>3135</v>
      </c>
      <c r="K17" s="3054">
        <v>242</v>
      </c>
      <c r="L17" s="3054">
        <v>242</v>
      </c>
      <c r="M17" s="3054">
        <v>180.46</v>
      </c>
      <c r="N17" s="3054">
        <v>0</v>
      </c>
      <c r="O17" s="3054" t="s">
        <v>3136</v>
      </c>
      <c r="P17" s="3054" t="s">
        <v>3096</v>
      </c>
    </row>
    <row r="18" spans="1:16">
      <c r="A18" s="3054" t="s">
        <v>3137</v>
      </c>
      <c r="B18" s="3054" t="s">
        <v>3090</v>
      </c>
      <c r="C18" s="3054" t="s">
        <v>3091</v>
      </c>
      <c r="D18" s="3054">
        <v>8433.33</v>
      </c>
      <c r="E18" s="3054">
        <v>8433.33</v>
      </c>
      <c r="F18" s="3054" t="s">
        <v>3092</v>
      </c>
      <c r="G18" s="3054" t="s">
        <v>3093</v>
      </c>
      <c r="H18" s="3054" t="s">
        <v>3091</v>
      </c>
      <c r="I18" s="3054" t="s">
        <v>3135</v>
      </c>
      <c r="J18" s="3054" t="s">
        <v>3135</v>
      </c>
      <c r="K18" s="3054">
        <v>162</v>
      </c>
      <c r="L18" s="3054">
        <v>162</v>
      </c>
      <c r="M18" s="3054">
        <v>192.09</v>
      </c>
      <c r="N18" s="3054">
        <v>0</v>
      </c>
      <c r="O18" s="3054" t="s">
        <v>3138</v>
      </c>
      <c r="P18" s="3054" t="s">
        <v>3096</v>
      </c>
    </row>
    <row r="19" spans="1:16">
      <c r="A19" s="3054" t="s">
        <v>3139</v>
      </c>
      <c r="B19" s="3054" t="s">
        <v>3090</v>
      </c>
      <c r="C19" s="3054" t="s">
        <v>3091</v>
      </c>
      <c r="D19" s="3054">
        <v>18061.59</v>
      </c>
      <c r="E19" s="3054">
        <v>18061.59</v>
      </c>
      <c r="F19" s="3054" t="s">
        <v>3092</v>
      </c>
      <c r="G19" s="3054" t="s">
        <v>3093</v>
      </c>
      <c r="H19" s="3054" t="s">
        <v>3091</v>
      </c>
      <c r="I19" s="3054" t="s">
        <v>3135</v>
      </c>
      <c r="J19" s="3054" t="s">
        <v>3135</v>
      </c>
      <c r="K19" s="3054">
        <v>350</v>
      </c>
      <c r="L19" s="3054">
        <v>350</v>
      </c>
      <c r="M19" s="3054">
        <v>193.78</v>
      </c>
      <c r="N19" s="3054">
        <v>0</v>
      </c>
      <c r="O19" s="3054" t="s">
        <v>3140</v>
      </c>
      <c r="P19" s="3054" t="s">
        <v>3096</v>
      </c>
    </row>
    <row r="20" spans="1:16">
      <c r="A20" s="3054" t="s">
        <v>3141</v>
      </c>
      <c r="B20" s="3054" t="s">
        <v>3090</v>
      </c>
      <c r="C20" s="3054" t="s">
        <v>3091</v>
      </c>
      <c r="D20" s="3054">
        <v>13334</v>
      </c>
      <c r="E20" s="3054">
        <v>13334</v>
      </c>
      <c r="F20" s="3054" t="s">
        <v>3092</v>
      </c>
      <c r="G20" s="3054" t="s">
        <v>3093</v>
      </c>
      <c r="H20" s="3054" t="s">
        <v>3091</v>
      </c>
      <c r="I20" s="3054" t="s">
        <v>3142</v>
      </c>
      <c r="J20" s="3054" t="s">
        <v>3142</v>
      </c>
      <c r="K20" s="3054">
        <v>289</v>
      </c>
      <c r="L20" s="3054">
        <v>289</v>
      </c>
      <c r="M20" s="3054">
        <v>216.74</v>
      </c>
      <c r="N20" s="3054">
        <v>0</v>
      </c>
      <c r="O20" s="3054" t="s">
        <v>3143</v>
      </c>
      <c r="P20" s="3054" t="s">
        <v>3096</v>
      </c>
    </row>
    <row r="21" spans="1:16">
      <c r="A21" s="3054" t="s">
        <v>3144</v>
      </c>
      <c r="B21" s="3054" t="s">
        <v>3090</v>
      </c>
      <c r="C21" s="3054" t="s">
        <v>3091</v>
      </c>
      <c r="D21" s="3054">
        <v>22481</v>
      </c>
      <c r="E21" s="3054">
        <v>22481</v>
      </c>
      <c r="F21" s="3054" t="s">
        <v>3092</v>
      </c>
      <c r="G21" s="3054" t="s">
        <v>3093</v>
      </c>
      <c r="H21" s="3054" t="s">
        <v>3091</v>
      </c>
      <c r="I21" s="3054" t="s">
        <v>3142</v>
      </c>
      <c r="J21" s="3054" t="s">
        <v>3142</v>
      </c>
      <c r="K21" s="3054">
        <v>486</v>
      </c>
      <c r="L21" s="3054">
        <v>486</v>
      </c>
      <c r="M21" s="3054">
        <v>216.18</v>
      </c>
      <c r="N21" s="3054">
        <v>0</v>
      </c>
      <c r="O21" s="3054" t="s">
        <v>3145</v>
      </c>
      <c r="P21" s="3054" t="s">
        <v>3096</v>
      </c>
    </row>
    <row r="22" spans="1:16">
      <c r="A22" s="3054" t="s">
        <v>3146</v>
      </c>
      <c r="B22" s="3054" t="s">
        <v>3090</v>
      </c>
      <c r="C22" s="3054" t="s">
        <v>3091</v>
      </c>
      <c r="D22" s="3054">
        <v>11927</v>
      </c>
      <c r="E22" s="3054">
        <v>11927</v>
      </c>
      <c r="F22" s="3054" t="s">
        <v>3092</v>
      </c>
      <c r="G22" s="3054" t="s">
        <v>3093</v>
      </c>
      <c r="H22" s="3054" t="s">
        <v>3091</v>
      </c>
      <c r="I22" s="3054" t="s">
        <v>3142</v>
      </c>
      <c r="J22" s="3054" t="s">
        <v>3142</v>
      </c>
      <c r="K22" s="3054">
        <v>256</v>
      </c>
      <c r="L22" s="3054">
        <v>256</v>
      </c>
      <c r="M22" s="3054">
        <v>214.63</v>
      </c>
      <c r="N22" s="3054">
        <v>0</v>
      </c>
      <c r="O22" s="3054" t="s">
        <v>3147</v>
      </c>
      <c r="P22" s="3054" t="s">
        <v>3096</v>
      </c>
    </row>
    <row r="23" spans="1:16">
      <c r="A23" s="3054" t="s">
        <v>3148</v>
      </c>
      <c r="B23" s="3054" t="s">
        <v>3090</v>
      </c>
      <c r="C23" s="3054" t="s">
        <v>3091</v>
      </c>
      <c r="D23" s="3054">
        <v>46641</v>
      </c>
      <c r="E23" s="3054">
        <v>46641</v>
      </c>
      <c r="F23" s="3054" t="s">
        <v>3092</v>
      </c>
      <c r="G23" s="3054" t="s">
        <v>3093</v>
      </c>
      <c r="H23" s="3054" t="s">
        <v>3091</v>
      </c>
      <c r="I23" s="3054" t="s">
        <v>3149</v>
      </c>
      <c r="J23" s="3054" t="s">
        <v>3149</v>
      </c>
      <c r="K23" s="3054">
        <v>998</v>
      </c>
      <c r="L23" s="3054">
        <v>998</v>
      </c>
      <c r="M23" s="3054">
        <v>213.96</v>
      </c>
      <c r="N23" s="3054">
        <v>0</v>
      </c>
      <c r="O23" s="3054" t="s">
        <v>3150</v>
      </c>
      <c r="P23" s="3054" t="s">
        <v>3096</v>
      </c>
    </row>
    <row r="24" spans="1:16">
      <c r="A24" s="3054" t="s">
        <v>3151</v>
      </c>
      <c r="B24" s="3054" t="s">
        <v>3090</v>
      </c>
      <c r="C24" s="3054" t="s">
        <v>3091</v>
      </c>
      <c r="D24" s="3054">
        <v>143342</v>
      </c>
      <c r="E24" s="3054">
        <v>143342</v>
      </c>
      <c r="F24" s="3054" t="s">
        <v>3092</v>
      </c>
      <c r="G24" s="3054" t="s">
        <v>3093</v>
      </c>
      <c r="H24" s="3054" t="s">
        <v>3091</v>
      </c>
      <c r="I24" s="3054" t="s">
        <v>3152</v>
      </c>
      <c r="J24" s="3054" t="s">
        <v>3152</v>
      </c>
      <c r="K24" s="3054">
        <v>3026</v>
      </c>
      <c r="L24" s="3054">
        <v>3026</v>
      </c>
      <c r="M24" s="3054">
        <v>211.09</v>
      </c>
      <c r="N24" s="3054">
        <v>0</v>
      </c>
      <c r="O24" s="3054" t="s">
        <v>3153</v>
      </c>
      <c r="P24" s="3054" t="s">
        <v>3096</v>
      </c>
    </row>
    <row r="25" spans="1:16">
      <c r="A25" s="3054" t="s">
        <v>3154</v>
      </c>
      <c r="B25" s="3054" t="s">
        <v>3090</v>
      </c>
      <c r="C25" s="3054" t="s">
        <v>3091</v>
      </c>
      <c r="D25" s="3054">
        <v>11299</v>
      </c>
      <c r="E25" s="3054">
        <v>11299</v>
      </c>
      <c r="F25" s="3054" t="s">
        <v>3092</v>
      </c>
      <c r="G25" s="3054" t="s">
        <v>3093</v>
      </c>
      <c r="H25" s="3054" t="s">
        <v>3091</v>
      </c>
      <c r="I25" s="3054" t="s">
        <v>3152</v>
      </c>
      <c r="J25" s="3054" t="s">
        <v>3152</v>
      </c>
      <c r="K25" s="3054">
        <v>241</v>
      </c>
      <c r="L25" s="3054">
        <v>241</v>
      </c>
      <c r="M25" s="3054">
        <v>213.28</v>
      </c>
      <c r="N25" s="3054">
        <v>0</v>
      </c>
      <c r="O25" s="3054" t="s">
        <v>3155</v>
      </c>
      <c r="P25" s="3054" t="s">
        <v>3096</v>
      </c>
    </row>
    <row r="26" spans="1:16">
      <c r="A26" s="3054" t="s">
        <v>3156</v>
      </c>
      <c r="B26" s="3054" t="s">
        <v>3090</v>
      </c>
      <c r="C26" s="3054" t="s">
        <v>3091</v>
      </c>
      <c r="D26" s="3054">
        <v>38665</v>
      </c>
      <c r="E26" s="3054">
        <v>38665</v>
      </c>
      <c r="F26" s="3054" t="s">
        <v>3092</v>
      </c>
      <c r="G26" s="3054" t="s">
        <v>3093</v>
      </c>
      <c r="H26" s="3054" t="s">
        <v>3091</v>
      </c>
      <c r="I26" s="3054" t="s">
        <v>3157</v>
      </c>
      <c r="J26" s="3054" t="s">
        <v>3157</v>
      </c>
      <c r="K26" s="3054">
        <v>825</v>
      </c>
      <c r="L26" s="3054">
        <v>825</v>
      </c>
      <c r="M26" s="3054">
        <v>213.37</v>
      </c>
      <c r="N26" s="3054">
        <v>0</v>
      </c>
      <c r="O26" s="3054" t="s">
        <v>3158</v>
      </c>
      <c r="P26" s="3054" t="s">
        <v>3096</v>
      </c>
    </row>
    <row r="27" spans="1:16">
      <c r="A27" s="3054" t="s">
        <v>3159</v>
      </c>
      <c r="B27" s="3054" t="s">
        <v>3090</v>
      </c>
      <c r="C27" s="3054" t="s">
        <v>3091</v>
      </c>
      <c r="D27" s="3054">
        <v>91323</v>
      </c>
      <c r="E27" s="3054">
        <v>91323</v>
      </c>
      <c r="F27" s="3054" t="s">
        <v>3092</v>
      </c>
      <c r="G27" s="3054" t="s">
        <v>3093</v>
      </c>
      <c r="H27" s="3054" t="s">
        <v>3091</v>
      </c>
      <c r="I27" s="3054" t="s">
        <v>3157</v>
      </c>
      <c r="J27" s="3054" t="s">
        <v>3157</v>
      </c>
      <c r="K27" s="3054">
        <v>1948</v>
      </c>
      <c r="L27" s="3054">
        <v>1948</v>
      </c>
      <c r="M27" s="3054">
        <v>213.31</v>
      </c>
      <c r="N27" s="3054">
        <v>0</v>
      </c>
      <c r="O27" s="3054" t="s">
        <v>3158</v>
      </c>
      <c r="P27" s="3054" t="s">
        <v>3096</v>
      </c>
    </row>
    <row r="28" spans="1:16">
      <c r="A28" s="3054" t="s">
        <v>3160</v>
      </c>
      <c r="B28" s="3054" t="s">
        <v>3090</v>
      </c>
      <c r="C28" s="3054" t="s">
        <v>3091</v>
      </c>
      <c r="D28" s="3054">
        <v>11267</v>
      </c>
      <c r="E28" s="3054">
        <v>11267</v>
      </c>
      <c r="F28" s="3054" t="s">
        <v>3092</v>
      </c>
      <c r="G28" s="3054" t="s">
        <v>3093</v>
      </c>
      <c r="H28" s="3054" t="s">
        <v>3091</v>
      </c>
      <c r="I28" s="3054" t="s">
        <v>3157</v>
      </c>
      <c r="J28" s="3054" t="s">
        <v>3157</v>
      </c>
      <c r="K28" s="3054">
        <v>238</v>
      </c>
      <c r="L28" s="3054">
        <v>238</v>
      </c>
      <c r="M28" s="3054">
        <v>211.24</v>
      </c>
      <c r="N28" s="3054">
        <v>0</v>
      </c>
      <c r="O28" s="3054" t="s">
        <v>3161</v>
      </c>
      <c r="P28" s="3054" t="s">
        <v>3096</v>
      </c>
    </row>
    <row r="29" spans="1:16">
      <c r="A29" s="3054" t="s">
        <v>3162</v>
      </c>
      <c r="B29" s="3054" t="s">
        <v>3090</v>
      </c>
      <c r="C29" s="3054" t="s">
        <v>3091</v>
      </c>
      <c r="D29" s="3054">
        <v>15613</v>
      </c>
      <c r="E29" s="3054">
        <v>3903.25</v>
      </c>
      <c r="F29" s="3054" t="s">
        <v>3163</v>
      </c>
      <c r="G29" s="3054" t="s">
        <v>3093</v>
      </c>
      <c r="H29" s="3054" t="s">
        <v>3100</v>
      </c>
      <c r="I29" s="3054" t="s">
        <v>3164</v>
      </c>
      <c r="J29" s="3054" t="s">
        <v>3164</v>
      </c>
      <c r="K29" s="3054">
        <v>236</v>
      </c>
      <c r="L29" s="3054">
        <v>236</v>
      </c>
      <c r="M29" s="3054">
        <v>604.62</v>
      </c>
      <c r="N29" s="3054">
        <v>0</v>
      </c>
      <c r="O29" s="3054" t="s">
        <v>3165</v>
      </c>
      <c r="P29" s="3054" t="s">
        <v>3096</v>
      </c>
    </row>
    <row r="30" spans="1:16">
      <c r="A30" s="3054" t="s">
        <v>3166</v>
      </c>
      <c r="B30" s="3054" t="s">
        <v>3090</v>
      </c>
      <c r="C30" s="3054" t="s">
        <v>3091</v>
      </c>
      <c r="D30" s="3054">
        <v>200000</v>
      </c>
      <c r="E30" s="3054">
        <v>200000</v>
      </c>
      <c r="F30" s="3054" t="s">
        <v>3092</v>
      </c>
      <c r="G30" s="3054" t="s">
        <v>3093</v>
      </c>
      <c r="H30" s="3054" t="s">
        <v>3091</v>
      </c>
      <c r="I30" s="3054" t="s">
        <v>3167</v>
      </c>
      <c r="J30" s="3054" t="s">
        <v>3167</v>
      </c>
      <c r="K30" s="3054">
        <v>4135</v>
      </c>
      <c r="L30" s="3054">
        <v>4135</v>
      </c>
      <c r="M30" s="3054">
        <v>206.75</v>
      </c>
      <c r="N30" s="3054">
        <v>0</v>
      </c>
      <c r="O30" s="3054" t="s">
        <v>3168</v>
      </c>
      <c r="P30" s="3054" t="s">
        <v>3096</v>
      </c>
    </row>
    <row r="31" spans="1:16">
      <c r="A31" s="3054" t="s">
        <v>3169</v>
      </c>
      <c r="B31" s="3054" t="s">
        <v>3090</v>
      </c>
      <c r="C31" s="3054" t="s">
        <v>3091</v>
      </c>
      <c r="D31" s="3054">
        <v>3379.93</v>
      </c>
      <c r="E31" s="3054">
        <v>3379.93</v>
      </c>
      <c r="F31" s="3054" t="s">
        <v>3170</v>
      </c>
      <c r="G31" s="3054" t="s">
        <v>3093</v>
      </c>
      <c r="H31" s="3054" t="s">
        <v>3091</v>
      </c>
      <c r="I31" s="3054" t="s">
        <v>3171</v>
      </c>
      <c r="J31" s="3054" t="s">
        <v>3171</v>
      </c>
      <c r="K31" s="3054">
        <v>52</v>
      </c>
      <c r="L31" s="3054">
        <v>52</v>
      </c>
      <c r="M31" s="3054">
        <v>153.84</v>
      </c>
      <c r="N31" s="3054">
        <v>0</v>
      </c>
      <c r="O31" s="3054" t="s">
        <v>3172</v>
      </c>
      <c r="P31" s="3054" t="s">
        <v>3096</v>
      </c>
    </row>
    <row r="32" spans="1:16">
      <c r="A32" s="3054" t="s">
        <v>3173</v>
      </c>
      <c r="B32" s="3054" t="s">
        <v>3090</v>
      </c>
      <c r="C32" s="3054" t="s">
        <v>3091</v>
      </c>
      <c r="D32" s="3054">
        <v>42653</v>
      </c>
      <c r="E32" s="3054">
        <v>42653</v>
      </c>
      <c r="F32" s="3054" t="s">
        <v>3092</v>
      </c>
      <c r="G32" s="3054" t="s">
        <v>3093</v>
      </c>
      <c r="H32" s="3054" t="s">
        <v>3091</v>
      </c>
      <c r="I32" s="3054" t="s">
        <v>3174</v>
      </c>
      <c r="J32" s="3054" t="s">
        <v>3174</v>
      </c>
      <c r="K32" s="3054">
        <v>884</v>
      </c>
      <c r="L32" s="3054">
        <v>884</v>
      </c>
      <c r="M32" s="3054">
        <v>207.25</v>
      </c>
      <c r="N32" s="3054">
        <v>0</v>
      </c>
      <c r="O32" s="3054" t="s">
        <v>3168</v>
      </c>
      <c r="P32" s="3054" t="s">
        <v>3096</v>
      </c>
    </row>
    <row r="33" spans="1:16">
      <c r="A33" s="3054" t="s">
        <v>3175</v>
      </c>
      <c r="B33" s="3054" t="s">
        <v>3090</v>
      </c>
      <c r="C33" s="3054" t="s">
        <v>3091</v>
      </c>
      <c r="D33" s="3054">
        <v>14622</v>
      </c>
      <c r="E33" s="3054">
        <v>14622</v>
      </c>
      <c r="F33" s="3054" t="s">
        <v>3092</v>
      </c>
      <c r="G33" s="3054" t="s">
        <v>3093</v>
      </c>
      <c r="H33" s="3054" t="s">
        <v>3091</v>
      </c>
      <c r="I33" s="3054" t="s">
        <v>3174</v>
      </c>
      <c r="J33" s="3054" t="s">
        <v>3174</v>
      </c>
      <c r="K33" s="3054">
        <v>303</v>
      </c>
      <c r="L33" s="3054">
        <v>303</v>
      </c>
      <c r="M33" s="3054">
        <v>207.21</v>
      </c>
      <c r="N33" s="3054">
        <v>0</v>
      </c>
      <c r="O33" s="3054" t="s">
        <v>3176</v>
      </c>
      <c r="P33" s="3054" t="s">
        <v>3096</v>
      </c>
    </row>
    <row r="34" spans="1:16">
      <c r="A34" s="3054" t="s">
        <v>3177</v>
      </c>
      <c r="B34" s="3054" t="s">
        <v>3090</v>
      </c>
      <c r="C34" s="3054" t="s">
        <v>3091</v>
      </c>
      <c r="D34" s="3054">
        <v>44486.18</v>
      </c>
      <c r="E34" s="3054">
        <v>35588.94</v>
      </c>
      <c r="F34" s="3054" t="s">
        <v>3178</v>
      </c>
      <c r="G34" s="3054" t="s">
        <v>3093</v>
      </c>
      <c r="H34" s="3054" t="s">
        <v>3100</v>
      </c>
      <c r="I34" s="3054" t="s">
        <v>3179</v>
      </c>
      <c r="J34" s="3054" t="s">
        <v>3179</v>
      </c>
      <c r="K34" s="3054">
        <v>668</v>
      </c>
      <c r="L34" s="3054">
        <v>668</v>
      </c>
      <c r="M34" s="3054">
        <v>187.69</v>
      </c>
      <c r="N34" s="3054">
        <v>0</v>
      </c>
      <c r="O34" s="3054" t="s">
        <v>3180</v>
      </c>
      <c r="P34" s="3054" t="s">
        <v>3118</v>
      </c>
    </row>
    <row r="35" spans="1:16">
      <c r="A35" s="3054" t="s">
        <v>3181</v>
      </c>
      <c r="B35" s="3054" t="s">
        <v>3090</v>
      </c>
      <c r="C35" s="3054" t="s">
        <v>3091</v>
      </c>
      <c r="D35" s="3054">
        <v>13856</v>
      </c>
      <c r="E35" s="3054">
        <v>13856</v>
      </c>
      <c r="F35" s="3054" t="s">
        <v>3092</v>
      </c>
      <c r="G35" s="3054" t="s">
        <v>3093</v>
      </c>
      <c r="H35" s="3054" t="s">
        <v>3091</v>
      </c>
      <c r="I35" s="3054" t="s">
        <v>3182</v>
      </c>
      <c r="J35" s="3054" t="s">
        <v>3182</v>
      </c>
      <c r="K35" s="3054">
        <v>286</v>
      </c>
      <c r="L35" s="3054">
        <v>286</v>
      </c>
      <c r="M35" s="3054">
        <v>206.4</v>
      </c>
      <c r="N35" s="3054">
        <v>0</v>
      </c>
      <c r="O35" s="3054" t="s">
        <v>3183</v>
      </c>
      <c r="P35" s="3054" t="s">
        <v>3096</v>
      </c>
    </row>
    <row r="36" spans="1:16">
      <c r="A36" s="3054" t="s">
        <v>3184</v>
      </c>
      <c r="B36" s="3054" t="s">
        <v>3090</v>
      </c>
      <c r="C36" s="3054" t="s">
        <v>3091</v>
      </c>
      <c r="D36" s="3054">
        <v>15001</v>
      </c>
      <c r="E36" s="3054">
        <v>15001</v>
      </c>
      <c r="F36" s="3054" t="s">
        <v>3092</v>
      </c>
      <c r="G36" s="3054" t="s">
        <v>3093</v>
      </c>
      <c r="H36" s="3054" t="s">
        <v>3091</v>
      </c>
      <c r="I36" s="3054" t="s">
        <v>3182</v>
      </c>
      <c r="J36" s="3054" t="s">
        <v>3182</v>
      </c>
      <c r="K36" s="3054">
        <v>310</v>
      </c>
      <c r="L36" s="3054">
        <v>310</v>
      </c>
      <c r="M36" s="3054">
        <v>206.65</v>
      </c>
      <c r="N36" s="3054">
        <v>0</v>
      </c>
      <c r="O36" s="3054" t="s">
        <v>3185</v>
      </c>
      <c r="P36" s="3054" t="s">
        <v>3096</v>
      </c>
    </row>
    <row r="37" spans="1:16">
      <c r="A37" s="3054" t="s">
        <v>3186</v>
      </c>
      <c r="B37" s="3054" t="s">
        <v>3090</v>
      </c>
      <c r="C37" s="3054" t="s">
        <v>3091</v>
      </c>
      <c r="D37" s="3054">
        <v>15001</v>
      </c>
      <c r="E37" s="3054">
        <v>15001</v>
      </c>
      <c r="F37" s="3054" t="s">
        <v>3092</v>
      </c>
      <c r="G37" s="3054" t="s">
        <v>3093</v>
      </c>
      <c r="H37" s="3054" t="s">
        <v>3091</v>
      </c>
      <c r="I37" s="3054" t="s">
        <v>3182</v>
      </c>
      <c r="J37" s="3054" t="s">
        <v>3182</v>
      </c>
      <c r="K37" s="3054">
        <v>310</v>
      </c>
      <c r="L37" s="3054">
        <v>310</v>
      </c>
      <c r="M37" s="3054">
        <v>206.65</v>
      </c>
      <c r="N37" s="3054">
        <v>0</v>
      </c>
      <c r="O37" s="3054" t="s">
        <v>3187</v>
      </c>
      <c r="P37" s="3054" t="s">
        <v>3096</v>
      </c>
    </row>
    <row r="38" spans="1:16">
      <c r="A38" s="3054" t="s">
        <v>3188</v>
      </c>
      <c r="B38" s="3054" t="s">
        <v>3090</v>
      </c>
      <c r="C38" s="3054" t="s">
        <v>3091</v>
      </c>
      <c r="D38" s="3054">
        <v>319234</v>
      </c>
      <c r="E38" s="3054">
        <v>319234</v>
      </c>
      <c r="F38" s="3054" t="s">
        <v>3092</v>
      </c>
      <c r="G38" s="3054" t="s">
        <v>3093</v>
      </c>
      <c r="H38" s="3054" t="s">
        <v>3091</v>
      </c>
      <c r="I38" s="3054" t="s">
        <v>3189</v>
      </c>
      <c r="J38" s="3054" t="s">
        <v>3189</v>
      </c>
      <c r="K38" s="3054">
        <v>6670</v>
      </c>
      <c r="L38" s="3054">
        <v>6670</v>
      </c>
      <c r="M38" s="3054">
        <v>208.93</v>
      </c>
      <c r="N38" s="3054">
        <v>0</v>
      </c>
      <c r="O38" s="3054" t="s">
        <v>3190</v>
      </c>
      <c r="P38" s="3054" t="s">
        <v>3096</v>
      </c>
    </row>
    <row r="39" spans="1:16">
      <c r="A39" s="3054" t="s">
        <v>3191</v>
      </c>
      <c r="B39" s="3054" t="s">
        <v>3090</v>
      </c>
      <c r="C39" s="3054" t="s">
        <v>3091</v>
      </c>
      <c r="D39" s="3054">
        <v>47838</v>
      </c>
      <c r="E39" s="3054">
        <v>47838</v>
      </c>
      <c r="F39" s="3054" t="s">
        <v>3092</v>
      </c>
      <c r="G39" s="3054" t="s">
        <v>3093</v>
      </c>
      <c r="H39" s="3054" t="s">
        <v>3091</v>
      </c>
      <c r="I39" s="3054" t="s">
        <v>3189</v>
      </c>
      <c r="J39" s="3054" t="s">
        <v>3189</v>
      </c>
      <c r="K39" s="3054">
        <v>985</v>
      </c>
      <c r="L39" s="3054">
        <v>985</v>
      </c>
      <c r="M39" s="3054">
        <v>205.9</v>
      </c>
      <c r="N39" s="3054">
        <v>0</v>
      </c>
      <c r="O39" s="3054" t="s">
        <v>3192</v>
      </c>
      <c r="P39" s="3054" t="s">
        <v>3096</v>
      </c>
    </row>
    <row r="40" spans="1:16">
      <c r="A40" s="3054" t="s">
        <v>3193</v>
      </c>
      <c r="B40" s="3054" t="s">
        <v>3090</v>
      </c>
      <c r="C40" s="3054" t="s">
        <v>3091</v>
      </c>
      <c r="D40" s="3054">
        <v>2717</v>
      </c>
      <c r="E40" s="3054">
        <v>2717</v>
      </c>
      <c r="F40" s="3054" t="s">
        <v>3194</v>
      </c>
      <c r="G40" s="3054" t="s">
        <v>3093</v>
      </c>
      <c r="H40" s="3054" t="s">
        <v>6</v>
      </c>
      <c r="I40" s="3054" t="s">
        <v>3195</v>
      </c>
      <c r="J40" s="3054" t="s">
        <v>3195</v>
      </c>
      <c r="K40" s="3054">
        <v>42</v>
      </c>
      <c r="L40" s="3054">
        <v>42</v>
      </c>
      <c r="M40" s="3054">
        <v>154.58000000000001</v>
      </c>
      <c r="N40" s="3054">
        <v>0</v>
      </c>
      <c r="O40" s="3054" t="s">
        <v>3196</v>
      </c>
      <c r="P40" s="3054" t="s">
        <v>3096</v>
      </c>
    </row>
    <row r="41" spans="1:16">
      <c r="A41" s="3054" t="s">
        <v>3197</v>
      </c>
      <c r="B41" s="3054" t="s">
        <v>3090</v>
      </c>
      <c r="C41" s="3054" t="s">
        <v>3091</v>
      </c>
      <c r="D41" s="3054">
        <v>41166</v>
      </c>
      <c r="E41" s="3054" t="s">
        <v>1298</v>
      </c>
      <c r="F41" s="3054" t="s">
        <v>3170</v>
      </c>
      <c r="G41" s="3054" t="s">
        <v>3093</v>
      </c>
      <c r="H41" s="3054" t="s">
        <v>6</v>
      </c>
      <c r="I41" s="3054" t="s">
        <v>3198</v>
      </c>
      <c r="J41" s="3054" t="s">
        <v>3198</v>
      </c>
      <c r="K41" s="3054">
        <v>855</v>
      </c>
      <c r="L41" s="3054">
        <v>855</v>
      </c>
      <c r="M41" s="3054" t="s">
        <v>1298</v>
      </c>
      <c r="N41" s="3054">
        <v>0</v>
      </c>
      <c r="O41" s="3054" t="s">
        <v>3199</v>
      </c>
      <c r="P41" s="3054" t="s">
        <v>3200</v>
      </c>
    </row>
    <row r="42" spans="1:16">
      <c r="A42" s="3054" t="s">
        <v>3201</v>
      </c>
      <c r="B42" s="3054" t="s">
        <v>3090</v>
      </c>
      <c r="C42" s="3054" t="s">
        <v>3091</v>
      </c>
      <c r="D42" s="3054">
        <v>239015</v>
      </c>
      <c r="E42" s="3054">
        <v>239015</v>
      </c>
      <c r="F42" s="3054" t="s">
        <v>3170</v>
      </c>
      <c r="G42" s="3054" t="s">
        <v>3093</v>
      </c>
      <c r="H42" s="3054" t="s">
        <v>6</v>
      </c>
      <c r="I42" s="3054" t="s">
        <v>3198</v>
      </c>
      <c r="J42" s="3054" t="s">
        <v>3198</v>
      </c>
      <c r="K42" s="3054">
        <v>4996</v>
      </c>
      <c r="L42" s="3054">
        <v>4996</v>
      </c>
      <c r="M42" s="3054">
        <v>209.02</v>
      </c>
      <c r="N42" s="3054">
        <v>0</v>
      </c>
      <c r="O42" s="3054" t="s">
        <v>3168</v>
      </c>
      <c r="P42" s="3054" t="s">
        <v>3125</v>
      </c>
    </row>
    <row r="43" spans="1:16">
      <c r="A43" s="3054" t="s">
        <v>3202</v>
      </c>
      <c r="B43" s="3054" t="s">
        <v>3090</v>
      </c>
      <c r="C43" s="3054" t="s">
        <v>3091</v>
      </c>
      <c r="D43" s="3054">
        <v>33321</v>
      </c>
      <c r="E43" s="3054">
        <v>33321</v>
      </c>
      <c r="F43" s="3054" t="s">
        <v>3092</v>
      </c>
      <c r="G43" s="3054" t="s">
        <v>3093</v>
      </c>
      <c r="H43" s="3054" t="s">
        <v>3091</v>
      </c>
      <c r="I43" s="3054" t="s">
        <v>3203</v>
      </c>
      <c r="J43" s="3054" t="s">
        <v>3203</v>
      </c>
      <c r="K43" s="3054">
        <v>690</v>
      </c>
      <c r="L43" s="3054">
        <v>690</v>
      </c>
      <c r="M43" s="3054">
        <v>207.08</v>
      </c>
      <c r="N43" s="3054">
        <v>0</v>
      </c>
      <c r="O43" s="3054" t="s">
        <v>3204</v>
      </c>
      <c r="P43" s="3054" t="s">
        <v>3096</v>
      </c>
    </row>
    <row r="44" spans="1:16">
      <c r="A44" s="3054" t="s">
        <v>3205</v>
      </c>
      <c r="B44" s="3054" t="s">
        <v>3090</v>
      </c>
      <c r="C44" s="3054" t="s">
        <v>3091</v>
      </c>
      <c r="D44" s="3054">
        <v>28298.78</v>
      </c>
      <c r="E44" s="3054">
        <v>28298.78</v>
      </c>
      <c r="F44" s="3054" t="s">
        <v>3194</v>
      </c>
      <c r="G44" s="3054" t="s">
        <v>3093</v>
      </c>
      <c r="H44" s="3054" t="s">
        <v>6</v>
      </c>
      <c r="I44" s="3054" t="s">
        <v>3206</v>
      </c>
      <c r="J44" s="3054" t="s">
        <v>3206</v>
      </c>
      <c r="K44" s="3054">
        <v>418</v>
      </c>
      <c r="L44" s="3054">
        <v>418</v>
      </c>
      <c r="M44" s="3054">
        <v>147.71</v>
      </c>
      <c r="N44" s="3054">
        <v>0</v>
      </c>
      <c r="O44" s="3054" t="s">
        <v>3207</v>
      </c>
      <c r="P44" s="3054" t="s">
        <v>3096</v>
      </c>
    </row>
    <row r="45" spans="1:16">
      <c r="A45" s="3054" t="s">
        <v>3208</v>
      </c>
      <c r="B45" s="3054" t="s">
        <v>3090</v>
      </c>
      <c r="C45" s="3054" t="s">
        <v>3091</v>
      </c>
      <c r="D45" s="3054">
        <v>199244</v>
      </c>
      <c r="E45" s="3054">
        <v>199244</v>
      </c>
      <c r="F45" s="3054" t="s">
        <v>3092</v>
      </c>
      <c r="G45" s="3054" t="s">
        <v>3093</v>
      </c>
      <c r="H45" s="3054" t="s">
        <v>3091</v>
      </c>
      <c r="I45" s="3054" t="s">
        <v>3206</v>
      </c>
      <c r="J45" s="3054" t="s">
        <v>3206</v>
      </c>
      <c r="K45" s="3054">
        <v>4165</v>
      </c>
      <c r="L45" s="3054">
        <v>4165</v>
      </c>
      <c r="M45" s="3054">
        <v>209.03</v>
      </c>
      <c r="N45" s="3054">
        <v>0</v>
      </c>
      <c r="O45" s="3054" t="s">
        <v>3158</v>
      </c>
      <c r="P45" s="3054" t="s">
        <v>3096</v>
      </c>
    </row>
    <row r="46" spans="1:16">
      <c r="A46" s="3054" t="s">
        <v>3209</v>
      </c>
      <c r="B46" s="3054" t="s">
        <v>3090</v>
      </c>
      <c r="C46" s="3054" t="s">
        <v>3091</v>
      </c>
      <c r="D46" s="3054">
        <v>95585</v>
      </c>
      <c r="E46" s="3054">
        <v>95585</v>
      </c>
      <c r="F46" s="3054" t="s">
        <v>3194</v>
      </c>
      <c r="G46" s="3054" t="s">
        <v>3093</v>
      </c>
      <c r="H46" s="3054" t="s">
        <v>6</v>
      </c>
      <c r="I46" s="3054" t="s">
        <v>3206</v>
      </c>
      <c r="J46" s="3054" t="s">
        <v>3206</v>
      </c>
      <c r="K46" s="3054">
        <v>1372</v>
      </c>
      <c r="L46" s="3054">
        <v>1372</v>
      </c>
      <c r="M46" s="3054">
        <v>143.53</v>
      </c>
      <c r="N46" s="3054">
        <v>0</v>
      </c>
      <c r="O46" s="3054" t="s">
        <v>3210</v>
      </c>
      <c r="P46" s="3054" t="s">
        <v>3096</v>
      </c>
    </row>
    <row r="47" spans="1:16">
      <c r="A47" s="3054" t="s">
        <v>3211</v>
      </c>
      <c r="B47" s="3054" t="s">
        <v>3090</v>
      </c>
      <c r="C47" s="3054" t="s">
        <v>3091</v>
      </c>
      <c r="D47" s="3054">
        <v>25301.25</v>
      </c>
      <c r="E47" s="3054">
        <v>25301.25</v>
      </c>
      <c r="F47" s="3054" t="s">
        <v>3194</v>
      </c>
      <c r="G47" s="3054" t="s">
        <v>3093</v>
      </c>
      <c r="H47" s="3054" t="s">
        <v>6</v>
      </c>
      <c r="I47" s="3054" t="s">
        <v>3206</v>
      </c>
      <c r="J47" s="3054" t="s">
        <v>3206</v>
      </c>
      <c r="K47" s="3054">
        <v>380</v>
      </c>
      <c r="L47" s="3054">
        <v>380</v>
      </c>
      <c r="M47" s="3054">
        <v>150.18</v>
      </c>
      <c r="N47" s="3054">
        <v>0</v>
      </c>
      <c r="O47" s="3054" t="s">
        <v>3180</v>
      </c>
      <c r="P47" s="3054" t="s">
        <v>3096</v>
      </c>
    </row>
    <row r="48" spans="1:16">
      <c r="A48" s="3054" t="s">
        <v>3212</v>
      </c>
      <c r="B48" s="3054" t="s">
        <v>3090</v>
      </c>
      <c r="C48" s="3054" t="s">
        <v>3091</v>
      </c>
      <c r="D48" s="3054">
        <v>5837</v>
      </c>
      <c r="E48" s="3054">
        <v>5837</v>
      </c>
      <c r="F48" s="3054" t="s">
        <v>3092</v>
      </c>
      <c r="G48" s="3054" t="s">
        <v>3093</v>
      </c>
      <c r="H48" s="3054" t="s">
        <v>3091</v>
      </c>
      <c r="I48" s="3054" t="s">
        <v>3213</v>
      </c>
      <c r="J48" s="3054" t="s">
        <v>3213</v>
      </c>
      <c r="K48" s="3054">
        <v>88</v>
      </c>
      <c r="L48" s="3054">
        <v>88</v>
      </c>
      <c r="M48" s="3054">
        <v>150.75</v>
      </c>
      <c r="N48" s="3054">
        <v>0</v>
      </c>
      <c r="O48" s="3054" t="s">
        <v>3214</v>
      </c>
      <c r="P48" s="3054" t="s">
        <v>3096</v>
      </c>
    </row>
    <row r="49" spans="1:16">
      <c r="A49" s="3054" t="s">
        <v>3215</v>
      </c>
      <c r="B49" s="3054" t="s">
        <v>3090</v>
      </c>
      <c r="C49" s="3054" t="s">
        <v>3091</v>
      </c>
      <c r="D49" s="3054">
        <v>25002</v>
      </c>
      <c r="E49" s="3054">
        <v>25002</v>
      </c>
      <c r="F49" s="3054" t="s">
        <v>3092</v>
      </c>
      <c r="G49" s="3054" t="s">
        <v>3093</v>
      </c>
      <c r="H49" s="3054" t="s">
        <v>3091</v>
      </c>
      <c r="I49" s="3054" t="s">
        <v>3216</v>
      </c>
      <c r="J49" s="3054" t="s">
        <v>3216</v>
      </c>
      <c r="K49" s="3054">
        <v>520</v>
      </c>
      <c r="L49" s="3054">
        <v>520</v>
      </c>
      <c r="M49" s="3054">
        <v>207.97</v>
      </c>
      <c r="N49" s="3054">
        <v>0</v>
      </c>
      <c r="O49" s="3054" t="s">
        <v>3217</v>
      </c>
      <c r="P49" s="3054" t="s">
        <v>3096</v>
      </c>
    </row>
    <row r="50" spans="1:16">
      <c r="A50" s="3054" t="s">
        <v>3218</v>
      </c>
      <c r="B50" s="3054" t="s">
        <v>3090</v>
      </c>
      <c r="C50" s="3054" t="s">
        <v>3091</v>
      </c>
      <c r="D50" s="3054">
        <v>30529.8</v>
      </c>
      <c r="E50" s="3054">
        <v>30529.8</v>
      </c>
      <c r="F50" s="3054" t="s">
        <v>3092</v>
      </c>
      <c r="G50" s="3054" t="s">
        <v>3093</v>
      </c>
      <c r="H50" s="3054" t="s">
        <v>3091</v>
      </c>
      <c r="I50" s="3054" t="s">
        <v>3216</v>
      </c>
      <c r="J50" s="3054" t="s">
        <v>3216</v>
      </c>
      <c r="K50" s="3054">
        <v>600</v>
      </c>
      <c r="L50" s="3054">
        <v>600</v>
      </c>
      <c r="M50" s="3054">
        <v>196.53</v>
      </c>
      <c r="N50" s="3054">
        <v>0</v>
      </c>
      <c r="O50" s="3054" t="s">
        <v>3219</v>
      </c>
      <c r="P50" s="3054" t="s">
        <v>3096</v>
      </c>
    </row>
    <row r="51" spans="1:16">
      <c r="A51" s="3054" t="s">
        <v>3220</v>
      </c>
      <c r="B51" s="3054" t="s">
        <v>3090</v>
      </c>
      <c r="C51" s="3054" t="s">
        <v>3091</v>
      </c>
      <c r="D51" s="3054">
        <v>127147</v>
      </c>
      <c r="E51" s="3054">
        <v>127147</v>
      </c>
      <c r="F51" s="3054" t="s">
        <v>3092</v>
      </c>
      <c r="G51" s="3054" t="s">
        <v>3093</v>
      </c>
      <c r="H51" s="3054" t="s">
        <v>3091</v>
      </c>
      <c r="I51" s="3054" t="s">
        <v>3216</v>
      </c>
      <c r="J51" s="3054" t="s">
        <v>3216</v>
      </c>
      <c r="K51" s="3054">
        <v>2600</v>
      </c>
      <c r="L51" s="3054">
        <v>2600</v>
      </c>
      <c r="M51" s="3054">
        <v>204.49</v>
      </c>
      <c r="N51" s="3054">
        <v>0</v>
      </c>
      <c r="O51" s="3054" t="s">
        <v>3221</v>
      </c>
      <c r="P51" s="3054" t="s">
        <v>3096</v>
      </c>
    </row>
    <row r="52" spans="1:16">
      <c r="A52" s="3054" t="s">
        <v>3222</v>
      </c>
      <c r="B52" s="3054" t="s">
        <v>3090</v>
      </c>
      <c r="C52" s="3054" t="s">
        <v>3091</v>
      </c>
      <c r="D52" s="3054">
        <v>272560.77</v>
      </c>
      <c r="E52" s="3054">
        <v>272560.77</v>
      </c>
      <c r="F52" s="3054" t="s">
        <v>3092</v>
      </c>
      <c r="G52" s="3054" t="s">
        <v>3093</v>
      </c>
      <c r="H52" s="3054" t="s">
        <v>3091</v>
      </c>
      <c r="I52" s="3054" t="s">
        <v>3223</v>
      </c>
      <c r="J52" s="3054" t="s">
        <v>3224</v>
      </c>
      <c r="K52" s="3054">
        <v>4910</v>
      </c>
      <c r="L52" s="3054">
        <v>4910</v>
      </c>
      <c r="M52" s="3054">
        <v>180.13</v>
      </c>
      <c r="N52" s="3054">
        <v>0</v>
      </c>
      <c r="O52" s="3054" t="s">
        <v>3225</v>
      </c>
      <c r="P52" s="3054" t="s">
        <v>3096</v>
      </c>
    </row>
    <row r="53" spans="1:16">
      <c r="A53" s="3054" t="s">
        <v>3226</v>
      </c>
      <c r="B53" s="3054" t="s">
        <v>3090</v>
      </c>
      <c r="C53" s="3054" t="s">
        <v>3091</v>
      </c>
      <c r="D53" s="3054">
        <v>5793</v>
      </c>
      <c r="E53" s="3054">
        <v>5793</v>
      </c>
      <c r="F53" s="3054" t="s">
        <v>3092</v>
      </c>
      <c r="G53" s="3054" t="s">
        <v>3093</v>
      </c>
      <c r="H53" s="3054" t="s">
        <v>3091</v>
      </c>
      <c r="I53" s="3054" t="s">
        <v>3227</v>
      </c>
      <c r="J53" s="3054" t="s">
        <v>3227</v>
      </c>
      <c r="K53" s="3054">
        <v>120</v>
      </c>
      <c r="L53" s="3054">
        <v>120</v>
      </c>
      <c r="M53" s="3054">
        <v>207.15</v>
      </c>
      <c r="N53" s="3054">
        <v>0</v>
      </c>
      <c r="O53" s="3054" t="s">
        <v>3228</v>
      </c>
      <c r="P53" s="3054" t="s">
        <v>3096</v>
      </c>
    </row>
    <row r="54" spans="1:16">
      <c r="A54" s="3054" t="s">
        <v>3229</v>
      </c>
      <c r="B54" s="3054" t="s">
        <v>3090</v>
      </c>
      <c r="C54" s="3054" t="s">
        <v>3091</v>
      </c>
      <c r="D54" s="3054">
        <v>13554</v>
      </c>
      <c r="E54" s="3054">
        <v>13554</v>
      </c>
      <c r="F54" s="3054" t="s">
        <v>3092</v>
      </c>
      <c r="G54" s="3054" t="s">
        <v>3093</v>
      </c>
      <c r="H54" s="3054" t="s">
        <v>3091</v>
      </c>
      <c r="I54" s="3054" t="s">
        <v>3227</v>
      </c>
      <c r="J54" s="3054" t="s">
        <v>3227</v>
      </c>
      <c r="K54" s="3054">
        <v>275.39</v>
      </c>
      <c r="L54" s="3054">
        <v>275.39</v>
      </c>
      <c r="M54" s="3054">
        <v>203.18</v>
      </c>
      <c r="N54" s="3054">
        <v>0</v>
      </c>
      <c r="O54" s="3054" t="s">
        <v>3230</v>
      </c>
      <c r="P54" s="3054" t="s">
        <v>3096</v>
      </c>
    </row>
    <row r="55" spans="1:16">
      <c r="A55" s="3054" t="s">
        <v>3231</v>
      </c>
      <c r="B55" s="3054" t="s">
        <v>3090</v>
      </c>
      <c r="C55" s="3054" t="s">
        <v>3091</v>
      </c>
      <c r="D55" s="3054">
        <v>14353.19</v>
      </c>
      <c r="E55" s="3054">
        <v>21529.79</v>
      </c>
      <c r="F55" s="3054" t="s">
        <v>3232</v>
      </c>
      <c r="G55" s="3054" t="s">
        <v>3093</v>
      </c>
      <c r="H55" s="3054" t="s">
        <v>3091</v>
      </c>
      <c r="I55" s="3054" t="s">
        <v>3233</v>
      </c>
      <c r="J55" s="3054" t="s">
        <v>3233</v>
      </c>
      <c r="K55" s="3054">
        <v>260</v>
      </c>
      <c r="L55" s="3054">
        <v>260</v>
      </c>
      <c r="M55" s="3054">
        <v>120.76</v>
      </c>
      <c r="N55" s="3054">
        <v>0</v>
      </c>
      <c r="O55" s="3054" t="s">
        <v>3234</v>
      </c>
      <c r="P55" s="3054" t="s">
        <v>3096</v>
      </c>
    </row>
    <row r="56" spans="1:16">
      <c r="A56" s="3054" t="s">
        <v>3235</v>
      </c>
      <c r="B56" s="3054" t="s">
        <v>3090</v>
      </c>
      <c r="C56" s="3054" t="s">
        <v>3091</v>
      </c>
      <c r="D56" s="3054">
        <v>52389</v>
      </c>
      <c r="E56" s="3054">
        <v>52389</v>
      </c>
      <c r="F56" s="3054" t="s">
        <v>3092</v>
      </c>
      <c r="G56" s="3054" t="s">
        <v>3093</v>
      </c>
      <c r="H56" s="3054" t="s">
        <v>3091</v>
      </c>
      <c r="I56" s="3054" t="s">
        <v>3236</v>
      </c>
      <c r="J56" s="3054" t="s">
        <v>3236</v>
      </c>
      <c r="K56" s="3054">
        <v>1068</v>
      </c>
      <c r="L56" s="3054">
        <v>1068</v>
      </c>
      <c r="M56" s="3054">
        <v>203.86</v>
      </c>
      <c r="N56" s="3054">
        <v>0</v>
      </c>
      <c r="O56" s="3054" t="s">
        <v>3237</v>
      </c>
      <c r="P56" s="3054" t="s">
        <v>3096</v>
      </c>
    </row>
    <row r="57" spans="1:16">
      <c r="A57" s="3054" t="s">
        <v>3238</v>
      </c>
      <c r="B57" s="3054" t="s">
        <v>3090</v>
      </c>
      <c r="C57" s="3054" t="s">
        <v>3091</v>
      </c>
      <c r="D57" s="3054">
        <v>14110.8</v>
      </c>
      <c r="E57" s="3054">
        <v>14110.8</v>
      </c>
      <c r="F57" s="3054" t="s">
        <v>3092</v>
      </c>
      <c r="G57" s="3054" t="s">
        <v>3093</v>
      </c>
      <c r="H57" s="3054" t="s">
        <v>3091</v>
      </c>
      <c r="I57" s="3054" t="s">
        <v>3239</v>
      </c>
      <c r="J57" s="3054" t="s">
        <v>3239</v>
      </c>
      <c r="K57" s="3054">
        <v>212</v>
      </c>
      <c r="L57" s="3054">
        <v>212</v>
      </c>
      <c r="M57" s="3054">
        <v>150.24</v>
      </c>
      <c r="N57" s="3054">
        <v>0</v>
      </c>
      <c r="O57" s="3054" t="s">
        <v>3240</v>
      </c>
      <c r="P57" s="3054" t="s">
        <v>3096</v>
      </c>
    </row>
    <row r="58" spans="1:16">
      <c r="A58" s="3054" t="s">
        <v>3241</v>
      </c>
      <c r="B58" s="3054" t="s">
        <v>3090</v>
      </c>
      <c r="C58" s="3054" t="s">
        <v>3091</v>
      </c>
      <c r="D58" s="3054">
        <v>27335.02</v>
      </c>
      <c r="E58" s="3054">
        <v>27335.02</v>
      </c>
      <c r="F58" s="3054" t="s">
        <v>3092</v>
      </c>
      <c r="G58" s="3054" t="s">
        <v>3093</v>
      </c>
      <c r="H58" s="3054" t="s">
        <v>3091</v>
      </c>
      <c r="I58" s="3054" t="s">
        <v>3239</v>
      </c>
      <c r="J58" s="3054" t="s">
        <v>3239</v>
      </c>
      <c r="K58" s="3054">
        <v>368</v>
      </c>
      <c r="L58" s="3054">
        <v>368</v>
      </c>
      <c r="M58" s="3054">
        <v>134.62</v>
      </c>
      <c r="N58" s="3054">
        <v>0</v>
      </c>
      <c r="O58" s="3054" t="s">
        <v>3242</v>
      </c>
      <c r="P58" s="3054" t="s">
        <v>3096</v>
      </c>
    </row>
    <row r="59" spans="1:16">
      <c r="A59" s="3054" t="s">
        <v>3243</v>
      </c>
      <c r="B59" s="3054" t="s">
        <v>3090</v>
      </c>
      <c r="C59" s="3054" t="s">
        <v>3091</v>
      </c>
      <c r="D59" s="3054">
        <v>27017.73</v>
      </c>
      <c r="E59" s="3054">
        <v>27017.73</v>
      </c>
      <c r="F59" s="3054" t="s">
        <v>3092</v>
      </c>
      <c r="G59" s="3054" t="s">
        <v>3093</v>
      </c>
      <c r="H59" s="3054" t="s">
        <v>3091</v>
      </c>
      <c r="I59" s="3054" t="s">
        <v>3239</v>
      </c>
      <c r="J59" s="3054" t="s">
        <v>3239</v>
      </c>
      <c r="K59" s="3054">
        <v>354</v>
      </c>
      <c r="L59" s="3054">
        <v>354</v>
      </c>
      <c r="M59" s="3054">
        <v>131.03</v>
      </c>
      <c r="N59" s="3054">
        <v>0</v>
      </c>
      <c r="O59" s="3054" t="s">
        <v>3244</v>
      </c>
      <c r="P59" s="3054" t="s">
        <v>3096</v>
      </c>
    </row>
    <row r="60" spans="1:16">
      <c r="A60" s="3054" t="s">
        <v>3245</v>
      </c>
      <c r="B60" s="3054" t="s">
        <v>3090</v>
      </c>
      <c r="C60" s="3054" t="s">
        <v>3091</v>
      </c>
      <c r="D60" s="3054">
        <v>91790</v>
      </c>
      <c r="E60" s="3054">
        <v>91790</v>
      </c>
      <c r="F60" s="3054" t="s">
        <v>3092</v>
      </c>
      <c r="G60" s="3054" t="s">
        <v>3093</v>
      </c>
      <c r="H60" s="3054" t="s">
        <v>3091</v>
      </c>
      <c r="I60" s="3054" t="s">
        <v>3239</v>
      </c>
      <c r="J60" s="3054" t="s">
        <v>3239</v>
      </c>
      <c r="K60" s="3054">
        <v>1300</v>
      </c>
      <c r="L60" s="3054">
        <v>1300</v>
      </c>
      <c r="M60" s="3054">
        <v>141.62</v>
      </c>
      <c r="N60" s="3054">
        <v>0</v>
      </c>
      <c r="O60" s="3054" t="s">
        <v>3246</v>
      </c>
      <c r="P60" s="3054" t="s">
        <v>3096</v>
      </c>
    </row>
    <row r="61" spans="1:16">
      <c r="A61" s="3054" t="s">
        <v>3247</v>
      </c>
      <c r="B61" s="3054" t="s">
        <v>3090</v>
      </c>
      <c r="C61" s="3054" t="s">
        <v>3091</v>
      </c>
      <c r="D61" s="3054">
        <v>3786</v>
      </c>
      <c r="E61" s="3054">
        <v>3786</v>
      </c>
      <c r="F61" s="3054" t="s">
        <v>3092</v>
      </c>
      <c r="G61" s="3054" t="s">
        <v>3093</v>
      </c>
      <c r="H61" s="3054" t="s">
        <v>3091</v>
      </c>
      <c r="I61" s="3054" t="s">
        <v>3239</v>
      </c>
      <c r="J61" s="3054" t="s">
        <v>3239</v>
      </c>
      <c r="K61" s="3054">
        <v>58</v>
      </c>
      <c r="L61" s="3054">
        <v>58</v>
      </c>
      <c r="M61" s="3054">
        <v>153.19</v>
      </c>
      <c r="N61" s="3054">
        <v>0</v>
      </c>
      <c r="O61" s="3054" t="s">
        <v>3248</v>
      </c>
      <c r="P61" s="3054" t="s">
        <v>3096</v>
      </c>
    </row>
    <row r="62" spans="1:16">
      <c r="A62" s="3054" t="s">
        <v>3249</v>
      </c>
      <c r="B62" s="3054" t="s">
        <v>3090</v>
      </c>
      <c r="C62" s="3054" t="s">
        <v>3091</v>
      </c>
      <c r="D62" s="3054">
        <v>88860.800000000003</v>
      </c>
      <c r="E62" s="3054">
        <v>92791.06</v>
      </c>
      <c r="F62" s="3054" t="s">
        <v>3092</v>
      </c>
      <c r="G62" s="3054" t="s">
        <v>3093</v>
      </c>
      <c r="H62" s="3054" t="s">
        <v>3091</v>
      </c>
      <c r="I62" s="3054" t="s">
        <v>3250</v>
      </c>
      <c r="J62" s="3054" t="s">
        <v>3250</v>
      </c>
      <c r="K62" s="3054">
        <v>1334</v>
      </c>
      <c r="L62" s="3054">
        <v>1334</v>
      </c>
      <c r="M62" s="3054">
        <v>143.75</v>
      </c>
      <c r="N62" s="3054">
        <v>0</v>
      </c>
      <c r="O62" s="3054" t="s">
        <v>3251</v>
      </c>
      <c r="P62" s="3054" t="s">
        <v>3096</v>
      </c>
    </row>
    <row r="63" spans="1:16">
      <c r="A63" s="3054" t="s">
        <v>3252</v>
      </c>
      <c r="B63" s="3054" t="s">
        <v>3090</v>
      </c>
      <c r="C63" s="3054" t="s">
        <v>3091</v>
      </c>
      <c r="D63" s="3054">
        <v>56989.96</v>
      </c>
      <c r="E63" s="3054">
        <v>56989.96</v>
      </c>
      <c r="F63" s="3054" t="s">
        <v>3092</v>
      </c>
      <c r="G63" s="3054" t="s">
        <v>3093</v>
      </c>
      <c r="H63" s="3054" t="s">
        <v>3091</v>
      </c>
      <c r="I63" s="3054" t="s">
        <v>3250</v>
      </c>
      <c r="J63" s="3054" t="s">
        <v>3250</v>
      </c>
      <c r="K63" s="3054">
        <v>856</v>
      </c>
      <c r="L63" s="3054">
        <v>856</v>
      </c>
      <c r="M63" s="3054">
        <v>150.19</v>
      </c>
      <c r="N63" s="3054">
        <v>0</v>
      </c>
      <c r="O63" s="3054" t="s">
        <v>3253</v>
      </c>
      <c r="P63" s="3054" t="s">
        <v>3096</v>
      </c>
    </row>
    <row r="64" spans="1:16">
      <c r="A64" s="3054" t="s">
        <v>3254</v>
      </c>
      <c r="B64" s="3054" t="s">
        <v>3090</v>
      </c>
      <c r="C64" s="3054" t="s">
        <v>3091</v>
      </c>
      <c r="D64" s="3054">
        <v>26828</v>
      </c>
      <c r="E64" s="3054">
        <v>1341.4</v>
      </c>
      <c r="F64" s="3054" t="s">
        <v>3255</v>
      </c>
      <c r="G64" s="3054" t="s">
        <v>3093</v>
      </c>
      <c r="H64" s="3054" t="s">
        <v>3100</v>
      </c>
      <c r="I64" s="3054" t="s">
        <v>3256</v>
      </c>
      <c r="J64" s="3054" t="s">
        <v>3256</v>
      </c>
      <c r="K64" s="3054">
        <v>404</v>
      </c>
      <c r="L64" s="3054">
        <v>404</v>
      </c>
      <c r="M64" s="3054">
        <v>3011.78</v>
      </c>
      <c r="N64" s="3054">
        <v>0</v>
      </c>
      <c r="O64" s="3054" t="s">
        <v>3257</v>
      </c>
      <c r="P64" s="3054" t="s">
        <v>3096</v>
      </c>
    </row>
    <row r="65" spans="1:16">
      <c r="A65" s="3054" t="s">
        <v>3258</v>
      </c>
      <c r="B65" s="3054" t="s">
        <v>3090</v>
      </c>
      <c r="C65" s="3054" t="s">
        <v>3091</v>
      </c>
      <c r="D65" s="3054">
        <v>83156.320000000007</v>
      </c>
      <c r="E65" s="3054">
        <v>124734.48</v>
      </c>
      <c r="F65" s="3054" t="s">
        <v>3232</v>
      </c>
      <c r="G65" s="3054" t="s">
        <v>3093</v>
      </c>
      <c r="H65" s="3054" t="s">
        <v>3091</v>
      </c>
      <c r="I65" s="3054" t="s">
        <v>3259</v>
      </c>
      <c r="J65" s="3054" t="s">
        <v>3259</v>
      </c>
      <c r="K65" s="3054">
        <v>1500</v>
      </c>
      <c r="L65" s="3054">
        <v>1500</v>
      </c>
      <c r="M65" s="3054">
        <v>120.26</v>
      </c>
      <c r="N65" s="3054">
        <v>0</v>
      </c>
      <c r="O65" s="3054" t="s">
        <v>3260</v>
      </c>
      <c r="P65" s="3054" t="s">
        <v>3096</v>
      </c>
    </row>
    <row r="66" spans="1:16">
      <c r="A66" s="3054" t="s">
        <v>3261</v>
      </c>
      <c r="B66" s="3054" t="s">
        <v>3090</v>
      </c>
      <c r="C66" s="3054" t="s">
        <v>3091</v>
      </c>
      <c r="D66" s="3054">
        <v>23058.17</v>
      </c>
      <c r="E66" s="3054">
        <v>34587.26</v>
      </c>
      <c r="F66" s="3054" t="s">
        <v>3232</v>
      </c>
      <c r="G66" s="3054" t="s">
        <v>3093</v>
      </c>
      <c r="H66" s="3054" t="s">
        <v>3091</v>
      </c>
      <c r="I66" s="3054" t="s">
        <v>3259</v>
      </c>
      <c r="J66" s="3054" t="s">
        <v>3259</v>
      </c>
      <c r="K66" s="3054">
        <v>416</v>
      </c>
      <c r="L66" s="3054">
        <v>416</v>
      </c>
      <c r="M66" s="3054">
        <v>120.28</v>
      </c>
      <c r="N66" s="3054">
        <v>0</v>
      </c>
      <c r="O66" s="3054" t="s">
        <v>3262</v>
      </c>
      <c r="P66" s="3054" t="s">
        <v>3096</v>
      </c>
    </row>
    <row r="67" spans="1:16">
      <c r="A67" s="3054" t="s">
        <v>3263</v>
      </c>
      <c r="B67" s="3054" t="s">
        <v>3090</v>
      </c>
      <c r="C67" s="3054" t="s">
        <v>3091</v>
      </c>
      <c r="D67" s="3054">
        <v>17606.7</v>
      </c>
      <c r="E67" s="3054">
        <v>17606.7</v>
      </c>
      <c r="F67" s="3054" t="s">
        <v>3092</v>
      </c>
      <c r="G67" s="3054" t="s">
        <v>3093</v>
      </c>
      <c r="H67" s="3054" t="s">
        <v>3091</v>
      </c>
      <c r="I67" s="3054" t="s">
        <v>3259</v>
      </c>
      <c r="J67" s="3054" t="s">
        <v>3259</v>
      </c>
      <c r="K67" s="3054">
        <v>242</v>
      </c>
      <c r="L67" s="3054">
        <v>242</v>
      </c>
      <c r="M67" s="3054">
        <v>137.44</v>
      </c>
      <c r="N67" s="3054">
        <v>0</v>
      </c>
      <c r="O67" s="3054" t="s">
        <v>3264</v>
      </c>
      <c r="P67" s="3054" t="s">
        <v>3096</v>
      </c>
    </row>
    <row r="68" spans="1:16">
      <c r="A68" s="3054" t="s">
        <v>3265</v>
      </c>
      <c r="B68" s="3054" t="s">
        <v>3090</v>
      </c>
      <c r="C68" s="3054" t="s">
        <v>3091</v>
      </c>
      <c r="D68" s="3054">
        <v>156074</v>
      </c>
      <c r="E68" s="3054">
        <v>156074</v>
      </c>
      <c r="F68" s="3054" t="s">
        <v>3092</v>
      </c>
      <c r="G68" s="3054" t="s">
        <v>3093</v>
      </c>
      <c r="H68" s="3054" t="s">
        <v>3091</v>
      </c>
      <c r="I68" s="3054" t="s">
        <v>3266</v>
      </c>
      <c r="J68" s="3054" t="s">
        <v>3266</v>
      </c>
      <c r="K68" s="3054">
        <v>3088</v>
      </c>
      <c r="L68" s="3054">
        <v>3088</v>
      </c>
      <c r="M68" s="3054">
        <v>197.84</v>
      </c>
      <c r="N68" s="3054">
        <v>0</v>
      </c>
      <c r="O68" s="3054" t="s">
        <v>3267</v>
      </c>
      <c r="P68" s="3054" t="s">
        <v>3096</v>
      </c>
    </row>
    <row r="69" spans="1:16">
      <c r="A69" s="3054" t="s">
        <v>3268</v>
      </c>
      <c r="B69" s="3054" t="s">
        <v>3090</v>
      </c>
      <c r="C69" s="3054" t="s">
        <v>3091</v>
      </c>
      <c r="D69" s="3054">
        <v>60062</v>
      </c>
      <c r="E69" s="3054">
        <v>60062</v>
      </c>
      <c r="F69" s="3054" t="s">
        <v>3092</v>
      </c>
      <c r="G69" s="3054" t="s">
        <v>3093</v>
      </c>
      <c r="H69" s="3054" t="s">
        <v>3091</v>
      </c>
      <c r="I69" s="3054" t="s">
        <v>3266</v>
      </c>
      <c r="J69" s="3054" t="s">
        <v>3266</v>
      </c>
      <c r="K69" s="3054">
        <v>1180</v>
      </c>
      <c r="L69" s="3054">
        <v>1180</v>
      </c>
      <c r="M69" s="3054">
        <v>196.46</v>
      </c>
      <c r="N69" s="3054">
        <v>0</v>
      </c>
      <c r="O69" s="3054" t="s">
        <v>3269</v>
      </c>
      <c r="P69" s="3054" t="s">
        <v>3096</v>
      </c>
    </row>
    <row r="70" spans="1:16">
      <c r="A70" s="3054" t="s">
        <v>3270</v>
      </c>
      <c r="B70" s="3054" t="s">
        <v>3090</v>
      </c>
      <c r="C70" s="3054" t="s">
        <v>3091</v>
      </c>
      <c r="D70" s="3054">
        <v>10834.28</v>
      </c>
      <c r="E70" s="3054">
        <v>16251.42</v>
      </c>
      <c r="F70" s="3054" t="s">
        <v>3232</v>
      </c>
      <c r="G70" s="3054" t="s">
        <v>3093</v>
      </c>
      <c r="H70" s="3054" t="s">
        <v>3091</v>
      </c>
      <c r="I70" s="3054" t="s">
        <v>3266</v>
      </c>
      <c r="J70" s="3054" t="s">
        <v>3266</v>
      </c>
      <c r="K70" s="3054">
        <v>196</v>
      </c>
      <c r="L70" s="3054">
        <v>196</v>
      </c>
      <c r="M70" s="3054">
        <v>120.59</v>
      </c>
      <c r="N70" s="3054">
        <v>0</v>
      </c>
      <c r="O70" s="3054" t="s">
        <v>3271</v>
      </c>
      <c r="P70" s="3054" t="s">
        <v>3096</v>
      </c>
    </row>
    <row r="71" spans="1:16">
      <c r="A71" s="3054" t="s">
        <v>3272</v>
      </c>
      <c r="B71" s="3054" t="s">
        <v>3090</v>
      </c>
      <c r="C71" s="3054" t="s">
        <v>3091</v>
      </c>
      <c r="D71" s="3054">
        <v>7205.45</v>
      </c>
      <c r="E71" s="3054">
        <v>7205.45</v>
      </c>
      <c r="F71" s="3054" t="s">
        <v>3092</v>
      </c>
      <c r="G71" s="3054" t="s">
        <v>3093</v>
      </c>
      <c r="H71" s="3054" t="s">
        <v>3091</v>
      </c>
      <c r="I71" s="3054" t="s">
        <v>3266</v>
      </c>
      <c r="J71" s="3054" t="s">
        <v>3266</v>
      </c>
      <c r="K71" s="3054">
        <v>94</v>
      </c>
      <c r="L71" s="3054">
        <v>94</v>
      </c>
      <c r="M71" s="3054">
        <v>130.46</v>
      </c>
      <c r="N71" s="3054">
        <v>0</v>
      </c>
      <c r="O71" s="3054" t="s">
        <v>3273</v>
      </c>
      <c r="P71" s="3054" t="s">
        <v>3096</v>
      </c>
    </row>
    <row r="72" spans="1:16">
      <c r="A72" s="3054" t="s">
        <v>3274</v>
      </c>
      <c r="B72" s="3054" t="s">
        <v>3090</v>
      </c>
      <c r="C72" s="3054" t="s">
        <v>3091</v>
      </c>
      <c r="D72" s="3054">
        <v>27878.5</v>
      </c>
      <c r="E72" s="3054">
        <v>27878.5</v>
      </c>
      <c r="F72" s="3054" t="s">
        <v>3092</v>
      </c>
      <c r="G72" s="3054" t="s">
        <v>3093</v>
      </c>
      <c r="H72" s="3054" t="s">
        <v>3091</v>
      </c>
      <c r="I72" s="3054" t="s">
        <v>3275</v>
      </c>
      <c r="J72" s="3054" t="s">
        <v>3275</v>
      </c>
      <c r="K72" s="3054">
        <v>502</v>
      </c>
      <c r="L72" s="3054">
        <v>502</v>
      </c>
      <c r="M72" s="3054">
        <v>180.06</v>
      </c>
      <c r="N72" s="3054">
        <v>0</v>
      </c>
      <c r="O72" s="3054" t="s">
        <v>3276</v>
      </c>
      <c r="P72" s="3054" t="s">
        <v>3096</v>
      </c>
    </row>
    <row r="73" spans="1:16">
      <c r="A73" s="3054" t="s">
        <v>3277</v>
      </c>
      <c r="B73" s="3054" t="s">
        <v>3090</v>
      </c>
      <c r="C73" s="3054" t="s">
        <v>3091</v>
      </c>
      <c r="D73" s="3054">
        <v>15075.21</v>
      </c>
      <c r="E73" s="3054">
        <v>22612.82</v>
      </c>
      <c r="F73" s="3054" t="s">
        <v>3232</v>
      </c>
      <c r="G73" s="3054" t="s">
        <v>3093</v>
      </c>
      <c r="H73" s="3054" t="s">
        <v>3091</v>
      </c>
      <c r="I73" s="3054" t="s">
        <v>3275</v>
      </c>
      <c r="J73" s="3054" t="s">
        <v>3275</v>
      </c>
      <c r="K73" s="3054">
        <v>272</v>
      </c>
      <c r="L73" s="3054">
        <v>272</v>
      </c>
      <c r="M73" s="3054">
        <v>120.29</v>
      </c>
      <c r="N73" s="3054">
        <v>0</v>
      </c>
      <c r="O73" s="3054" t="s">
        <v>3278</v>
      </c>
      <c r="P73" s="3054" t="s">
        <v>3096</v>
      </c>
    </row>
    <row r="74" spans="1:16">
      <c r="A74" s="3054" t="s">
        <v>3279</v>
      </c>
      <c r="B74" s="3054" t="s">
        <v>3090</v>
      </c>
      <c r="C74" s="3054" t="s">
        <v>3091</v>
      </c>
      <c r="D74" s="3054">
        <v>13514</v>
      </c>
      <c r="E74" s="3054">
        <v>13514</v>
      </c>
      <c r="F74" s="3054" t="s">
        <v>3092</v>
      </c>
      <c r="G74" s="3054" t="s">
        <v>3093</v>
      </c>
      <c r="H74" s="3054" t="s">
        <v>3091</v>
      </c>
      <c r="I74" s="3054" t="s">
        <v>3280</v>
      </c>
      <c r="J74" s="3054" t="s">
        <v>3280</v>
      </c>
      <c r="K74" s="3054">
        <v>264</v>
      </c>
      <c r="L74" s="3054">
        <v>264</v>
      </c>
      <c r="M74" s="3054">
        <v>195.34</v>
      </c>
      <c r="N74" s="3054">
        <v>0</v>
      </c>
      <c r="O74" s="3054" t="s">
        <v>3281</v>
      </c>
      <c r="P74" s="3054" t="s">
        <v>3096</v>
      </c>
    </row>
    <row r="75" spans="1:16">
      <c r="A75" s="3054" t="s">
        <v>3282</v>
      </c>
      <c r="B75" s="3054" t="s">
        <v>3090</v>
      </c>
      <c r="C75" s="3054" t="s">
        <v>3091</v>
      </c>
      <c r="D75" s="3054">
        <v>16150.16</v>
      </c>
      <c r="E75" s="3054">
        <v>24225.24</v>
      </c>
      <c r="F75" s="3054" t="s">
        <v>3232</v>
      </c>
      <c r="G75" s="3054" t="s">
        <v>3093</v>
      </c>
      <c r="H75" s="3054" t="s">
        <v>3091</v>
      </c>
      <c r="I75" s="3054" t="s">
        <v>3283</v>
      </c>
      <c r="J75" s="3054" t="s">
        <v>3283</v>
      </c>
      <c r="K75" s="3054">
        <v>122</v>
      </c>
      <c r="L75" s="3054">
        <v>243</v>
      </c>
      <c r="M75" s="3054">
        <v>100.31</v>
      </c>
      <c r="N75" s="3054">
        <v>99.18</v>
      </c>
      <c r="O75" s="3054" t="s">
        <v>3284</v>
      </c>
      <c r="P75" s="3054" t="s">
        <v>3096</v>
      </c>
    </row>
    <row r="76" spans="1:16">
      <c r="A76" s="3054" t="s">
        <v>3285</v>
      </c>
      <c r="B76" s="3054" t="s">
        <v>3090</v>
      </c>
      <c r="C76" s="3054" t="s">
        <v>3091</v>
      </c>
      <c r="D76" s="3054">
        <v>746109.93</v>
      </c>
      <c r="E76" s="3054">
        <v>746109.93</v>
      </c>
      <c r="F76" s="3054" t="s">
        <v>3092</v>
      </c>
      <c r="G76" s="3054" t="s">
        <v>3093</v>
      </c>
      <c r="H76" s="3054" t="s">
        <v>3091</v>
      </c>
      <c r="I76" s="3054" t="s">
        <v>3283</v>
      </c>
      <c r="J76" s="3054" t="s">
        <v>3283</v>
      </c>
      <c r="K76" s="3054">
        <v>13509</v>
      </c>
      <c r="L76" s="3054">
        <v>13509</v>
      </c>
      <c r="M76" s="3054">
        <v>181.06</v>
      </c>
      <c r="N76" s="3054">
        <v>0</v>
      </c>
      <c r="O76" s="3054" t="s">
        <v>3286</v>
      </c>
      <c r="P76" s="3054" t="s">
        <v>3096</v>
      </c>
    </row>
    <row r="77" spans="1:16">
      <c r="A77" s="3054" t="s">
        <v>3287</v>
      </c>
      <c r="B77" s="3054" t="s">
        <v>3090</v>
      </c>
      <c r="C77" s="3054" t="s">
        <v>3091</v>
      </c>
      <c r="D77" s="3054">
        <v>20000</v>
      </c>
      <c r="E77" s="3054">
        <v>20000</v>
      </c>
      <c r="F77" s="3054" t="s">
        <v>3092</v>
      </c>
      <c r="G77" s="3054" t="s">
        <v>3093</v>
      </c>
      <c r="H77" s="3054" t="s">
        <v>3091</v>
      </c>
      <c r="I77" s="3054" t="s">
        <v>3288</v>
      </c>
      <c r="J77" s="3054" t="s">
        <v>3288</v>
      </c>
      <c r="K77" s="3054">
        <v>392</v>
      </c>
      <c r="L77" s="3054">
        <v>392</v>
      </c>
      <c r="M77" s="3054">
        <v>196</v>
      </c>
      <c r="N77" s="3054">
        <v>0</v>
      </c>
      <c r="O77" s="3054" t="s">
        <v>3228</v>
      </c>
      <c r="P77" s="3054" t="s">
        <v>3125</v>
      </c>
    </row>
    <row r="78" spans="1:16">
      <c r="A78" s="3054" t="s">
        <v>3289</v>
      </c>
      <c r="B78" s="3054" t="s">
        <v>3090</v>
      </c>
      <c r="C78" s="3054" t="s">
        <v>3091</v>
      </c>
      <c r="D78" s="3054">
        <v>18539</v>
      </c>
      <c r="E78" s="3054">
        <v>18539</v>
      </c>
      <c r="F78" s="3054" t="s">
        <v>3092</v>
      </c>
      <c r="G78" s="3054" t="s">
        <v>3093</v>
      </c>
      <c r="H78" s="3054" t="s">
        <v>3091</v>
      </c>
      <c r="I78" s="3054" t="s">
        <v>3288</v>
      </c>
      <c r="J78" s="3054" t="s">
        <v>3288</v>
      </c>
      <c r="K78" s="3054">
        <v>358</v>
      </c>
      <c r="L78" s="3054">
        <v>358</v>
      </c>
      <c r="M78" s="3054">
        <v>193.11</v>
      </c>
      <c r="N78" s="3054">
        <v>0</v>
      </c>
      <c r="O78" s="3054" t="s">
        <v>3290</v>
      </c>
      <c r="P78" s="3054" t="s">
        <v>3125</v>
      </c>
    </row>
    <row r="79" spans="1:16">
      <c r="A79" s="3054" t="s">
        <v>3291</v>
      </c>
      <c r="B79" s="3054" t="s">
        <v>3090</v>
      </c>
      <c r="C79" s="3054" t="s">
        <v>3091</v>
      </c>
      <c r="D79" s="3054">
        <v>35731.230000000003</v>
      </c>
      <c r="E79" s="3054">
        <v>35731.230000000003</v>
      </c>
      <c r="F79" s="3054" t="s">
        <v>3092</v>
      </c>
      <c r="G79" s="3054" t="s">
        <v>3093</v>
      </c>
      <c r="H79" s="3054" t="s">
        <v>3091</v>
      </c>
      <c r="I79" s="3054" t="s">
        <v>3292</v>
      </c>
      <c r="J79" s="3054" t="s">
        <v>3292</v>
      </c>
      <c r="K79" s="3054">
        <v>540</v>
      </c>
      <c r="L79" s="3054">
        <v>540</v>
      </c>
      <c r="M79" s="3054">
        <v>151.12</v>
      </c>
      <c r="N79" s="3054">
        <v>0</v>
      </c>
      <c r="O79" s="3054" t="s">
        <v>3286</v>
      </c>
      <c r="P79" s="3054" t="s">
        <v>3131</v>
      </c>
    </row>
    <row r="80" spans="1:16">
      <c r="A80" s="3054" t="s">
        <v>3293</v>
      </c>
      <c r="B80" s="3054" t="s">
        <v>3090</v>
      </c>
      <c r="C80" s="3054" t="s">
        <v>3091</v>
      </c>
      <c r="D80" s="3054">
        <v>99191.679999999993</v>
      </c>
      <c r="E80" s="3054">
        <v>99191.679999999993</v>
      </c>
      <c r="F80" s="3054" t="s">
        <v>3092</v>
      </c>
      <c r="G80" s="3054" t="s">
        <v>3093</v>
      </c>
      <c r="H80" s="3054" t="s">
        <v>3091</v>
      </c>
      <c r="I80" s="3054" t="s">
        <v>3292</v>
      </c>
      <c r="J80" s="3054" t="s">
        <v>3292</v>
      </c>
      <c r="K80" s="3054">
        <v>1500</v>
      </c>
      <c r="L80" s="3054">
        <v>1500</v>
      </c>
      <c r="M80" s="3054">
        <v>151.21</v>
      </c>
      <c r="N80" s="3054">
        <v>0</v>
      </c>
      <c r="O80" s="3054" t="s">
        <v>3286</v>
      </c>
      <c r="P80" s="3054" t="s">
        <v>3131</v>
      </c>
    </row>
    <row r="81" spans="1:16">
      <c r="A81" s="3054" t="s">
        <v>3294</v>
      </c>
      <c r="B81" s="3054" t="s">
        <v>3090</v>
      </c>
      <c r="C81" s="3054" t="s">
        <v>3091</v>
      </c>
      <c r="D81" s="3054">
        <v>47698.97</v>
      </c>
      <c r="E81" s="3054">
        <v>47698.97</v>
      </c>
      <c r="F81" s="3054" t="s">
        <v>3092</v>
      </c>
      <c r="G81" s="3054" t="s">
        <v>3093</v>
      </c>
      <c r="H81" s="3054" t="s">
        <v>3091</v>
      </c>
      <c r="I81" s="3054" t="s">
        <v>3292</v>
      </c>
      <c r="J81" s="3054" t="s">
        <v>3292</v>
      </c>
      <c r="K81" s="3054">
        <v>720</v>
      </c>
      <c r="L81" s="3054">
        <v>720</v>
      </c>
      <c r="M81" s="3054">
        <v>150.94</v>
      </c>
      <c r="N81" s="3054">
        <v>0</v>
      </c>
      <c r="O81" s="3054" t="s">
        <v>3286</v>
      </c>
      <c r="P81" s="3054" t="s">
        <v>3131</v>
      </c>
    </row>
    <row r="82" spans="1:16">
      <c r="A82" s="3054" t="s">
        <v>3295</v>
      </c>
      <c r="B82" s="3054" t="s">
        <v>3090</v>
      </c>
      <c r="C82" s="3054" t="s">
        <v>3091</v>
      </c>
      <c r="D82" s="3054">
        <v>78743.210000000006</v>
      </c>
      <c r="E82" s="3054">
        <v>78743.210000000006</v>
      </c>
      <c r="F82" s="3054" t="s">
        <v>3092</v>
      </c>
      <c r="G82" s="3054" t="s">
        <v>3093</v>
      </c>
      <c r="H82" s="3054" t="s">
        <v>3091</v>
      </c>
      <c r="I82" s="3054" t="s">
        <v>3296</v>
      </c>
      <c r="J82" s="3054" t="s">
        <v>3296</v>
      </c>
      <c r="K82" s="3054">
        <v>1100</v>
      </c>
      <c r="L82" s="3054">
        <v>1100</v>
      </c>
      <c r="M82" s="3054">
        <v>139.68</v>
      </c>
      <c r="N82" s="3054">
        <v>0</v>
      </c>
      <c r="O82" s="3054" t="s">
        <v>3297</v>
      </c>
      <c r="P82" s="3054" t="s">
        <v>3118</v>
      </c>
    </row>
    <row r="83" spans="1:16">
      <c r="A83" s="3054" t="s">
        <v>3298</v>
      </c>
      <c r="B83" s="3054" t="s">
        <v>3090</v>
      </c>
      <c r="C83" s="3054" t="s">
        <v>3091</v>
      </c>
      <c r="D83" s="3054">
        <v>70373.73</v>
      </c>
      <c r="E83" s="3054">
        <v>70373.73</v>
      </c>
      <c r="F83" s="3054" t="s">
        <v>3092</v>
      </c>
      <c r="G83" s="3054" t="s">
        <v>3093</v>
      </c>
      <c r="H83" s="3054" t="s">
        <v>3091</v>
      </c>
      <c r="I83" s="3054" t="s">
        <v>3296</v>
      </c>
      <c r="J83" s="3054" t="s">
        <v>3296</v>
      </c>
      <c r="K83" s="3054">
        <v>980</v>
      </c>
      <c r="L83" s="3054">
        <v>980</v>
      </c>
      <c r="M83" s="3054">
        <v>139.25</v>
      </c>
      <c r="N83" s="3054">
        <v>0</v>
      </c>
      <c r="O83" s="3054" t="s">
        <v>3299</v>
      </c>
      <c r="P83" s="3054" t="s">
        <v>3131</v>
      </c>
    </row>
    <row r="84" spans="1:16">
      <c r="A84" s="3054" t="s">
        <v>3300</v>
      </c>
      <c r="B84" s="3054" t="s">
        <v>3090</v>
      </c>
      <c r="C84" s="3054" t="s">
        <v>3091</v>
      </c>
      <c r="D84" s="3054">
        <v>132277</v>
      </c>
      <c r="E84" s="3054">
        <v>132277</v>
      </c>
      <c r="F84" s="3054" t="s">
        <v>3092</v>
      </c>
      <c r="G84" s="3054" t="s">
        <v>3093</v>
      </c>
      <c r="H84" s="3054" t="s">
        <v>3091</v>
      </c>
      <c r="I84" s="3054" t="s">
        <v>3301</v>
      </c>
      <c r="J84" s="3054" t="s">
        <v>3301</v>
      </c>
      <c r="K84" s="3054">
        <v>2560</v>
      </c>
      <c r="L84" s="3054">
        <v>2560</v>
      </c>
      <c r="M84" s="3054">
        <v>193.53</v>
      </c>
      <c r="N84" s="3054">
        <v>0</v>
      </c>
      <c r="O84" s="3054" t="s">
        <v>3302</v>
      </c>
      <c r="P84" s="3054" t="s">
        <v>3125</v>
      </c>
    </row>
    <row r="85" spans="1:16">
      <c r="A85" s="3054" t="s">
        <v>3303</v>
      </c>
      <c r="B85" s="3054" t="s">
        <v>3090</v>
      </c>
      <c r="C85" s="3054" t="s">
        <v>3091</v>
      </c>
      <c r="D85" s="3054">
        <v>10000</v>
      </c>
      <c r="E85" s="3054">
        <v>10000</v>
      </c>
      <c r="F85" s="3054" t="s">
        <v>3092</v>
      </c>
      <c r="G85" s="3054" t="s">
        <v>3093</v>
      </c>
      <c r="H85" s="3054" t="s">
        <v>3091</v>
      </c>
      <c r="I85" s="3054" t="s">
        <v>3301</v>
      </c>
      <c r="J85" s="3054" t="s">
        <v>3301</v>
      </c>
      <c r="K85" s="3054">
        <v>194</v>
      </c>
      <c r="L85" s="3054">
        <v>194</v>
      </c>
      <c r="M85" s="3054">
        <v>194</v>
      </c>
      <c r="N85" s="3054">
        <v>0</v>
      </c>
      <c r="O85" s="3054" t="s">
        <v>3302</v>
      </c>
      <c r="P85" s="3054" t="s">
        <v>3125</v>
      </c>
    </row>
    <row r="86" spans="1:16">
      <c r="A86" s="3054" t="s">
        <v>3304</v>
      </c>
      <c r="B86" s="3054" t="s">
        <v>3090</v>
      </c>
      <c r="C86" s="3054" t="s">
        <v>3091</v>
      </c>
      <c r="D86" s="3054">
        <v>20107</v>
      </c>
      <c r="E86" s="3054">
        <v>20107</v>
      </c>
      <c r="F86" s="3054" t="s">
        <v>3092</v>
      </c>
      <c r="G86" s="3054" t="s">
        <v>3093</v>
      </c>
      <c r="H86" s="3054" t="s">
        <v>3091</v>
      </c>
      <c r="I86" s="3054" t="s">
        <v>3301</v>
      </c>
      <c r="J86" s="3054" t="s">
        <v>3301</v>
      </c>
      <c r="K86" s="3054">
        <v>377</v>
      </c>
      <c r="L86" s="3054">
        <v>377</v>
      </c>
      <c r="M86" s="3054">
        <v>187.5</v>
      </c>
      <c r="N86" s="3054">
        <v>0</v>
      </c>
      <c r="O86" s="3054" t="s">
        <v>3305</v>
      </c>
      <c r="P86" s="3054" t="s">
        <v>3131</v>
      </c>
    </row>
    <row r="89" spans="1:16">
      <c r="A89" s="3058" t="s">
        <v>3306</v>
      </c>
    </row>
  </sheetData>
  <phoneticPr fontId="140" type="noConversion"/>
  <pageMargins left="0.75" right="0.75" top="1" bottom="1" header="0.5" footer="0.5"/>
  <pageSetup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5" t="s">
        <v>2249</v>
      </c>
      <c r="D1" s="204"/>
      <c r="E1" s="204"/>
      <c r="F1" s="204"/>
      <c r="G1" s="1288">
        <f>MATCH(B1,'数据-取费表'!A6:A16,0)+5</f>
        <v>9</v>
      </c>
      <c r="H1" s="1192" t="str">
        <f>IF(ISERROR(FIND("住宅",B1)),"非住宅","住宅")</f>
        <v>非住宅</v>
      </c>
    </row>
    <row r="2" spans="1:8" s="206" customFormat="1" ht="18" customHeight="1">
      <c r="A2" s="207" t="s">
        <v>2148</v>
      </c>
      <c r="B2" s="208">
        <f ca="1">ROUND(IF(D2="——",C52/10000,C52/10000-E2),0)</f>
        <v>3595</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1636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879053</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4.0500000000000001E-2</v>
      </c>
      <c r="G7" s="225"/>
    </row>
    <row r="8" spans="1:8" s="229" customFormat="1">
      <c r="A8" s="886" t="s">
        <v>2162</v>
      </c>
      <c r="B8" s="221" t="s">
        <v>2163</v>
      </c>
      <c r="C8" s="226">
        <f ca="1">IF(G8="已包含在土地购买价格中",0,C9+C10)</f>
        <v>879053</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40</v>
      </c>
      <c r="F9" s="227"/>
      <c r="G9" s="232"/>
    </row>
    <row r="10" spans="1:8" s="220" customFormat="1" ht="13.5" customHeight="1">
      <c r="A10" s="887" t="s">
        <v>801</v>
      </c>
      <c r="B10" s="230" t="s">
        <v>2166</v>
      </c>
      <c r="C10" s="231">
        <f ca="1">ROUND(D10*E10,0)</f>
        <v>879053</v>
      </c>
      <c r="D10" s="954">
        <f ca="1">IF(B1="",'数据-汇总表'!E6,IF(INDIRECT("'数据-取费表'!c"&amp;$G$1)="住宅",INDIRECT("'数据-取费表'!s"&amp;$G$1),INDIRECT("'数据-取费表'!k"&amp;$G$1)+INDIRECT("'数据-取费表'!s"&amp;$G$1)))</f>
        <v>21976.32</v>
      </c>
      <c r="E10" s="231">
        <f>'数据-取费表'!B28</f>
        <v>40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3296448</v>
      </c>
      <c r="D19" s="958">
        <f ca="1">D9+D10</f>
        <v>21976.32</v>
      </c>
      <c r="E19" s="217">
        <f>'数据-取费表'!B31</f>
        <v>150</v>
      </c>
      <c r="F19" s="237"/>
      <c r="G19" s="2042"/>
    </row>
    <row r="20" spans="1:7" s="220" customFormat="1" ht="13.5" customHeight="1">
      <c r="A20" s="261" t="s">
        <v>2260</v>
      </c>
      <c r="B20" s="216" t="s">
        <v>2261</v>
      </c>
      <c r="C20" s="238">
        <f ca="1">ROUND((C5+C19)*F20,0)</f>
        <v>41755</v>
      </c>
      <c r="D20" s="238"/>
      <c r="E20" s="238"/>
      <c r="F20" s="239">
        <f>'数据-取费表'!B37</f>
        <v>0.01</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182542</v>
      </c>
      <c r="D22" s="241">
        <f ca="1">C26</f>
        <v>2.0000000000000001E-4</v>
      </c>
      <c r="E22" s="242" t="s">
        <v>2265</v>
      </c>
      <c r="F22" s="243">
        <f ca="1">'数据-取费表'!B40</f>
        <v>4.3499999999999997E-2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38239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143395</v>
      </c>
      <c r="D24" s="244"/>
      <c r="E24" s="244"/>
      <c r="F24" s="245"/>
      <c r="G24" s="246" t="s">
        <v>2272</v>
      </c>
    </row>
    <row r="25" spans="1:7" s="220" customFormat="1" ht="24">
      <c r="A25" s="888" t="s">
        <v>2162</v>
      </c>
      <c r="B25" s="221" t="s">
        <v>2273</v>
      </c>
      <c r="C25" s="1290">
        <f ca="1">ROUND(IF('数据-取费表'!B22&lt;=1,C20*F22*'数据-取费表'!B22/2,C20*(POWER((1+F22),'数据-取费表'!B22/2)-1)),0)</f>
        <v>908</v>
      </c>
      <c r="D25" s="244"/>
      <c r="E25" s="247"/>
      <c r="F25" s="245"/>
      <c r="G25" s="248" t="s">
        <v>2274</v>
      </c>
    </row>
    <row r="26" spans="1:7" s="220" customFormat="1">
      <c r="A26" s="888" t="s">
        <v>795</v>
      </c>
      <c r="B26" s="221" t="s">
        <v>2197</v>
      </c>
      <c r="C26" s="244">
        <f ca="1">ROUND(IF('数据-取费表'!B22&lt;=1,F21*F22*'数据-取费表'!B22/2,F21*(POWER((1+F22),'数据-取费表'!B22/2)-1)),4)</f>
        <v>2.0000000000000001E-4</v>
      </c>
      <c r="D26" s="244"/>
      <c r="E26" s="247"/>
      <c r="F26" s="245"/>
      <c r="G26" s="249"/>
    </row>
    <row r="27" spans="1:7" s="220" customFormat="1" ht="24.75">
      <c r="A27" s="261" t="s">
        <v>2198</v>
      </c>
      <c r="B27" s="250" t="s">
        <v>2199</v>
      </c>
      <c r="C27" s="251">
        <f ca="1">C28</f>
        <v>210863</v>
      </c>
      <c r="D27" s="241">
        <f ca="1">C29</f>
        <v>5.0000000000000001E-4</v>
      </c>
      <c r="E27" s="242" t="s">
        <v>2200</v>
      </c>
      <c r="F27" s="252">
        <f ca="1">IF(B1="",'数据-取费表'!Q16,INDIRECT("'数据-取费表'!q"&amp;$G$1))</f>
        <v>0.05</v>
      </c>
      <c r="G27" s="253" t="s">
        <v>2201</v>
      </c>
    </row>
    <row r="28" spans="1:7" s="220" customFormat="1" ht="13.5" customHeight="1">
      <c r="A28" s="888" t="s">
        <v>791</v>
      </c>
      <c r="B28" s="254" t="s">
        <v>2202</v>
      </c>
      <c r="C28" s="255">
        <f ca="1">ROUND((C5+C19+C20)*F27,0)</f>
        <v>210863</v>
      </c>
      <c r="D28" s="241"/>
      <c r="E28" s="242"/>
      <c r="F28" s="252"/>
      <c r="G28" s="253"/>
    </row>
    <row r="29" spans="1:7" s="220" customFormat="1" ht="13.5" customHeight="1">
      <c r="A29" s="888" t="s">
        <v>792</v>
      </c>
      <c r="B29" s="254" t="s">
        <v>2203</v>
      </c>
      <c r="C29" s="244">
        <f ca="1">ROUND(C21*F27,4)</f>
        <v>5.0000000000000001E-4</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4921188</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28540289</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24156785</v>
      </c>
      <c r="D34" s="223"/>
      <c r="E34" s="226"/>
      <c r="F34" s="263"/>
      <c r="G34" s="225"/>
    </row>
    <row r="35" spans="1:7" ht="13.5" customHeight="1">
      <c r="A35" s="888" t="s">
        <v>796</v>
      </c>
      <c r="B35" s="221" t="s">
        <v>2213</v>
      </c>
      <c r="C35" s="226">
        <f ca="1">ROUND(C34*F35,0)</f>
        <v>724704</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3296448</v>
      </c>
      <c r="D37" s="223">
        <f ca="1">D19</f>
        <v>21976.32</v>
      </c>
      <c r="E37" s="255">
        <f>'数据-取费表'!B35</f>
        <v>150</v>
      </c>
      <c r="F37" s="265"/>
      <c r="G37" s="267"/>
    </row>
    <row r="38" spans="1:7" ht="13.5" customHeight="1">
      <c r="A38" s="888" t="s">
        <v>799</v>
      </c>
      <c r="B38" s="221" t="s">
        <v>2219</v>
      </c>
      <c r="C38" s="226">
        <f ca="1">ROUND(C34*F38,0)</f>
        <v>362352</v>
      </c>
      <c r="D38" s="226"/>
      <c r="E38" s="226"/>
      <c r="F38" s="265">
        <f>'数据-取费表'!B36</f>
        <v>1.4999999999999999E-2</v>
      </c>
      <c r="G38" s="225" t="s">
        <v>2214</v>
      </c>
    </row>
    <row r="39" spans="1:7" s="220" customFormat="1" ht="13.5" customHeight="1">
      <c r="A39" s="261" t="s">
        <v>2220</v>
      </c>
      <c r="B39" s="216" t="s">
        <v>2221</v>
      </c>
      <c r="C39" s="238">
        <f ca="1">ROUND(C33*F20,0)</f>
        <v>285403</v>
      </c>
      <c r="D39" s="238"/>
      <c r="E39" s="238"/>
      <c r="F39" s="2535">
        <f>F20</f>
        <v>0.01</v>
      </c>
      <c r="G39" s="240" t="s">
        <v>2222</v>
      </c>
    </row>
    <row r="40" spans="1:7" s="220" customFormat="1" ht="13.5" customHeight="1">
      <c r="A40" s="261" t="s">
        <v>2223</v>
      </c>
      <c r="B40" s="216" t="s">
        <v>2224</v>
      </c>
      <c r="C40" s="1496">
        <f>F21</f>
        <v>0.01</v>
      </c>
      <c r="D40" s="242" t="s">
        <v>2225</v>
      </c>
      <c r="E40" s="238"/>
      <c r="F40" s="2535">
        <f>F21</f>
        <v>0.01</v>
      </c>
      <c r="G40" s="240" t="s">
        <v>2226</v>
      </c>
    </row>
    <row r="41" spans="1:7" s="220" customFormat="1" ht="13.5" customHeight="1">
      <c r="A41" s="261" t="s">
        <v>2227</v>
      </c>
      <c r="B41" s="216" t="s">
        <v>2228</v>
      </c>
      <c r="C41" s="238">
        <f ca="1">ROUND(SUM(C42:C43),0)</f>
        <v>626959</v>
      </c>
      <c r="D41" s="241">
        <f ca="1">C44</f>
        <v>2.0000000000000001E-4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620751</v>
      </c>
      <c r="D42" s="244"/>
      <c r="E42" s="244"/>
      <c r="F42" s="245"/>
      <c r="G42" s="3265" t="s">
        <v>2277</v>
      </c>
    </row>
    <row r="43" spans="1:7" ht="13.5" customHeight="1">
      <c r="A43" s="888" t="s">
        <v>792</v>
      </c>
      <c r="B43" s="221" t="s">
        <v>2231</v>
      </c>
      <c r="C43" s="244">
        <f ca="1">ROUND(IF('数据-取费表'!B22&lt;=1,C39*F22*'数据-取费表'!B20/2,C39*(POWER((1+F22),'数据-取费表'!B20/2)-1)),0)</f>
        <v>6208</v>
      </c>
      <c r="D43" s="244"/>
      <c r="E43" s="244"/>
      <c r="F43" s="245"/>
      <c r="G43" s="3266"/>
    </row>
    <row r="44" spans="1:7" ht="13.5" customHeight="1">
      <c r="A44" s="888" t="s">
        <v>793</v>
      </c>
      <c r="B44" s="221" t="s">
        <v>2232</v>
      </c>
      <c r="C44" s="244">
        <f ca="1">ROUND(IF('数据-取费表'!B22&lt;=1,C40*F22*'数据-取费表'!B20/2,C40*(POWER((1+F22),'数据-取费表'!B20/2)-1)),4)</f>
        <v>2.0000000000000001E-4</v>
      </c>
      <c r="D44" s="244"/>
      <c r="E44" s="244"/>
      <c r="F44" s="245"/>
      <c r="G44" s="3267"/>
    </row>
    <row r="45" spans="1:7" s="220" customFormat="1" ht="13.5" customHeight="1">
      <c r="A45" s="261" t="s">
        <v>2233</v>
      </c>
      <c r="B45" s="250" t="s">
        <v>2199</v>
      </c>
      <c r="C45" s="251">
        <f ca="1">C46</f>
        <v>1441285</v>
      </c>
      <c r="D45" s="241">
        <f ca="1">C47</f>
        <v>5.0000000000000001E-4</v>
      </c>
      <c r="E45" s="242" t="s">
        <v>2225</v>
      </c>
      <c r="F45" s="2537">
        <f ca="1">F27</f>
        <v>0.05</v>
      </c>
      <c r="G45" s="253" t="s">
        <v>2234</v>
      </c>
    </row>
    <row r="46" spans="1:7" s="220" customFormat="1" ht="13.5" customHeight="1">
      <c r="A46" s="888" t="s">
        <v>791</v>
      </c>
      <c r="B46" s="254" t="s">
        <v>2235</v>
      </c>
      <c r="C46" s="255">
        <f ca="1">ROUND((C33+C39)*F27,0)</f>
        <v>1441285</v>
      </c>
      <c r="D46" s="269"/>
      <c r="E46" s="242"/>
      <c r="F46" s="252"/>
      <c r="G46" s="253"/>
    </row>
    <row r="47" spans="1:7" s="220" customFormat="1" ht="13.5" customHeight="1">
      <c r="A47" s="888" t="s">
        <v>792</v>
      </c>
      <c r="B47" s="254" t="s">
        <v>2236</v>
      </c>
      <c r="C47" s="244">
        <f ca="1">ROUND(C40*F27,4)</f>
        <v>5.0000000000000001E-4</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32974636</v>
      </c>
      <c r="D49" s="238"/>
      <c r="E49" s="238"/>
      <c r="F49" s="270"/>
      <c r="G49" s="240" t="s">
        <v>2240</v>
      </c>
    </row>
    <row r="50" spans="1:7" s="264" customFormat="1">
      <c r="A50" s="261" t="s">
        <v>2241</v>
      </c>
      <c r="B50" s="216" t="s">
        <v>2242</v>
      </c>
      <c r="C50" s="238"/>
      <c r="D50" s="238"/>
      <c r="E50" s="238"/>
      <c r="F50" s="270">
        <f>IF('数据-取费表'!B24=0,'数据-取费表'!N16,1)</f>
        <v>0.94099999999999995</v>
      </c>
      <c r="G50" s="253"/>
    </row>
    <row r="51" spans="1:7" ht="16.5" customHeight="1">
      <c r="A51" s="261" t="s">
        <v>2244</v>
      </c>
      <c r="B51" s="216" t="s">
        <v>2279</v>
      </c>
      <c r="C51" s="238">
        <f ca="1">ROUND(C49*F50,0)</f>
        <v>31029132</v>
      </c>
      <c r="D51" s="238"/>
      <c r="E51" s="238"/>
      <c r="F51" s="270"/>
      <c r="G51" s="240" t="s">
        <v>2246</v>
      </c>
    </row>
    <row r="52" spans="1:7" s="214" customFormat="1" ht="16.5" thickBot="1">
      <c r="A52" s="271" t="s">
        <v>2247</v>
      </c>
      <c r="B52" s="272"/>
      <c r="C52" s="273">
        <f ca="1">C31+C51</f>
        <v>35950320</v>
      </c>
      <c r="D52" s="272"/>
      <c r="E52" s="272"/>
      <c r="F52" s="272"/>
      <c r="G52" s="274"/>
    </row>
    <row r="55" spans="1:7" ht="15">
      <c r="B55" s="276" t="s">
        <v>2248</v>
      </c>
      <c r="C55" s="277"/>
    </row>
    <row r="56" spans="1:7">
      <c r="B56" s="279" t="s">
        <v>1478</v>
      </c>
      <c r="C56" s="281">
        <f ca="1">1-C57</f>
        <v>0.13700000000000001</v>
      </c>
    </row>
    <row r="57" spans="1:7">
      <c r="B57" s="279" t="s">
        <v>1479</v>
      </c>
      <c r="C57" s="280">
        <f ca="1">ROUND(C51/C52,3)</f>
        <v>0.86299999999999999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9</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21976.32</v>
      </c>
      <c r="E14" s="24">
        <f>'数据-取费表'!B35</f>
        <v>150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21976.32</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40</v>
      </c>
      <c r="F19" s="913"/>
      <c r="G19" s="15"/>
      <c r="H19" s="1351"/>
      <c r="I19" s="918"/>
      <c r="J19" s="918"/>
      <c r="K19" s="919"/>
    </row>
    <row r="20" spans="1:33" s="912" customFormat="1" ht="13.5" customHeight="1">
      <c r="A20" s="908" t="s">
        <v>806</v>
      </c>
      <c r="B20" s="909" t="s">
        <v>2316</v>
      </c>
      <c r="C20" s="24">
        <f ca="1">ROUND(D20*E20/10000,0)</f>
        <v>88</v>
      </c>
      <c r="D20" s="955">
        <f ca="1">IF(C1="",'数据-汇总表'!E6,IF(INDIRECT("'数据-取费表'!c"&amp;$K$1)="住宅",INDIRECT("'数据-取费表'!s"&amp;$K$1),INDIRECT("'数据-取费表'!k"&amp;$K$1)+INDIRECT("'数据-取费表'!s"&amp;$K$1)))</f>
        <v>21976.32</v>
      </c>
      <c r="E20" s="24">
        <f>'数据-取费表'!B28</f>
        <v>40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0.01</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3.8600000000000002E-2</v>
      </c>
      <c r="D24" s="287" t="s">
        <v>15</v>
      </c>
      <c r="E24" s="287"/>
      <c r="F24" s="925">
        <f>IF(项目基本情况!B8="出让",0,'数据-取费表'!B48+'数据-取费表'!B49)</f>
        <v>4.0500000000000001E-2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3326</v>
      </c>
      <c r="D1" s="1547" t="s">
        <v>70</v>
      </c>
      <c r="E1" s="1548" t="s">
        <v>1352</v>
      </c>
      <c r="F1" s="1193">
        <f ca="1">J53</f>
        <v>45.9</v>
      </c>
      <c r="G1" s="1563">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4462</v>
      </c>
      <c r="C2" s="1572" t="s">
        <v>1481</v>
      </c>
      <c r="D2" s="1572"/>
      <c r="E2" s="1573"/>
      <c r="F2" s="1574"/>
      <c r="G2" s="2935"/>
      <c r="H2" s="2924"/>
      <c r="I2" s="2924"/>
      <c r="J2" s="2924"/>
      <c r="K2" s="2925"/>
      <c r="L2" s="2924"/>
      <c r="M2" s="2924"/>
    </row>
    <row r="3" spans="1:37" ht="18" customHeight="1" thickBot="1">
      <c r="A3" s="1575" t="s">
        <v>1482</v>
      </c>
      <c r="B3" s="1576">
        <f ca="1">IF(ISERROR(B2*10000/F43),0,ROUND(B2*10000/F43,0))</f>
        <v>2099</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264</v>
      </c>
      <c r="D5" s="1549" t="s">
        <v>1367</v>
      </c>
      <c r="E5" s="1203"/>
      <c r="F5" s="1204"/>
      <c r="G5" s="1569"/>
      <c r="H5" s="305">
        <v>1</v>
      </c>
      <c r="I5" s="306" t="s">
        <v>1366</v>
      </c>
      <c r="J5" s="1202">
        <f ca="1">J6+J10+J12</f>
        <v>0</v>
      </c>
      <c r="K5" s="1549" t="s">
        <v>1367</v>
      </c>
      <c r="L5" s="1203"/>
      <c r="M5" s="1204"/>
    </row>
    <row r="6" spans="1:37" ht="18" customHeight="1">
      <c r="A6" s="1201" t="s">
        <v>1003</v>
      </c>
      <c r="B6" s="3317" t="s">
        <v>1368</v>
      </c>
      <c r="C6" s="1206">
        <f ca="1">ROUND(F6*F8*F7*(1-F9)/10000,0)</f>
        <v>264</v>
      </c>
      <c r="D6" s="160" t="s">
        <v>2850</v>
      </c>
      <c r="E6" s="308" t="s">
        <v>1370</v>
      </c>
      <c r="F6" s="309">
        <f ca="1">INDIRECT("'数据-取费表'!u"&amp;$G$1)</f>
        <v>0.4</v>
      </c>
      <c r="G6" s="1569"/>
      <c r="H6" s="1201" t="s">
        <v>1003</v>
      </c>
      <c r="I6" s="3317" t="s">
        <v>1368</v>
      </c>
      <c r="J6" s="307">
        <f ca="1">ROUND(M6*M8*M7*(1-M9)/10000,0)</f>
        <v>0</v>
      </c>
      <c r="K6" s="160" t="s">
        <v>2849</v>
      </c>
      <c r="L6" s="308" t="s">
        <v>1370</v>
      </c>
      <c r="M6" s="309">
        <f ca="1">INDIRECT("'数据-取费表'!z"&amp;$G$1)</f>
        <v>0</v>
      </c>
    </row>
    <row r="7" spans="1:37" ht="18" customHeight="1">
      <c r="A7" s="1205"/>
      <c r="B7" s="3318"/>
      <c r="C7" s="1207"/>
      <c r="D7" s="313"/>
      <c r="E7" s="1208" t="s">
        <v>1371</v>
      </c>
      <c r="F7" s="309">
        <f ca="1">IF(INDIRECT("'数据-取费表'!ah"&amp;$G$1)="",INDIRECT("'数据-取费表'!k"&amp;$G$1),INDIRECT("'数据-取费表'!ah"&amp;$G$1))</f>
        <v>21257.94</v>
      </c>
      <c r="G7" s="1569"/>
      <c r="H7" s="310"/>
      <c r="I7" s="3318"/>
      <c r="J7" s="312"/>
      <c r="K7" s="313"/>
      <c r="L7" s="308" t="s">
        <v>1371</v>
      </c>
      <c r="M7" s="309">
        <f ca="1">F7</f>
        <v>21257.94</v>
      </c>
    </row>
    <row r="8" spans="1:37" ht="18" customHeight="1">
      <c r="A8" s="310"/>
      <c r="B8" s="3318"/>
      <c r="C8" s="312"/>
      <c r="D8" s="313"/>
      <c r="E8" s="308" t="s">
        <v>1372</v>
      </c>
      <c r="F8" s="309">
        <f ca="1">INDIRECT("'数据-取费表'!ai"&amp;$G$1)</f>
        <v>365</v>
      </c>
      <c r="G8" s="1569"/>
      <c r="H8" s="310"/>
      <c r="I8" s="3318"/>
      <c r="J8" s="312"/>
      <c r="K8" s="313"/>
      <c r="L8" s="308" t="s">
        <v>1372</v>
      </c>
      <c r="M8" s="309">
        <f ca="1">INDIRECT("'数据-取费表'!ai"&amp;$G$1)</f>
        <v>365</v>
      </c>
    </row>
    <row r="9" spans="1:37" ht="18" customHeight="1">
      <c r="A9" s="310"/>
      <c r="B9" s="3319"/>
      <c r="C9" s="312"/>
      <c r="D9" s="313"/>
      <c r="E9" s="308" t="s">
        <v>1373</v>
      </c>
      <c r="F9" s="318">
        <f ca="1">INDIRECT("'数据-取费表'!w"&amp;$G$1)</f>
        <v>0.15</v>
      </c>
      <c r="G9" s="1569"/>
      <c r="H9" s="310"/>
      <c r="I9" s="3319"/>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2858</v>
      </c>
      <c r="E10" s="319" t="s">
        <v>1375</v>
      </c>
      <c r="F10" s="1276" t="s">
        <v>3315</v>
      </c>
      <c r="G10" s="1569"/>
      <c r="H10" s="1201" t="s">
        <v>1007</v>
      </c>
      <c r="I10" s="1550" t="s">
        <v>1374</v>
      </c>
      <c r="J10" s="307">
        <f ca="1">ROUND(IF(M10="押一",J6/12*M11,IF(M10="押二",J6/12*2*M11,IF(M10="押三",J6/12*3*M11,J11*M11))),0)</f>
        <v>0</v>
      </c>
      <c r="K10" s="1551" t="s">
        <v>2857</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3000</v>
      </c>
      <c r="D13" s="1241" t="s">
        <v>1380</v>
      </c>
      <c r="E13" s="1241" t="s">
        <v>1381</v>
      </c>
      <c r="F13" s="1242">
        <f ca="1">INDIRECT("'数据-取费表'!y"&amp;$G$1)</f>
        <v>0.94</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2338</v>
      </c>
      <c r="D14" s="1530" t="s">
        <v>1383</v>
      </c>
      <c r="E14" s="1527"/>
      <c r="F14" s="325"/>
      <c r="G14" s="1569"/>
      <c r="H14" s="1113" t="s">
        <v>1003</v>
      </c>
      <c r="I14" s="308" t="s">
        <v>1384</v>
      </c>
      <c r="J14" s="24">
        <f ca="1">C29</f>
        <v>3192</v>
      </c>
      <c r="K14" s="15"/>
      <c r="L14" s="916"/>
      <c r="M14" s="917"/>
    </row>
    <row r="15" spans="1:37" s="1582" customFormat="1" ht="18" customHeight="1" thickBot="1">
      <c r="A15" s="1113" t="s">
        <v>1004</v>
      </c>
      <c r="B15" s="308" t="s">
        <v>1385</v>
      </c>
      <c r="C15" s="24">
        <f ca="1">ROUND(C14*F15,0)</f>
        <v>70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59</v>
      </c>
      <c r="K16" s="1247" t="s">
        <v>1390</v>
      </c>
      <c r="L16" s="1248"/>
      <c r="M16" s="1204"/>
    </row>
    <row r="17" spans="1:37" s="1582" customFormat="1" ht="18" customHeight="1">
      <c r="A17" s="1113" t="s">
        <v>1355</v>
      </c>
      <c r="B17" s="308" t="s">
        <v>1391</v>
      </c>
      <c r="C17" s="24">
        <f ca="1">ROUND(F17*(F43+INDIRECT("'数据-取费表'!S"&amp;$G$1))/10000,0)</f>
        <v>319</v>
      </c>
      <c r="D17" s="308" t="s">
        <v>1392</v>
      </c>
      <c r="E17" s="308" t="s">
        <v>1393</v>
      </c>
      <c r="F17" s="26">
        <f>'数据-取费表'!B35</f>
        <v>150</v>
      </c>
      <c r="G17" s="1581"/>
      <c r="H17" s="1113" t="s">
        <v>1003</v>
      </c>
      <c r="I17" s="308" t="s">
        <v>1394</v>
      </c>
      <c r="J17" s="2534">
        <f ca="1">ROUND(IF(AND(项目基本情况!B11="自然人",项目基本情况!B10="北京市"),J6*M17/(1+'数据-取费表'!C42),J18+J19+J20),0)</f>
        <v>27</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35</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2762</v>
      </c>
      <c r="D19" s="136" t="s">
        <v>1401</v>
      </c>
      <c r="E19" s="1545"/>
      <c r="F19" s="26"/>
      <c r="G19" s="1569"/>
      <c r="H19" s="1113" t="s">
        <v>1004</v>
      </c>
      <c r="I19" s="308" t="s">
        <v>1402</v>
      </c>
      <c r="J19" s="24">
        <f ca="1">IF(K19="按租金收入计税",ROUND(J6*M19/(1+'数据-取费表'!C42),2),ROUND(C29*M19*0.7,2))</f>
        <v>26.81</v>
      </c>
      <c r="K19" s="1555" t="s">
        <v>1403</v>
      </c>
      <c r="L19" s="308" t="s">
        <v>1387</v>
      </c>
      <c r="M19" s="328">
        <f>IF(K19="按租金收入计税",'数据-取费表'!B51,'数据-取费表'!B50)</f>
        <v>1.2E-2</v>
      </c>
    </row>
    <row r="20" spans="1:37" s="1582" customFormat="1" ht="18" customHeight="1">
      <c r="A20" s="1113" t="s">
        <v>1007</v>
      </c>
      <c r="B20" s="308" t="s">
        <v>1404</v>
      </c>
      <c r="C20" s="24">
        <f ca="1">ROUND(C19*F20,0)</f>
        <v>28</v>
      </c>
      <c r="D20" s="329" t="s">
        <v>1405</v>
      </c>
      <c r="E20" s="308" t="s">
        <v>1387</v>
      </c>
      <c r="F20" s="328">
        <f>'数据-取费表'!B37</f>
        <v>0.01</v>
      </c>
      <c r="G20" s="1581"/>
      <c r="H20" s="1113" t="s">
        <v>1354</v>
      </c>
      <c r="I20" s="160" t="s">
        <v>1406</v>
      </c>
      <c r="J20" s="25">
        <f ca="1">ROUND(M20*M21/10000,2)</f>
        <v>0</v>
      </c>
      <c r="K20" s="330" t="s">
        <v>1407</v>
      </c>
      <c r="L20" s="308" t="s">
        <v>1408</v>
      </c>
      <c r="M20" s="331">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0.01</v>
      </c>
      <c r="G21" s="1581"/>
      <c r="H21" s="332"/>
      <c r="I21" s="317"/>
      <c r="J21" s="29"/>
      <c r="K21" s="333"/>
      <c r="L21" s="308" t="s">
        <v>1412</v>
      </c>
      <c r="M21" s="309">
        <f ca="1">INDIRECT("'数据-取费表'!r"&amp;$G$1)</f>
        <v>21174.92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5"/>
      <c r="F22" s="26"/>
      <c r="G22" s="1569"/>
      <c r="H22" s="1113" t="s">
        <v>1007</v>
      </c>
      <c r="I22" s="308" t="s">
        <v>1414</v>
      </c>
      <c r="J22" s="24">
        <f ca="1">ROUND(J14*M22,1)</f>
        <v>31.9</v>
      </c>
      <c r="K22" s="1529" t="s">
        <v>1415</v>
      </c>
      <c r="L22" s="308" t="s">
        <v>1387</v>
      </c>
      <c r="M22" s="334">
        <f ca="1">INDIRECT("'数据-取费表'!Ak"&amp;$G$1)</f>
        <v>0.01</v>
      </c>
    </row>
    <row r="23" spans="1:37" s="1582" customFormat="1" ht="18" customHeight="1">
      <c r="A23" s="1113" t="s">
        <v>1002</v>
      </c>
      <c r="B23" s="308" t="s">
        <v>1416</v>
      </c>
      <c r="C23" s="24">
        <f ca="1">IF('数据-取费表'!B22&lt;=1,ROUND(C19*F24*F23/2,0)+ROUND(C20*F24*F23/2,0),ROUND(C19*(POWER((1+F24),F23/2)-1),0)+ROUND(C20*(POWER((1+F24),F23/2)-1),0))</f>
        <v>61</v>
      </c>
      <c r="D23" s="335" t="str">
        <f>IF(F23&lt;=1,"(建造成本+管理费用)×利率×(建设周期÷2)","(建造成本+管理费用)×((1+利率)^(建设周期÷2)-1)")</f>
        <v>(建造成本+管理费用)×利率×(建设周期÷2)</v>
      </c>
      <c r="E23" s="308" t="s">
        <v>1417</v>
      </c>
      <c r="F23" s="331">
        <f>'数据-取费表'!B20</f>
        <v>1</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2.0000000000000001E-4</v>
      </c>
      <c r="D24" s="335" t="str">
        <f>IF(F23&lt;=1,"销售费用×利率×(建设周期÷2)","销售费用×((1+利率)^(建设周期÷2)-1)")</f>
        <v>销售费用×利率×(建设周期÷2)</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-59</v>
      </c>
      <c r="K25" s="1255" t="s">
        <v>1429</v>
      </c>
      <c r="L25" s="1256"/>
      <c r="M25" s="1257"/>
    </row>
    <row r="26" spans="1:37">
      <c r="A26" s="1113" t="s">
        <v>1002</v>
      </c>
      <c r="B26" s="308" t="s">
        <v>1430</v>
      </c>
      <c r="C26" s="24">
        <f ca="1">ROUND((C19+C20)*F26,0)</f>
        <v>140</v>
      </c>
      <c r="D26" s="329" t="s">
        <v>1431</v>
      </c>
      <c r="E26" s="319" t="s">
        <v>1432</v>
      </c>
      <c r="F26" s="318">
        <f ca="1">INDIRECT("'数据-取费表'!q"&amp;$G$1)</f>
        <v>0.05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5.0000000000000001E-4</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3192</v>
      </c>
      <c r="D29" s="1252"/>
      <c r="E29" s="1250"/>
      <c r="F29" s="1253"/>
      <c r="G29" s="1581"/>
      <c r="H29" s="340" t="s">
        <v>1001</v>
      </c>
      <c r="I29" s="341" t="s">
        <v>1444</v>
      </c>
      <c r="J29" s="342">
        <f ca="1">ROUND(J26/(1+F40)^F41,0)</f>
        <v>0</v>
      </c>
      <c r="K29" s="343" t="s">
        <v>1445</v>
      </c>
      <c r="L29" s="344"/>
      <c r="M29" s="345">
        <f ca="1">INDIRECT("'数据-取费表'!k"&amp;$G$1)</f>
        <v>21257.94</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83</v>
      </c>
      <c r="D30" s="1247" t="s">
        <v>1390</v>
      </c>
      <c r="E30" s="1248"/>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44</v>
      </c>
      <c r="D31" s="1530" t="s">
        <v>1395</v>
      </c>
      <c r="E31" s="1529" t="s">
        <v>1446</v>
      </c>
      <c r="F31" s="2533" t="str">
        <f>IF(项目基本情况!B11="企业","——",IF('数据-取费表'!B10="住宅",IF(F6*F7*F8/12/(1+'数据-取费表'!F30)&gt;100000,4%,2.5%),IF(F6*F7*F8/12/(1+'数据-取费表'!F30)&gt;100000,12%,7%)))</f>
        <v>——</v>
      </c>
      <c r="G31" s="1569"/>
      <c r="H31" s="3039" t="s">
        <v>3057</v>
      </c>
      <c r="I31" s="1583"/>
      <c r="J31" s="1584"/>
      <c r="K31" s="2701"/>
      <c r="L31" s="2927"/>
      <c r="M31" s="2928"/>
    </row>
    <row r="32" spans="1:37" ht="18" customHeight="1">
      <c r="A32" s="1113" t="s">
        <v>1002</v>
      </c>
      <c r="B32" s="308" t="s">
        <v>1398</v>
      </c>
      <c r="C32" s="24">
        <f ca="1">IF(项目基本情况!B11="自然人","——",ROUND(C6*F32/(1+'数据-取费表'!C42),2))</f>
        <v>13.83</v>
      </c>
      <c r="D32" s="1529"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30.17</v>
      </c>
      <c r="D33" s="3070" t="s">
        <v>3314</v>
      </c>
      <c r="E33" s="308" t="s">
        <v>1387</v>
      </c>
      <c r="F33" s="328">
        <f>IF(D33="按票据","——",IF(D33="按租金收入计税",'数据-取费表'!B51,'数据-取费表'!B50))</f>
        <v>0.12</v>
      </c>
      <c r="G33" s="1569"/>
      <c r="H33" s="2929"/>
      <c r="I33" s="1583"/>
      <c r="J33" s="1584"/>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0</v>
      </c>
      <c r="G34" s="1569"/>
      <c r="H34" s="2926"/>
      <c r="I34" s="1583"/>
      <c r="J34" s="1584"/>
      <c r="K34" s="2931"/>
      <c r="L34" s="2932"/>
      <c r="M34" s="2932"/>
    </row>
    <row r="35" spans="1:18" ht="18" customHeight="1">
      <c r="A35" s="1263"/>
      <c r="B35" s="1261"/>
      <c r="C35" s="29"/>
      <c r="D35" s="333"/>
      <c r="E35" s="308" t="s">
        <v>1412</v>
      </c>
      <c r="F35" s="309">
        <f ca="1">INDIRECT("'数据-取费表'!r"&amp;$G$1)</f>
        <v>21174.92</v>
      </c>
      <c r="G35" s="1569"/>
      <c r="H35" s="2926"/>
      <c r="I35" s="1583"/>
      <c r="J35" s="1584"/>
      <c r="K35" s="2930"/>
      <c r="L35" s="2929"/>
      <c r="M35" s="2929"/>
    </row>
    <row r="36" spans="1:18" ht="18" customHeight="1">
      <c r="A36" s="1262" t="s">
        <v>1007</v>
      </c>
      <c r="B36" s="308" t="s">
        <v>1414</v>
      </c>
      <c r="C36" s="24">
        <f ca="1">ROUND(C29*F36,1)</f>
        <v>31.9</v>
      </c>
      <c r="D36" s="1529" t="s">
        <v>1447</v>
      </c>
      <c r="E36" s="308" t="s">
        <v>1387</v>
      </c>
      <c r="F36" s="334">
        <f ca="1">INDIRECT("'数据-取费表'!Ak"&amp;$G$1)</f>
        <v>0.01</v>
      </c>
      <c r="G36" s="1569"/>
      <c r="H36" s="2929"/>
      <c r="I36" s="1583"/>
      <c r="J36" s="1584"/>
      <c r="K36" s="2770"/>
      <c r="L36" s="2929"/>
      <c r="M36" s="2929"/>
    </row>
    <row r="37" spans="1:18" ht="18" customHeight="1">
      <c r="A37" s="1113" t="s">
        <v>1043</v>
      </c>
      <c r="B37" s="308" t="s">
        <v>1418</v>
      </c>
      <c r="C37" s="24">
        <f ca="1">ROUND(C13*F37,1)</f>
        <v>4.5</v>
      </c>
      <c r="D37" s="1529" t="s">
        <v>1419</v>
      </c>
      <c r="E37" s="308" t="s">
        <v>1420</v>
      </c>
      <c r="F37" s="336">
        <f ca="1">INDIRECT("'数据-取费表'!Al"&amp;$G$1)</f>
        <v>1.5E-3</v>
      </c>
      <c r="G37" s="1569"/>
      <c r="H37" s="2929"/>
      <c r="I37" s="1583"/>
      <c r="J37" s="1584"/>
      <c r="K37" s="2770"/>
      <c r="L37" s="2929"/>
      <c r="M37" s="2929"/>
    </row>
    <row r="38" spans="1:18" ht="18" customHeight="1" thickBot="1">
      <c r="A38" s="1249" t="s">
        <v>1358</v>
      </c>
      <c r="B38" s="1250" t="s">
        <v>1404</v>
      </c>
      <c r="C38" s="1251">
        <f ca="1">ROUND(C5*F38,1)</f>
        <v>2.6</v>
      </c>
      <c r="D38" s="1252" t="s">
        <v>1424</v>
      </c>
      <c r="E38" s="1250" t="s">
        <v>1420</v>
      </c>
      <c r="F38" s="1246">
        <f ca="1">INDIRECT("'数据-取费表'!Am"&amp;$G$1)</f>
        <v>0.01</v>
      </c>
      <c r="G38" s="1569"/>
      <c r="H38" s="2929"/>
      <c r="I38" s="1583"/>
      <c r="J38" s="1584"/>
      <c r="K38" s="2933"/>
      <c r="L38" s="2929"/>
      <c r="M38" s="2929"/>
    </row>
    <row r="39" spans="1:18" ht="24.6" customHeight="1" thickTop="1">
      <c r="A39" s="1239" t="s">
        <v>999</v>
      </c>
      <c r="B39" s="1254" t="s">
        <v>1448</v>
      </c>
      <c r="C39" s="316">
        <f ca="1">C5-C30</f>
        <v>181</v>
      </c>
      <c r="D39" s="1255" t="s">
        <v>1449</v>
      </c>
      <c r="E39" s="1256"/>
      <c r="F39" s="1257"/>
      <c r="G39" s="1569"/>
      <c r="H39" s="2929"/>
      <c r="I39" s="1583"/>
      <c r="J39" s="1584"/>
      <c r="K39" s="2933"/>
      <c r="L39" s="2929"/>
      <c r="M39" s="2929"/>
    </row>
    <row r="40" spans="1:18" ht="18" customHeight="1">
      <c r="A40" s="305" t="s">
        <v>1000</v>
      </c>
      <c r="B40" s="306" t="s">
        <v>1450</v>
      </c>
      <c r="C40" s="307">
        <f ca="1">ROUND(C39*(1-((1+F42)/(1+F40))^F41)/(F40-F42),0)</f>
        <v>4438</v>
      </c>
      <c r="D40" s="330" t="s">
        <v>1434</v>
      </c>
      <c r="E40" s="308" t="s">
        <v>1435</v>
      </c>
      <c r="F40" s="318">
        <f ca="1">INDIRECT("'数据-取费表'!I"&amp;$G$1)</f>
        <v>0.05</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45.9</v>
      </c>
      <c r="G41" s="1569"/>
      <c r="H41" s="1353"/>
      <c r="I41" s="1583"/>
      <c r="J41" s="1584"/>
      <c r="K41" s="2770"/>
      <c r="L41" s="1353"/>
      <c r="M41" s="1353"/>
    </row>
    <row r="42" spans="1:18" ht="18" customHeight="1">
      <c r="A42" s="314"/>
      <c r="B42" s="315"/>
      <c r="C42" s="316"/>
      <c r="D42" s="333"/>
      <c r="E42" s="308" t="s">
        <v>1442</v>
      </c>
      <c r="F42" s="318">
        <f ca="1">INDIRECT("'数据-取费表'!v"&amp;$G$1)</f>
        <v>0.02</v>
      </c>
      <c r="G42" s="1569"/>
      <c r="H42" s="1353"/>
      <c r="I42" s="1583"/>
      <c r="J42" s="1584"/>
      <c r="K42" s="2770"/>
      <c r="L42" s="1353"/>
      <c r="M42" s="1353"/>
    </row>
    <row r="43" spans="1:18" ht="18" customHeight="1" thickBot="1">
      <c r="A43" s="340" t="s">
        <v>1001</v>
      </c>
      <c r="B43" s="341" t="s">
        <v>1452</v>
      </c>
      <c r="C43" s="342">
        <f ca="1">ROUND(C40*10000/F43,0)</f>
        <v>2088</v>
      </c>
      <c r="D43" s="343" t="s">
        <v>1453</v>
      </c>
      <c r="E43" s="344" t="s">
        <v>1454</v>
      </c>
      <c r="F43" s="345">
        <f ca="1">INDIRECT("'数据-取费表'!k"&amp;$G$1)</f>
        <v>21257.94</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-9870</v>
      </c>
      <c r="D46" s="1591" t="str">
        <f>C2</f>
        <v>万元</v>
      </c>
      <c r="E46" s="1585"/>
      <c r="F46" s="1585"/>
      <c r="I46" s="1592" t="s">
        <v>1486</v>
      </c>
      <c r="J46" s="1593"/>
      <c r="K46" s="1594"/>
      <c r="L46" s="1595">
        <f ca="1">IF(M47="住宅",0,IF(L48&gt;J51,L60,J60))</f>
        <v>24</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3317</v>
      </c>
      <c r="K47" s="1601" t="s">
        <v>1492</v>
      </c>
      <c r="L47" s="1602">
        <f ca="1">INDIRECT("'数据-取费表'!d"&amp;$G$1)</f>
        <v>50</v>
      </c>
      <c r="M47" s="1565" t="str">
        <f>IF(ISNUMBER(FIND("住宅",C1)),"住宅","非住宅")</f>
        <v>非住宅</v>
      </c>
      <c r="O47" s="1603" t="s">
        <v>1008</v>
      </c>
      <c r="P47" s="1604" t="s">
        <v>1493</v>
      </c>
      <c r="Q47" s="1605">
        <f ca="1">C40+J29</f>
        <v>4438</v>
      </c>
      <c r="R47" s="1605" t="s">
        <v>1494</v>
      </c>
    </row>
    <row r="48" spans="1:18" s="1569" customFormat="1" ht="28.5" thickBot="1">
      <c r="A48" s="1270" t="s">
        <v>1103</v>
      </c>
      <c r="B48" s="306" t="s">
        <v>1366</v>
      </c>
      <c r="C48" s="1544">
        <f ca="1">C49+C53+C55</f>
        <v>0</v>
      </c>
      <c r="D48" s="1272"/>
      <c r="E48" s="1273"/>
      <c r="F48" s="1093"/>
      <c r="G48" s="731"/>
      <c r="H48" s="732"/>
      <c r="I48" s="1606" t="s">
        <v>1495</v>
      </c>
      <c r="J48" s="1607" t="s">
        <v>3318</v>
      </c>
      <c r="K48" s="1608" t="s">
        <v>1496</v>
      </c>
      <c r="L48" s="1609">
        <f ca="1">INDIRECT("'数据-取费表'!f"&amp;$G$1)</f>
        <v>45.9</v>
      </c>
      <c r="O48" s="1603" t="s">
        <v>1009</v>
      </c>
      <c r="P48" s="1604" t="s">
        <v>1497</v>
      </c>
      <c r="Q48" s="1605">
        <f ca="1">J60</f>
        <v>24</v>
      </c>
      <c r="R48" s="1605" t="s">
        <v>1498</v>
      </c>
    </row>
    <row r="49" spans="1:18" s="1569" customFormat="1" ht="13.5" thickBot="1">
      <c r="A49" s="1106" t="s">
        <v>1104</v>
      </c>
      <c r="B49" s="1556" t="s">
        <v>1455</v>
      </c>
      <c r="C49" s="1274">
        <f ca="1">ROUND(F49*F51*F50*(1-F52)/10000,0)</f>
        <v>0</v>
      </c>
      <c r="D49" s="1186" t="s">
        <v>2851</v>
      </c>
      <c r="E49" s="1557" t="s">
        <v>1456</v>
      </c>
      <c r="F49" s="1191"/>
      <c r="G49" s="1610"/>
      <c r="H49" s="732"/>
      <c r="I49" s="1606" t="s">
        <v>1499</v>
      </c>
      <c r="J49" s="1611">
        <v>2018</v>
      </c>
      <c r="K49" s="1608" t="s">
        <v>1500</v>
      </c>
      <c r="L49" s="1612"/>
      <c r="O49" s="1613" t="s">
        <v>1010</v>
      </c>
      <c r="P49" s="1604" t="s">
        <v>1501</v>
      </c>
      <c r="Q49" s="1605">
        <f ca="1">C29</f>
        <v>3192</v>
      </c>
      <c r="R49" s="1605" t="s">
        <v>1494</v>
      </c>
    </row>
    <row r="50" spans="1:18" s="1569" customFormat="1" ht="13.5" thickBot="1">
      <c r="A50" s="1107"/>
      <c r="B50" s="1110"/>
      <c r="C50" s="1278"/>
      <c r="D50" s="1084"/>
      <c r="E50" s="1187" t="s">
        <v>1371</v>
      </c>
      <c r="F50" s="1188">
        <f ca="1">F7</f>
        <v>21257.94</v>
      </c>
      <c r="H50" s="732"/>
      <c r="I50" s="1606" t="s">
        <v>1502</v>
      </c>
      <c r="J50" s="1614">
        <f>SUMPRODUCT((I63:I65=J47)*(J62:L62=J48)*(J63:L65))</f>
        <v>70</v>
      </c>
      <c r="K50" s="1608" t="s">
        <v>1503</v>
      </c>
      <c r="L50" s="1612"/>
      <c r="M50" s="1615"/>
      <c r="O50" s="1613" t="s">
        <v>1011</v>
      </c>
      <c r="P50" s="1604" t="s">
        <v>1504</v>
      </c>
      <c r="Q50" s="1616">
        <f ca="1">J58</f>
        <v>0.4</v>
      </c>
      <c r="R50" s="1605"/>
    </row>
    <row r="51" spans="1:18" s="1569" customFormat="1" ht="13.5" thickBot="1">
      <c r="A51" s="1108"/>
      <c r="B51" s="1110"/>
      <c r="C51" s="1111"/>
      <c r="D51" s="1084"/>
      <c r="E51" s="1112" t="s">
        <v>1372</v>
      </c>
      <c r="F51" s="309">
        <f ca="1">F8</f>
        <v>365</v>
      </c>
      <c r="I51" s="1617" t="s">
        <v>1505</v>
      </c>
      <c r="J51" s="1618">
        <f>IF(J49="",J50,J49+J50-YEAR('数据-取费表'!B2))</f>
        <v>67</v>
      </c>
      <c r="K51" s="1619" t="s">
        <v>1506</v>
      </c>
      <c r="L51" s="1620">
        <f ca="1">ROUND(-PV(INDIRECT("'数据-取费表'!h"&amp;$G$1),J51,(C39-C13*C76),0),0)</f>
        <v>-1558</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45.9</v>
      </c>
      <c r="R52" s="1605" t="s">
        <v>1511</v>
      </c>
    </row>
    <row r="53" spans="1:18" s="1569" customFormat="1" ht="24.75" thickBot="1">
      <c r="A53" s="1314" t="s">
        <v>1105</v>
      </c>
      <c r="B53" s="1558" t="s">
        <v>1374</v>
      </c>
      <c r="C53" s="322">
        <f ca="1">ROUND(IF(F53="押一",C49/12*F11,IF(F53="押二",C49/12*2*F11,IF(F53="押三",C49/12*3*F11,C54*F11))),0)</f>
        <v>0</v>
      </c>
      <c r="D53" s="1551" t="s">
        <v>2857</v>
      </c>
      <c r="E53" s="319" t="s">
        <v>1375</v>
      </c>
      <c r="F53" s="1276"/>
      <c r="I53" s="1624" t="s">
        <v>1512</v>
      </c>
      <c r="J53" s="2386">
        <f ca="1">IF(M47="住宅",IF(D1="——",MAX(J51,L48),MAX(J51,L48-'数据-取费表'!B24)),IF(D1="——",MIN(J51,L48),MIN(J51,L48-'数据-取费表'!B24)))</f>
        <v>45.9</v>
      </c>
      <c r="K53" s="3315" t="s">
        <v>1513</v>
      </c>
      <c r="L53" s="3316"/>
      <c r="O53" s="1603" t="s">
        <v>1014</v>
      </c>
      <c r="P53" s="1604" t="s">
        <v>1514</v>
      </c>
      <c r="Q53" s="1605">
        <f ca="1">Q47+Q48</f>
        <v>4462</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f ca="1">ROUND(IF(J47="钢混",J57/J50,1-(1-2%)*(J50-J57)/J50),3)</f>
        <v>0.315</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3000</v>
      </c>
      <c r="D56" s="1632"/>
      <c r="E56" s="1633"/>
      <c r="F56" s="1625"/>
      <c r="I56" s="1634" t="s">
        <v>1519</v>
      </c>
      <c r="J56" s="1635" t="s">
        <v>3319</v>
      </c>
      <c r="K56" s="1606" t="s">
        <v>1520</v>
      </c>
      <c r="L56" s="1609" t="str">
        <f ca="1">IF(L48&lt;J51,"——",L48-J53)</f>
        <v>——</v>
      </c>
      <c r="O56" s="1603" t="s">
        <v>1008</v>
      </c>
      <c r="P56" s="1604" t="s">
        <v>1493</v>
      </c>
      <c r="Q56" s="1605">
        <f ca="1">C40+J29</f>
        <v>4438</v>
      </c>
      <c r="R56" s="1605" t="s">
        <v>1494</v>
      </c>
    </row>
    <row r="57" spans="1:18" s="1569" customFormat="1" ht="24.75" thickBot="1">
      <c r="A57" s="1636"/>
      <c r="B57" s="1081" t="s">
        <v>1443</v>
      </c>
      <c r="C57" s="244">
        <f ca="1">C29</f>
        <v>3192</v>
      </c>
      <c r="D57" s="1637"/>
      <c r="E57" s="1638"/>
      <c r="F57" s="1639"/>
      <c r="I57" s="1640" t="s">
        <v>1521</v>
      </c>
      <c r="J57" s="1641">
        <f ca="1">IF(OR(M47="住宅",J51&lt;L48,J56="是"),"——",J51-L48)</f>
        <v>21.1</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304</v>
      </c>
      <c r="D58" s="1091" t="s">
        <v>1390</v>
      </c>
      <c r="E58" s="1092"/>
      <c r="F58" s="1093"/>
      <c r="I58" s="1640" t="s">
        <v>1525</v>
      </c>
      <c r="J58" s="1642">
        <f ca="1">IF(J55&lt;0.4,0.4,J55)</f>
        <v>0.4</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268</v>
      </c>
      <c r="D59" s="1094" t="s">
        <v>1395</v>
      </c>
      <c r="E59" s="1095" t="s">
        <v>1396</v>
      </c>
      <c r="F59" s="2533" t="str">
        <f>IF(项目基本情况!B11="企业","——",IF('数据-取费表'!B10="住宅",IF(F49*F50*F51/12/(1+'数据-取费表'!F30)&gt;100000,4%,2.5%),IF(F49*F50*F51/12/(1+'数据-取费表'!F30)&gt;100000,12%,7%)))</f>
        <v>——</v>
      </c>
      <c r="I59" s="1640" t="s">
        <v>1528</v>
      </c>
      <c r="J59" s="1641">
        <f ca="1">IF(OR(M47="住宅",J51&lt;L48,J56="是"),"——",ROUND(C29*J58,0))</f>
        <v>1277</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f ca="1">IF(OR(M47="住宅",J51&lt;L48,J56="是"),"0",ROUND(J59/(1+J52)^J53,0))</f>
        <v>24</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268.13</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v>
      </c>
      <c r="D62" s="1096" t="s">
        <v>1462</v>
      </c>
      <c r="E62" s="1081" t="s">
        <v>1463</v>
      </c>
      <c r="F62" s="331">
        <f t="shared" si="0"/>
        <v>0</v>
      </c>
      <c r="I62" s="1647" t="s">
        <v>1535</v>
      </c>
      <c r="J62" s="1648" t="s">
        <v>1536</v>
      </c>
      <c r="K62" s="1648" t="s">
        <v>1537</v>
      </c>
      <c r="L62" s="1648" t="s">
        <v>1538</v>
      </c>
      <c r="M62" s="1649" t="s">
        <v>1539</v>
      </c>
      <c r="O62" s="1603" t="s">
        <v>1014</v>
      </c>
      <c r="P62" s="1604" t="s">
        <v>1540</v>
      </c>
      <c r="Q62" s="1605">
        <f ca="1">Q56+Q57</f>
        <v>4438</v>
      </c>
      <c r="R62" s="1605" t="s">
        <v>1015</v>
      </c>
    </row>
    <row r="63" spans="1:18" s="1569" customFormat="1" ht="13.5" thickBot="1">
      <c r="A63" s="332"/>
      <c r="B63" s="1087"/>
      <c r="C63" s="29"/>
      <c r="D63" s="1097"/>
      <c r="E63" s="1081" t="s">
        <v>1464</v>
      </c>
      <c r="F63" s="309">
        <f t="shared" ca="1" si="0"/>
        <v>21174.92</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31.9</v>
      </c>
      <c r="D64" s="1095" t="s">
        <v>1467</v>
      </c>
      <c r="E64" s="1081" t="s">
        <v>1459</v>
      </c>
      <c r="F64" s="334">
        <f t="shared" ca="1" si="0"/>
        <v>0.01</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4.5</v>
      </c>
      <c r="D65" s="1095" t="s">
        <v>1419</v>
      </c>
      <c r="E65" s="1081" t="s">
        <v>1420</v>
      </c>
      <c r="F65" s="336">
        <f t="shared" ca="1" si="0"/>
        <v>1.5E-3</v>
      </c>
      <c r="I65" s="1647" t="s">
        <v>1544</v>
      </c>
      <c r="J65" s="1648">
        <v>40</v>
      </c>
      <c r="K65" s="1648">
        <v>30</v>
      </c>
      <c r="L65" s="1648">
        <v>50</v>
      </c>
      <c r="M65" s="1650">
        <v>0.02</v>
      </c>
      <c r="O65" s="1603" t="s">
        <v>1008</v>
      </c>
      <c r="P65" s="1604" t="s">
        <v>1545</v>
      </c>
      <c r="Q65" s="1605">
        <f ca="1">C40+J29</f>
        <v>4438</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-304</v>
      </c>
      <c r="D67" s="1094" t="s">
        <v>1429</v>
      </c>
      <c r="E67" s="1099"/>
      <c r="F67" s="1100"/>
      <c r="O67" s="1613" t="s">
        <v>1010</v>
      </c>
      <c r="P67" s="1604" t="s">
        <v>1527</v>
      </c>
      <c r="Q67" s="1651">
        <f ca="1">L51</f>
        <v>-1558</v>
      </c>
      <c r="R67" s="1605" t="s">
        <v>1547</v>
      </c>
    </row>
    <row r="68" spans="1:18" s="1569" customFormat="1" ht="16.5" thickBot="1">
      <c r="A68" s="1078" t="s">
        <v>1000</v>
      </c>
      <c r="B68" s="1079" t="s">
        <v>1450</v>
      </c>
      <c r="C68" s="307">
        <f ca="1">ROUND(C67*(1-((1+F70)/(1+F68))^F69)/(F68-F70),0)</f>
        <v>-5432</v>
      </c>
      <c r="D68" s="1096" t="s">
        <v>1434</v>
      </c>
      <c r="E68" s="1081" t="s">
        <v>1435</v>
      </c>
      <c r="F68" s="318">
        <f ca="1">F40</f>
        <v>0.05</v>
      </c>
      <c r="O68" s="1613" t="s">
        <v>1011</v>
      </c>
      <c r="P68" s="1652" t="s">
        <v>1548</v>
      </c>
      <c r="Q68" s="1605">
        <f ca="1">ROUND(Q69-Q70*Q71,0)</f>
        <v>-74</v>
      </c>
      <c r="R68" s="1605" t="s">
        <v>1019</v>
      </c>
    </row>
    <row r="69" spans="1:18" s="1569" customFormat="1" ht="13.5" thickBot="1">
      <c r="A69" s="1082"/>
      <c r="B69" s="1083"/>
      <c r="C69" s="312"/>
      <c r="D69" s="1101" t="s">
        <v>1438</v>
      </c>
      <c r="E69" s="1081" t="s">
        <v>1439</v>
      </c>
      <c r="F69" s="339">
        <f ca="1">F41</f>
        <v>45.9</v>
      </c>
      <c r="O69" s="1613" t="s">
        <v>1016</v>
      </c>
      <c r="P69" s="1652" t="s">
        <v>1549</v>
      </c>
      <c r="Q69" s="1605">
        <f ca="1">C39</f>
        <v>181</v>
      </c>
      <c r="R69" s="1605" t="s">
        <v>1494</v>
      </c>
    </row>
    <row r="70" spans="1:18" s="1569" customFormat="1" ht="13.5" thickBot="1">
      <c r="A70" s="1085"/>
      <c r="B70" s="1086"/>
      <c r="C70" s="316"/>
      <c r="D70" s="1097"/>
      <c r="E70" s="1081" t="s">
        <v>1442</v>
      </c>
      <c r="F70" s="1185"/>
      <c r="O70" s="1613" t="s">
        <v>1017</v>
      </c>
      <c r="P70" s="1652" t="s">
        <v>1550</v>
      </c>
      <c r="Q70" s="1605">
        <f ca="1">C13</f>
        <v>3000</v>
      </c>
      <c r="R70" s="1605" t="s">
        <v>1494</v>
      </c>
    </row>
    <row r="71" spans="1:18" s="1569" customFormat="1" ht="13.5" thickBot="1">
      <c r="A71" s="1102" t="s">
        <v>1001</v>
      </c>
      <c r="B71" s="1103" t="s">
        <v>1452</v>
      </c>
      <c r="C71" s="342">
        <f ca="1">ROUND(C68*10000/F71,0)</f>
        <v>-2555</v>
      </c>
      <c r="D71" s="1104" t="s">
        <v>1453</v>
      </c>
      <c r="E71" s="1105" t="s">
        <v>1454</v>
      </c>
      <c r="F71" s="345">
        <f ca="1">F43</f>
        <v>21257.94</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255</v>
      </c>
      <c r="D75" s="1569"/>
      <c r="E75" s="1569"/>
      <c r="F75" s="1569"/>
      <c r="K75" s="1587"/>
      <c r="L75" s="1569"/>
      <c r="O75" s="1603" t="s">
        <v>1014</v>
      </c>
      <c r="P75" s="1604" t="s">
        <v>1514</v>
      </c>
      <c r="Q75" s="1605">
        <f ca="1">Q65+Q66</f>
        <v>4438</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-0.40900000000000003</v>
      </c>
    </row>
    <row r="80" spans="1:18">
      <c r="B80" s="346" t="s">
        <v>1476</v>
      </c>
      <c r="C80" s="280">
        <f ca="1">ROUND(C75/C39,3)</f>
        <v>1.409</v>
      </c>
    </row>
    <row r="81" spans="2:3">
      <c r="B81" s="276" t="s">
        <v>1477</v>
      </c>
      <c r="C81" s="244"/>
    </row>
    <row r="82" spans="2:3">
      <c r="B82" s="279" t="s">
        <v>1478</v>
      </c>
      <c r="C82" s="281">
        <f ca="1">1-C83</f>
        <v>0.32399999999999995</v>
      </c>
    </row>
    <row r="83" spans="2:3">
      <c r="B83" s="279" t="s">
        <v>1479</v>
      </c>
      <c r="C83" s="280">
        <f ca="1">ROUND(C13/C40,3)</f>
        <v>0.67600000000000005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4" priority="56">
      <formula>$L$48&gt;$J$51</formula>
    </cfRule>
  </conditionalFormatting>
  <conditionalFormatting sqref="I55 I60">
    <cfRule type="expression" dxfId="133" priority="57">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3320</v>
      </c>
      <c r="D1" s="1547" t="s">
        <v>70</v>
      </c>
      <c r="E1" s="1548" t="s">
        <v>1352</v>
      </c>
      <c r="F1" s="1193">
        <f ca="1">J53</f>
        <v>45.9</v>
      </c>
      <c r="G1" s="1563">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f ca="1">ROUND(D2/10000,0)</f>
        <v>37</v>
      </c>
      <c r="C2" s="1572" t="s">
        <v>1556</v>
      </c>
      <c r="D2" s="1656">
        <f ca="1">C40+J29+L46</f>
        <v>366189</v>
      </c>
      <c r="E2" s="1573" t="s">
        <v>1557</v>
      </c>
      <c r="F2" s="1574"/>
      <c r="G2" s="2935"/>
      <c r="H2" s="2924"/>
      <c r="I2" s="2924"/>
      <c r="J2" s="2924"/>
      <c r="K2" s="2925"/>
      <c r="L2" s="2924"/>
      <c r="M2" s="2924"/>
    </row>
    <row r="3" spans="1:37" ht="18" customHeight="1" thickBot="1">
      <c r="A3" s="1575" t="s">
        <v>1558</v>
      </c>
      <c r="B3" s="1576">
        <f ca="1">IF(ISERROR(D2/F43),0,ROUND(D2/F43,0))</f>
        <v>2133</v>
      </c>
      <c r="C3" s="1572" t="s">
        <v>1559</v>
      </c>
      <c r="D3" s="1572"/>
      <c r="E3" s="1573"/>
      <c r="F3" s="1574"/>
      <c r="G3" s="2935"/>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21331</v>
      </c>
      <c r="D5" s="1549" t="s">
        <v>1566</v>
      </c>
      <c r="E5" s="1203"/>
      <c r="F5" s="1204"/>
      <c r="G5" s="1569"/>
      <c r="H5" s="305">
        <v>1</v>
      </c>
      <c r="I5" s="306" t="s">
        <v>1565</v>
      </c>
      <c r="J5" s="1202">
        <f ca="1">J6+J10+J12</f>
        <v>0</v>
      </c>
      <c r="K5" s="1549" t="s">
        <v>1566</v>
      </c>
      <c r="L5" s="1203"/>
      <c r="M5" s="1204"/>
    </row>
    <row r="6" spans="1:37" ht="18" customHeight="1">
      <c r="A6" s="1201" t="s">
        <v>1003</v>
      </c>
      <c r="B6" s="3317" t="s">
        <v>1368</v>
      </c>
      <c r="C6" s="1206">
        <f ca="1">ROUND(F6*F8*F7*(1-F9),0)</f>
        <v>21304</v>
      </c>
      <c r="D6" s="160" t="s">
        <v>2847</v>
      </c>
      <c r="E6" s="308" t="s">
        <v>1370</v>
      </c>
      <c r="F6" s="309">
        <f ca="1">INDIRECT("'数据-取费表'!u"&amp;$G$1)</f>
        <v>0.4</v>
      </c>
      <c r="G6" s="1569"/>
      <c r="H6" s="1201" t="s">
        <v>1003</v>
      </c>
      <c r="I6" s="3317" t="s">
        <v>1368</v>
      </c>
      <c r="J6" s="307">
        <f ca="1">ROUND(M6*M8*M7*(1-M9),0)</f>
        <v>0</v>
      </c>
      <c r="K6" s="1561" t="s">
        <v>2848</v>
      </c>
      <c r="L6" s="308" t="s">
        <v>1370</v>
      </c>
      <c r="M6" s="309">
        <f ca="1">INDIRECT("'数据-取费表'!z"&amp;$G$1)</f>
        <v>0</v>
      </c>
    </row>
    <row r="7" spans="1:37" ht="18" customHeight="1">
      <c r="A7" s="1205"/>
      <c r="B7" s="3318"/>
      <c r="C7" s="1207"/>
      <c r="D7" s="313"/>
      <c r="E7" s="1208" t="s">
        <v>1371</v>
      </c>
      <c r="F7" s="309">
        <f ca="1">IF(INDIRECT("'数据-取费表'!ah"&amp;$G$1)="",INDIRECT("'数据-取费表'!k"&amp;$G$1),INDIRECT("'数据-取费表'!ah"&amp;$G$1))</f>
        <v>171.67</v>
      </c>
      <c r="G7" s="1569"/>
      <c r="H7" s="310"/>
      <c r="I7" s="3318"/>
      <c r="J7" s="312"/>
      <c r="K7" s="313"/>
      <c r="L7" s="308" t="s">
        <v>1371</v>
      </c>
      <c r="M7" s="309">
        <f ca="1">F7</f>
        <v>171.67</v>
      </c>
    </row>
    <row r="8" spans="1:37" ht="18" customHeight="1">
      <c r="A8" s="310"/>
      <c r="B8" s="3318"/>
      <c r="C8" s="312"/>
      <c r="D8" s="313"/>
      <c r="E8" s="308" t="s">
        <v>1372</v>
      </c>
      <c r="F8" s="309">
        <f ca="1">INDIRECT("'数据-取费表'!ai"&amp;$G$1)</f>
        <v>365</v>
      </c>
      <c r="G8" s="1569"/>
      <c r="H8" s="310"/>
      <c r="I8" s="3318"/>
      <c r="J8" s="312"/>
      <c r="K8" s="313"/>
      <c r="L8" s="308" t="s">
        <v>1372</v>
      </c>
      <c r="M8" s="309">
        <f ca="1">INDIRECT("'数据-取费表'!ai"&amp;$G$1)</f>
        <v>365</v>
      </c>
    </row>
    <row r="9" spans="1:37" ht="18" customHeight="1">
      <c r="A9" s="310"/>
      <c r="B9" s="3319"/>
      <c r="C9" s="312"/>
      <c r="D9" s="313"/>
      <c r="E9" s="308" t="s">
        <v>1373</v>
      </c>
      <c r="F9" s="318">
        <f ca="1">INDIRECT("'数据-取费表'!w"&amp;$G$1)</f>
        <v>0.15</v>
      </c>
      <c r="G9" s="1569"/>
      <c r="H9" s="310"/>
      <c r="I9" s="3319"/>
      <c r="J9" s="312"/>
      <c r="K9" s="313"/>
      <c r="L9" s="319" t="s">
        <v>1373</v>
      </c>
      <c r="M9" s="320">
        <f ca="1">INDIRECT("'数据-取费表'!ab"&amp;$G$1)</f>
        <v>0</v>
      </c>
    </row>
    <row r="10" spans="1:37" ht="18" customHeight="1">
      <c r="A10" s="1201" t="s">
        <v>1007</v>
      </c>
      <c r="B10" s="1550" t="s">
        <v>1374</v>
      </c>
      <c r="C10" s="322">
        <f ca="1">ROUND(IF(F10="押一",C6/12*F11,IF(F10="押二",C6/12*2*F11,IF(F10="押三",C6/12*3*F11,C11*F11))),0)</f>
        <v>27</v>
      </c>
      <c r="D10" s="1551" t="s">
        <v>2857</v>
      </c>
      <c r="E10" s="319" t="s">
        <v>1375</v>
      </c>
      <c r="F10" s="1276" t="s">
        <v>3315</v>
      </c>
      <c r="G10" s="1569"/>
      <c r="H10" s="1201" t="s">
        <v>1007</v>
      </c>
      <c r="I10" s="1550" t="s">
        <v>1374</v>
      </c>
      <c r="J10" s="307">
        <f ca="1">ROUND(IF(M10="押一",J6/12*M11,IF(M10="押二",J6/12*2*M11,IF(M10="押三",J6/12*3*M11,J11*M11))),0)</f>
        <v>0</v>
      </c>
      <c r="K10" s="1562" t="s">
        <v>2859</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225169</v>
      </c>
      <c r="D13" s="1241" t="s">
        <v>1380</v>
      </c>
      <c r="E13" s="1241" t="s">
        <v>1381</v>
      </c>
      <c r="F13" s="1242">
        <f ca="1">INDIRECT("'数据-取费表'!y"&amp;$G$1)</f>
        <v>0.95</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171670</v>
      </c>
      <c r="D14" s="1530" t="s">
        <v>1383</v>
      </c>
      <c r="E14" s="1527"/>
      <c r="F14" s="325"/>
      <c r="G14" s="1569"/>
      <c r="H14" s="1113" t="s">
        <v>1003</v>
      </c>
      <c r="I14" s="308" t="s">
        <v>1384</v>
      </c>
      <c r="J14" s="24">
        <f ca="1">C29</f>
        <v>237020</v>
      </c>
      <c r="K14" s="15"/>
      <c r="L14" s="916"/>
      <c r="M14" s="917"/>
    </row>
    <row r="15" spans="1:37" s="1582" customFormat="1" ht="18" customHeight="1" thickBot="1">
      <c r="A15" s="1113" t="s">
        <v>1004</v>
      </c>
      <c r="B15" s="308" t="s">
        <v>1385</v>
      </c>
      <c r="C15" s="24">
        <f ca="1">ROUND(C14*F15,0)</f>
        <v>5150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4361</v>
      </c>
      <c r="K16" s="1247" t="s">
        <v>1390</v>
      </c>
      <c r="L16" s="1248"/>
      <c r="M16" s="1204"/>
    </row>
    <row r="17" spans="1:37" s="1582" customFormat="1" ht="18" customHeight="1">
      <c r="A17" s="1113" t="s">
        <v>1355</v>
      </c>
      <c r="B17" s="308" t="s">
        <v>1391</v>
      </c>
      <c r="C17" s="24">
        <f ca="1">ROUND(F17*(F43+INDIRECT("'数据-取费表'!S"&amp;$G$1)),0)</f>
        <v>25751</v>
      </c>
      <c r="D17" s="308" t="s">
        <v>1392</v>
      </c>
      <c r="E17" s="308" t="s">
        <v>1393</v>
      </c>
      <c r="F17" s="26">
        <f>'数据-取费表'!B35</f>
        <v>150</v>
      </c>
      <c r="G17" s="1581"/>
      <c r="H17" s="1113" t="s">
        <v>1003</v>
      </c>
      <c r="I17" s="308" t="s">
        <v>1394</v>
      </c>
      <c r="J17" s="2534">
        <f ca="1">ROUND(IF(AND(项目基本情况!B11="自然人",项目基本情况!B10="北京市"),J6*M17/(1+'数据-取费表'!C42),J18+J19+J20),0)</f>
        <v>1991</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2575</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205146</v>
      </c>
      <c r="D19" s="136" t="s">
        <v>1401</v>
      </c>
      <c r="E19" s="1545"/>
      <c r="F19" s="26"/>
      <c r="G19" s="1569"/>
      <c r="H19" s="1113" t="s">
        <v>1004</v>
      </c>
      <c r="I19" s="308" t="s">
        <v>1402</v>
      </c>
      <c r="J19" s="24">
        <f ca="1">IF(K19="按租金收入计税",ROUND(J6*M19/(1+'数据-取费表'!C42),0),ROUND(C29*M19*0.7,0))</f>
        <v>1991</v>
      </c>
      <c r="K19" s="1555" t="s">
        <v>1403</v>
      </c>
      <c r="L19" s="308" t="s">
        <v>1387</v>
      </c>
      <c r="M19" s="328">
        <f>IF(K19="按租金收入计税",'数据-取费表'!B51,'数据-取费表'!B50)</f>
        <v>1.2E-2</v>
      </c>
    </row>
    <row r="20" spans="1:37" s="1582" customFormat="1" ht="18" customHeight="1">
      <c r="A20" s="1113" t="s">
        <v>1007</v>
      </c>
      <c r="B20" s="308" t="s">
        <v>1404</v>
      </c>
      <c r="C20" s="24">
        <f ca="1">ROUND(C19*F20,0)</f>
        <v>2051</v>
      </c>
      <c r="D20" s="329" t="s">
        <v>1405</v>
      </c>
      <c r="E20" s="308" t="s">
        <v>1387</v>
      </c>
      <c r="F20" s="328">
        <f>'数据-取费表'!B37</f>
        <v>0.01</v>
      </c>
      <c r="G20" s="1581"/>
      <c r="H20" s="1113" t="s">
        <v>1354</v>
      </c>
      <c r="I20" s="160" t="s">
        <v>1406</v>
      </c>
      <c r="J20" s="25">
        <f ca="1">ROUND(M20*M21,0)</f>
        <v>0</v>
      </c>
      <c r="K20" s="330" t="s">
        <v>1407</v>
      </c>
      <c r="L20" s="308" t="s">
        <v>1408</v>
      </c>
      <c r="M20" s="331">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0.01</v>
      </c>
      <c r="G21" s="1581"/>
      <c r="H21" s="332"/>
      <c r="I21" s="317"/>
      <c r="J21" s="29"/>
      <c r="K21" s="333"/>
      <c r="L21" s="308" t="s">
        <v>1412</v>
      </c>
      <c r="M21" s="309">
        <f ca="1">INDIRECT("'数据-取费表'!r"&amp;$G$1)</f>
        <v>171</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5"/>
      <c r="F22" s="26"/>
      <c r="G22" s="1569"/>
      <c r="H22" s="1113" t="s">
        <v>1007</v>
      </c>
      <c r="I22" s="308" t="s">
        <v>1414</v>
      </c>
      <c r="J22" s="24">
        <f ca="1">ROUND(J14*M22,0)</f>
        <v>2370</v>
      </c>
      <c r="K22" s="1529" t="s">
        <v>1415</v>
      </c>
      <c r="L22" s="308" t="s">
        <v>1387</v>
      </c>
      <c r="M22" s="334">
        <f ca="1">INDIRECT("'数据-取费表'!Ak"&amp;$G$1)</f>
        <v>0.01</v>
      </c>
    </row>
    <row r="23" spans="1:37" s="1582" customFormat="1" ht="18" customHeight="1">
      <c r="A23" s="1113" t="s">
        <v>1002</v>
      </c>
      <c r="B23" s="308" t="s">
        <v>1416</v>
      </c>
      <c r="C23" s="24">
        <f ca="1">IF('数据-取费表'!B22&lt;=1,ROUND(C19*F24*F23/2,0)+ROUND(C20*F24*F23/2,0),ROUND(C19*(POWER((1+F24),F23/2)-1),0)+ROUND(C20*(POWER((1+F24),F23/2)-1),0))</f>
        <v>4507</v>
      </c>
      <c r="D23" s="335" t="str">
        <f>IF(F23&lt;=1,"(建造成本+管理费用)×利率×(建设周期÷2)","(建造成本+管理费用)×((1+利率)^(建设周期÷2)-1)")</f>
        <v>(建造成本+管理费用)×利率×(建设周期÷2)</v>
      </c>
      <c r="E23" s="308" t="s">
        <v>1417</v>
      </c>
      <c r="F23" s="331">
        <f>'数据-取费表'!B20</f>
        <v>1</v>
      </c>
      <c r="G23" s="1581"/>
      <c r="H23" s="1113" t="s">
        <v>1043</v>
      </c>
      <c r="I23" s="308" t="s">
        <v>1418</v>
      </c>
      <c r="J23" s="24">
        <f ca="1">ROUND(J13*M23,0)</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2.0000000000000001E-4</v>
      </c>
      <c r="D24" s="335" t="str">
        <f>IF(F23&lt;=1,"销售费用×利率×(建设周期÷2)","销售费用×((1+利率)^(建设周期÷2)-1)")</f>
        <v>销售费用×利率×(建设周期÷2)</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-4361</v>
      </c>
      <c r="K25" s="1255" t="s">
        <v>1429</v>
      </c>
      <c r="L25" s="1256"/>
      <c r="M25" s="1257"/>
    </row>
    <row r="26" spans="1:37" ht="18" customHeight="1">
      <c r="A26" s="1113" t="s">
        <v>1002</v>
      </c>
      <c r="B26" s="308" t="s">
        <v>1430</v>
      </c>
      <c r="C26" s="24">
        <f ca="1">ROUND((C19+C20)*F26,0)</f>
        <v>10360</v>
      </c>
      <c r="D26" s="329" t="s">
        <v>1431</v>
      </c>
      <c r="E26" s="319" t="s">
        <v>1432</v>
      </c>
      <c r="F26" s="318">
        <f ca="1">INDIRECT("'数据-取费表'!q"&amp;$G$1)</f>
        <v>0.05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5.0000000000000001E-4</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237020</v>
      </c>
      <c r="D29" s="1252"/>
      <c r="E29" s="1250"/>
      <c r="F29" s="1253"/>
      <c r="G29" s="1581"/>
      <c r="H29" s="340" t="s">
        <v>1001</v>
      </c>
      <c r="I29" s="341" t="s">
        <v>1444</v>
      </c>
      <c r="J29" s="342">
        <f ca="1">ROUND(J26/(1+F40)^F41,0)</f>
        <v>0</v>
      </c>
      <c r="K29" s="343" t="s">
        <v>1445</v>
      </c>
      <c r="L29" s="344"/>
      <c r="M29" s="345">
        <f ca="1">INDIRECT("'数据-取费表'!k"&amp;$G$1)</f>
        <v>171.67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6472</v>
      </c>
      <c r="D30" s="1247" t="s">
        <v>1390</v>
      </c>
      <c r="E30" s="1248"/>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3551</v>
      </c>
      <c r="D31" s="1530" t="s">
        <v>1395</v>
      </c>
      <c r="E31" s="1529" t="s">
        <v>1446</v>
      </c>
      <c r="F31" s="2533" t="str">
        <f>IF(项目基本情况!B11="企业","——",IF('数据-取费表'!B10="住宅",IF(F6*F7*F8/12/(1+'数据-取费表'!F30)&gt;100000,4%,2.5%),IF(F6*F7*F8/12/(1+'数据-取费表'!F30)&gt;100000,12%,7%)))</f>
        <v>——</v>
      </c>
      <c r="G31" s="1569"/>
      <c r="H31" s="3039" t="s">
        <v>3057</v>
      </c>
      <c r="I31" s="1583"/>
      <c r="J31" s="1584"/>
      <c r="K31" s="2701"/>
      <c r="L31" s="2927"/>
      <c r="M31" s="2928"/>
    </row>
    <row r="32" spans="1:37" ht="18" customHeight="1">
      <c r="A32" s="1113" t="s">
        <v>1002</v>
      </c>
      <c r="B32" s="308" t="s">
        <v>1398</v>
      </c>
      <c r="C32" s="24">
        <f ca="1">IF(项目基本情况!B11="自然人","——",ROUND(C6*F32/(1+'数据-取费表'!C42),0))</f>
        <v>1116</v>
      </c>
      <c r="D32" s="1529"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2435</v>
      </c>
      <c r="D33" s="1555" t="s">
        <v>3313</v>
      </c>
      <c r="E33" s="308" t="s">
        <v>1387</v>
      </c>
      <c r="F33" s="328">
        <f>IF(D33="按票据","——",IF(D33="按租金收入计税",'数据-取费表'!B51,'数据-取费表'!B50))</f>
        <v>0.12</v>
      </c>
      <c r="G33" s="1569"/>
      <c r="H33" s="2929"/>
      <c r="I33" s="1583"/>
      <c r="J33" s="1584"/>
      <c r="K33" s="2930"/>
      <c r="L33" s="2929"/>
      <c r="M33" s="2929"/>
    </row>
    <row r="34" spans="1:18" ht="18" customHeight="1">
      <c r="A34" s="1201" t="s">
        <v>1354</v>
      </c>
      <c r="B34" s="160" t="s">
        <v>1406</v>
      </c>
      <c r="C34" s="25">
        <f ca="1">IF(项目基本情况!B11="自然人","——",ROUND(F34*F35,))</f>
        <v>0</v>
      </c>
      <c r="D34" s="330" t="s">
        <v>1407</v>
      </c>
      <c r="E34" s="308" t="s">
        <v>1408</v>
      </c>
      <c r="F34" s="331">
        <f>'数据-取费表'!B52</f>
        <v>0</v>
      </c>
      <c r="G34" s="1569"/>
      <c r="H34" s="2926"/>
      <c r="I34" s="1583"/>
      <c r="J34" s="1584"/>
      <c r="K34" s="2931"/>
      <c r="L34" s="2932"/>
      <c r="M34" s="2932"/>
    </row>
    <row r="35" spans="1:18" ht="18" customHeight="1">
      <c r="A35" s="1263"/>
      <c r="B35" s="1261"/>
      <c r="C35" s="29"/>
      <c r="D35" s="333"/>
      <c r="E35" s="308" t="s">
        <v>1412</v>
      </c>
      <c r="F35" s="309">
        <f ca="1">INDIRECT("'数据-取费表'!r"&amp;$G$1)</f>
        <v>171</v>
      </c>
      <c r="G35" s="1569"/>
      <c r="H35" s="2926"/>
      <c r="I35" s="1583"/>
      <c r="J35" s="1584"/>
      <c r="K35" s="2930"/>
      <c r="L35" s="2929"/>
      <c r="M35" s="2929"/>
    </row>
    <row r="36" spans="1:18" ht="18" customHeight="1">
      <c r="A36" s="1262" t="s">
        <v>1007</v>
      </c>
      <c r="B36" s="308" t="s">
        <v>1414</v>
      </c>
      <c r="C36" s="24">
        <f ca="1">ROUND(C29*F36,0)</f>
        <v>2370</v>
      </c>
      <c r="D36" s="1529" t="s">
        <v>1447</v>
      </c>
      <c r="E36" s="308" t="s">
        <v>1387</v>
      </c>
      <c r="F36" s="334">
        <f ca="1">INDIRECT("'数据-取费表'!Ak"&amp;$G$1)</f>
        <v>0.01</v>
      </c>
      <c r="G36" s="1569"/>
      <c r="H36" s="2929"/>
      <c r="I36" s="1583"/>
      <c r="J36" s="1584"/>
      <c r="K36" s="2770"/>
      <c r="L36" s="2929"/>
      <c r="M36" s="2929"/>
    </row>
    <row r="37" spans="1:18" ht="18" customHeight="1">
      <c r="A37" s="1113" t="s">
        <v>1043</v>
      </c>
      <c r="B37" s="308" t="s">
        <v>1418</v>
      </c>
      <c r="C37" s="24">
        <f ca="1">ROUND(C13*F37,0)</f>
        <v>338</v>
      </c>
      <c r="D37" s="1529" t="s">
        <v>1419</v>
      </c>
      <c r="E37" s="308" t="s">
        <v>1420</v>
      </c>
      <c r="F37" s="336">
        <f ca="1">INDIRECT("'数据-取费表'!Al"&amp;$G$1)</f>
        <v>1.5E-3</v>
      </c>
      <c r="G37" s="1569"/>
      <c r="H37" s="2929"/>
      <c r="I37" s="1583"/>
      <c r="J37" s="1584"/>
      <c r="K37" s="2770"/>
      <c r="L37" s="2929"/>
      <c r="M37" s="2929"/>
    </row>
    <row r="38" spans="1:18" ht="18" customHeight="1" thickBot="1">
      <c r="A38" s="1249" t="s">
        <v>1358</v>
      </c>
      <c r="B38" s="1250" t="s">
        <v>1404</v>
      </c>
      <c r="C38" s="1251">
        <f ca="1">ROUND(C5*F38,1)</f>
        <v>213.3</v>
      </c>
      <c r="D38" s="1252" t="s">
        <v>1424</v>
      </c>
      <c r="E38" s="1250" t="s">
        <v>1420</v>
      </c>
      <c r="F38" s="1246">
        <f ca="1">INDIRECT("'数据-取费表'!Am"&amp;$G$1)</f>
        <v>0.01</v>
      </c>
      <c r="G38" s="1569"/>
      <c r="H38" s="2929"/>
      <c r="I38" s="1583"/>
      <c r="J38" s="1584"/>
      <c r="K38" s="2933"/>
      <c r="L38" s="2929"/>
      <c r="M38" s="2929"/>
    </row>
    <row r="39" spans="1:18" ht="24.6" customHeight="1" thickTop="1">
      <c r="A39" s="1239" t="s">
        <v>999</v>
      </c>
      <c r="B39" s="1254" t="s">
        <v>1448</v>
      </c>
      <c r="C39" s="316">
        <f ca="1">C5-C30</f>
        <v>14859</v>
      </c>
      <c r="D39" s="1255" t="s">
        <v>1449</v>
      </c>
      <c r="E39" s="1256"/>
      <c r="F39" s="1257"/>
      <c r="G39" s="1569"/>
      <c r="H39" s="2929"/>
      <c r="I39" s="1583"/>
      <c r="J39" s="1584"/>
      <c r="K39" s="2933"/>
      <c r="L39" s="2929"/>
      <c r="M39" s="2929"/>
    </row>
    <row r="40" spans="1:18" ht="18" customHeight="1">
      <c r="A40" s="305" t="s">
        <v>1000</v>
      </c>
      <c r="B40" s="306" t="s">
        <v>1450</v>
      </c>
      <c r="C40" s="307">
        <f ca="1">ROUND(C39*(1-((1+F42)/(1+F40))^F41)/(F40-F42),0)</f>
        <v>364374</v>
      </c>
      <c r="D40" s="330" t="s">
        <v>1434</v>
      </c>
      <c r="E40" s="308" t="s">
        <v>1435</v>
      </c>
      <c r="F40" s="318">
        <f ca="1">INDIRECT("'数据-取费表'!I"&amp;$G$1)</f>
        <v>0.05</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45.9</v>
      </c>
      <c r="G41" s="1569"/>
      <c r="H41" s="1353"/>
      <c r="I41" s="1583"/>
      <c r="J41" s="1584"/>
      <c r="K41" s="2770"/>
      <c r="L41" s="1353"/>
      <c r="M41" s="1353"/>
    </row>
    <row r="42" spans="1:18" ht="18" customHeight="1">
      <c r="A42" s="314"/>
      <c r="B42" s="315"/>
      <c r="C42" s="316"/>
      <c r="D42" s="333"/>
      <c r="E42" s="308" t="s">
        <v>1442</v>
      </c>
      <c r="F42" s="318">
        <f ca="1">INDIRECT("'数据-取费表'!v"&amp;$G$1)</f>
        <v>0.02</v>
      </c>
      <c r="G42" s="1569"/>
      <c r="H42" s="1353"/>
      <c r="I42" s="1583"/>
      <c r="J42" s="1584"/>
      <c r="K42" s="2770"/>
      <c r="L42" s="1353"/>
      <c r="M42" s="1353"/>
    </row>
    <row r="43" spans="1:18" ht="18" customHeight="1" thickBot="1">
      <c r="A43" s="340" t="s">
        <v>1001</v>
      </c>
      <c r="B43" s="341" t="s">
        <v>1452</v>
      </c>
      <c r="C43" s="342">
        <f ca="1">ROUND(C40/F43,0)</f>
        <v>2123</v>
      </c>
      <c r="D43" s="343" t="s">
        <v>1453</v>
      </c>
      <c r="E43" s="344" t="s">
        <v>1454</v>
      </c>
      <c r="F43" s="345">
        <f ca="1">INDIRECT("'数据-取费表'!k"&amp;$G$1)</f>
        <v>171.67</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f ca="1">C68-C40</f>
        <v>-919014</v>
      </c>
      <c r="D45" s="1658" t="s">
        <v>1569</v>
      </c>
      <c r="E45" s="1585"/>
      <c r="F45" s="1585"/>
      <c r="O45" s="1588" t="s">
        <v>1484</v>
      </c>
      <c r="P45" s="1646"/>
      <c r="Q45" s="1646"/>
      <c r="R45" s="1646"/>
    </row>
    <row r="46" spans="1:18" s="1569" customFormat="1" ht="13.5" thickBot="1">
      <c r="A46" s="1589" t="s">
        <v>1485</v>
      </c>
      <c r="C46" s="1590">
        <f ca="1">ROUND(C45/10000,0)</f>
        <v>-92</v>
      </c>
      <c r="D46" s="1591" t="str">
        <f>C2</f>
        <v>万元</v>
      </c>
      <c r="I46" s="1592" t="s">
        <v>1486</v>
      </c>
      <c r="J46" s="1593"/>
      <c r="K46" s="1594"/>
      <c r="L46" s="1595">
        <f ca="1">IF(M47="住宅",0,IF(L48&gt;J51,L60,J60))</f>
        <v>1815</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t="s">
        <v>3316</v>
      </c>
      <c r="K47" s="1601" t="s">
        <v>1492</v>
      </c>
      <c r="L47" s="1602">
        <f ca="1">INDIRECT("'数据-取费表'!d"&amp;$G$1)</f>
        <v>50</v>
      </c>
      <c r="M47" s="1565" t="str">
        <f>IF(ISNUMBER(FIND("住宅",C1)),"住宅","非住宅")</f>
        <v>非住宅</v>
      </c>
      <c r="O47" s="1603" t="s">
        <v>1008</v>
      </c>
      <c r="P47" s="1604" t="s">
        <v>1493</v>
      </c>
      <c r="Q47" s="1605">
        <f ca="1">C40+J29</f>
        <v>364374</v>
      </c>
      <c r="R47" s="1605" t="s">
        <v>1494</v>
      </c>
    </row>
    <row r="48" spans="1:18" s="1569" customFormat="1" ht="28.5" thickBot="1">
      <c r="A48" s="1270" t="s">
        <v>1103</v>
      </c>
      <c r="B48" s="306" t="s">
        <v>1366</v>
      </c>
      <c r="C48" s="1544">
        <f ca="1">C49+C53+C55</f>
        <v>0</v>
      </c>
      <c r="D48" s="1272"/>
      <c r="E48" s="1273"/>
      <c r="F48" s="1093"/>
      <c r="G48" s="731"/>
      <c r="H48" s="732"/>
      <c r="I48" s="1606" t="s">
        <v>1495</v>
      </c>
      <c r="J48" s="1607" t="s">
        <v>3321</v>
      </c>
      <c r="K48" s="1608" t="s">
        <v>1496</v>
      </c>
      <c r="L48" s="1609">
        <f ca="1">INDIRECT("'数据-取费表'!f"&amp;$G$1)</f>
        <v>45.9</v>
      </c>
      <c r="O48" s="1603" t="s">
        <v>1009</v>
      </c>
      <c r="P48" s="1604" t="s">
        <v>1497</v>
      </c>
      <c r="Q48" s="1605">
        <f ca="1">J60</f>
        <v>1815</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v>2018</v>
      </c>
      <c r="K49" s="1608" t="s">
        <v>1500</v>
      </c>
      <c r="L49" s="1612"/>
      <c r="O49" s="1613" t="s">
        <v>1010</v>
      </c>
      <c r="P49" s="1604" t="s">
        <v>1501</v>
      </c>
      <c r="Q49" s="1605">
        <f ca="1">C29</f>
        <v>237020</v>
      </c>
      <c r="R49" s="1605" t="s">
        <v>1494</v>
      </c>
    </row>
    <row r="50" spans="1:18" s="1569" customFormat="1" ht="13.5" thickBot="1">
      <c r="A50" s="1107"/>
      <c r="B50" s="1110"/>
      <c r="C50" s="1111"/>
      <c r="D50" s="1084"/>
      <c r="E50" s="1187" t="s">
        <v>1371</v>
      </c>
      <c r="F50" s="1188">
        <f ca="1">F7</f>
        <v>171.67</v>
      </c>
      <c r="H50" s="732"/>
      <c r="I50" s="1606" t="s">
        <v>1502</v>
      </c>
      <c r="J50" s="1614">
        <f>SUMPRODUCT((I63:I65=J47)*(J62:L62=J48)*(J63:L65))</f>
        <v>60</v>
      </c>
      <c r="K50" s="1608" t="s">
        <v>1503</v>
      </c>
      <c r="L50" s="1612"/>
      <c r="M50" s="1615"/>
      <c r="O50" s="1613" t="s">
        <v>1011</v>
      </c>
      <c r="P50" s="1604" t="s">
        <v>1504</v>
      </c>
      <c r="Q50" s="1616">
        <f ca="1">J58</f>
        <v>0.4</v>
      </c>
      <c r="R50" s="1605"/>
    </row>
    <row r="51" spans="1:18" s="1569" customFormat="1" ht="13.5" thickBot="1">
      <c r="A51" s="1108"/>
      <c r="B51" s="1110"/>
      <c r="C51" s="1111"/>
      <c r="D51" s="1084"/>
      <c r="E51" s="1112" t="s">
        <v>1372</v>
      </c>
      <c r="F51" s="309">
        <f ca="1">F8</f>
        <v>365</v>
      </c>
      <c r="I51" s="1617" t="s">
        <v>1505</v>
      </c>
      <c r="J51" s="1618">
        <f>IF(J49="",J50,J49+J50-YEAR('数据-取费表'!B2))</f>
        <v>57</v>
      </c>
      <c r="K51" s="1619" t="s">
        <v>1506</v>
      </c>
      <c r="L51" s="1620">
        <f ca="1">ROUND(-PV(INDIRECT("'数据-取费表'!h"&amp;$G$1),J51,(C39-C13*C76),0),0)</f>
        <v>-87381</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45.9</v>
      </c>
      <c r="R52" s="1605" t="s">
        <v>1511</v>
      </c>
    </row>
    <row r="53" spans="1:18" s="1569" customFormat="1" ht="30.75" customHeight="1" thickBot="1">
      <c r="A53" s="1271" t="s">
        <v>1105</v>
      </c>
      <c r="B53" s="329" t="s">
        <v>1374</v>
      </c>
      <c r="C53" s="322">
        <f ca="1">ROUND(IF(F53="押一",C49/12*F11,IF(F53="押二",C49/12*2*F11,IF(F53="押三",C49/12*3*F11,C54*F11))),0)</f>
        <v>0</v>
      </c>
      <c r="D53" s="1551" t="s">
        <v>2860</v>
      </c>
      <c r="E53" s="319" t="s">
        <v>1375</v>
      </c>
      <c r="F53" s="1276"/>
      <c r="I53" s="1624" t="s">
        <v>1512</v>
      </c>
      <c r="J53" s="2386">
        <f ca="1">IF(M47="住宅",IF(D1="——",MAX(J51,L48),MAX(J51,L48-'数据-取费表'!B24)),IF(D1="——",MIN(J51,L48),MIN(J51,L48-'数据-取费表'!B24)))</f>
        <v>45.9</v>
      </c>
      <c r="K53" s="3315" t="s">
        <v>1513</v>
      </c>
      <c r="L53" s="3316"/>
      <c r="O53" s="1603" t="s">
        <v>1014</v>
      </c>
      <c r="P53" s="1604" t="s">
        <v>1514</v>
      </c>
      <c r="Q53" s="1605">
        <f ca="1">Q47+Q48</f>
        <v>366189</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f ca="1">ROUND(IF(J47="钢混",J57/J50,1-(1-2%)*(J50-J57)/J50),3)</f>
        <v>0.185</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225169</v>
      </c>
      <c r="D56" s="1632"/>
      <c r="E56" s="1633"/>
      <c r="F56" s="1625"/>
      <c r="I56" s="1634" t="s">
        <v>1519</v>
      </c>
      <c r="J56" s="1635" t="s">
        <v>3319</v>
      </c>
      <c r="K56" s="1606" t="s">
        <v>1520</v>
      </c>
      <c r="L56" s="1609" t="str">
        <f ca="1">IF(L48&lt;J51,"——",L48-J51)</f>
        <v>——</v>
      </c>
      <c r="O56" s="1603" t="s">
        <v>1008</v>
      </c>
      <c r="P56" s="1604" t="s">
        <v>1493</v>
      </c>
      <c r="Q56" s="1605">
        <f ca="1">C40+J29</f>
        <v>364374</v>
      </c>
      <c r="R56" s="1605" t="s">
        <v>1494</v>
      </c>
    </row>
    <row r="57" spans="1:18" s="1569" customFormat="1" ht="24.75" thickBot="1">
      <c r="A57" s="1636"/>
      <c r="B57" s="1081" t="s">
        <v>1443</v>
      </c>
      <c r="C57" s="244">
        <f ca="1">C29</f>
        <v>237020</v>
      </c>
      <c r="D57" s="1637"/>
      <c r="E57" s="1638"/>
      <c r="F57" s="1639"/>
      <c r="I57" s="1640" t="s">
        <v>1521</v>
      </c>
      <c r="J57" s="1641">
        <f ca="1">IF(OR(M47="住宅",J51&lt;L48,J56="是"),"——",J51-L48)</f>
        <v>11.100000000000001</v>
      </c>
      <c r="K57" s="1606" t="s">
        <v>1570</v>
      </c>
      <c r="L57" s="1609" t="str">
        <f ca="1">IF(L48&lt;J51,"——",IF(L55="比较法",L49,IF(L55="基准地价",L50,L51)))</f>
        <v>——</v>
      </c>
      <c r="O57" s="1603" t="s">
        <v>1009</v>
      </c>
      <c r="P57" s="1604" t="s">
        <v>1571</v>
      </c>
      <c r="Q57" s="1605">
        <f ca="1">L60</f>
        <v>0</v>
      </c>
      <c r="R57" s="1605" t="s">
        <v>1572</v>
      </c>
    </row>
    <row r="58" spans="1:18" s="1569" customFormat="1" ht="24.75" thickBot="1">
      <c r="A58" s="321" t="s">
        <v>998</v>
      </c>
      <c r="B58" s="1089" t="s">
        <v>1389</v>
      </c>
      <c r="C58" s="322">
        <f ca="1">ROUND(C59+C64+C65+C66,0)</f>
        <v>22618</v>
      </c>
      <c r="D58" s="1091" t="s">
        <v>1390</v>
      </c>
      <c r="E58" s="1092"/>
      <c r="F58" s="1093"/>
      <c r="I58" s="1640" t="s">
        <v>1525</v>
      </c>
      <c r="J58" s="1642">
        <f ca="1">IF(J55&lt;0.4,0.4,J55)</f>
        <v>0.4</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19910</v>
      </c>
      <c r="D59" s="1094" t="s">
        <v>1395</v>
      </c>
      <c r="E59" s="1095" t="s">
        <v>1396</v>
      </c>
      <c r="F59" s="2533" t="str">
        <f>IF(项目基本情况!B11="企业","——",IF('数据-取费表'!B10="住宅",IF(F49*F50*F51/12/(1+'数据-取费表'!F30)&gt;100000,4%,2.5%),IF(F49*F50*F51/12/(1+'数据-取费表'!F30)&gt;100000,12%,7%)))</f>
        <v>——</v>
      </c>
      <c r="I59" s="1640" t="s">
        <v>1528</v>
      </c>
      <c r="J59" s="1641">
        <f ca="1">IF(OR(M47="住宅",J51&lt;L48,J56="是"),"——",ROUND(C29*J58,0))</f>
        <v>94808</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f ca="1">IF(OR(M47="住宅",J51&lt;L48,J56="是"),"0",ROUND(J59/(1+J52)^J53,0))</f>
        <v>1815</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19910</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0</v>
      </c>
      <c r="I62" s="1647" t="s">
        <v>1535</v>
      </c>
      <c r="J62" s="1648" t="s">
        <v>1536</v>
      </c>
      <c r="K62" s="1648" t="s">
        <v>1537</v>
      </c>
      <c r="L62" s="1648" t="s">
        <v>1538</v>
      </c>
      <c r="M62" s="1649" t="s">
        <v>1539</v>
      </c>
      <c r="O62" s="1603" t="s">
        <v>1014</v>
      </c>
      <c r="P62" s="1604" t="s">
        <v>1540</v>
      </c>
      <c r="Q62" s="1605">
        <f ca="1">Q56+Q57</f>
        <v>364374</v>
      </c>
      <c r="R62" s="1605" t="s">
        <v>1015</v>
      </c>
    </row>
    <row r="63" spans="1:18" s="1569" customFormat="1" ht="13.5" thickBot="1">
      <c r="A63" s="332"/>
      <c r="B63" s="1087"/>
      <c r="C63" s="29"/>
      <c r="D63" s="1097"/>
      <c r="E63" s="1081" t="s">
        <v>1464</v>
      </c>
      <c r="F63" s="309">
        <f t="shared" ca="1" si="0"/>
        <v>171</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2370</v>
      </c>
      <c r="D64" s="1095" t="s">
        <v>1467</v>
      </c>
      <c r="E64" s="1081" t="s">
        <v>1459</v>
      </c>
      <c r="F64" s="334">
        <f t="shared" ca="1" si="0"/>
        <v>0.01</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338</v>
      </c>
      <c r="D65" s="1095" t="s">
        <v>1419</v>
      </c>
      <c r="E65" s="1081" t="s">
        <v>1420</v>
      </c>
      <c r="F65" s="336">
        <f t="shared" ca="1" si="0"/>
        <v>1.5E-3</v>
      </c>
      <c r="I65" s="1647" t="s">
        <v>1544</v>
      </c>
      <c r="J65" s="1648">
        <v>40</v>
      </c>
      <c r="K65" s="1648">
        <v>30</v>
      </c>
      <c r="L65" s="1648">
        <v>50</v>
      </c>
      <c r="M65" s="1650">
        <v>0.02</v>
      </c>
      <c r="O65" s="1603" t="s">
        <v>1008</v>
      </c>
      <c r="P65" s="1604" t="s">
        <v>1545</v>
      </c>
      <c r="Q65" s="1605">
        <f ca="1">C40+J29</f>
        <v>364374</v>
      </c>
      <c r="R65" s="1605" t="s">
        <v>1494</v>
      </c>
    </row>
    <row r="66" spans="1:18" s="1569" customFormat="1" ht="16.5" thickBot="1">
      <c r="A66" s="1113" t="s">
        <v>1469</v>
      </c>
      <c r="B66" s="1081" t="s">
        <v>1404</v>
      </c>
      <c r="C66" s="24">
        <f ca="1">ROUND(C48*F66,0)</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-22618</v>
      </c>
      <c r="D67" s="1094" t="s">
        <v>1429</v>
      </c>
      <c r="E67" s="1099"/>
      <c r="F67" s="1100"/>
      <c r="O67" s="1613" t="s">
        <v>1010</v>
      </c>
      <c r="P67" s="1604" t="s">
        <v>1527</v>
      </c>
      <c r="Q67" s="1651">
        <f ca="1">L51</f>
        <v>-87381</v>
      </c>
      <c r="R67" s="1605" t="s">
        <v>1547</v>
      </c>
    </row>
    <row r="68" spans="1:18" s="1569" customFormat="1" ht="16.5" thickBot="1">
      <c r="A68" s="1078" t="s">
        <v>1000</v>
      </c>
      <c r="B68" s="1079" t="s">
        <v>1450</v>
      </c>
      <c r="C68" s="307">
        <f ca="1">ROUND(C67*(1-((1+F70)/(1+F68))^F69)/(F68-F70),0)</f>
        <v>-554640</v>
      </c>
      <c r="D68" s="1096" t="s">
        <v>1434</v>
      </c>
      <c r="E68" s="1081" t="s">
        <v>1435</v>
      </c>
      <c r="F68" s="318">
        <f ca="1">F40</f>
        <v>0.05</v>
      </c>
      <c r="O68" s="1613" t="s">
        <v>1011</v>
      </c>
      <c r="P68" s="1652" t="s">
        <v>1548</v>
      </c>
      <c r="Q68" s="1605">
        <f ca="1">ROUND(Q69-Q70*Q71,0)</f>
        <v>-4280</v>
      </c>
      <c r="R68" s="1605" t="s">
        <v>1019</v>
      </c>
    </row>
    <row r="69" spans="1:18" s="1569" customFormat="1" ht="13.5" thickBot="1">
      <c r="A69" s="1082"/>
      <c r="B69" s="1083"/>
      <c r="C69" s="312"/>
      <c r="D69" s="1101" t="s">
        <v>1438</v>
      </c>
      <c r="E69" s="1081" t="s">
        <v>1439</v>
      </c>
      <c r="F69" s="339">
        <f ca="1">F41</f>
        <v>45.9</v>
      </c>
      <c r="O69" s="1613" t="s">
        <v>1016</v>
      </c>
      <c r="P69" s="1652" t="s">
        <v>1549</v>
      </c>
      <c r="Q69" s="1605">
        <f ca="1">C39</f>
        <v>14859</v>
      </c>
      <c r="R69" s="1605" t="s">
        <v>1494</v>
      </c>
    </row>
    <row r="70" spans="1:18" s="1569" customFormat="1" ht="13.5" thickBot="1">
      <c r="A70" s="1085"/>
      <c r="B70" s="1086"/>
      <c r="C70" s="316"/>
      <c r="D70" s="1097"/>
      <c r="E70" s="1081" t="s">
        <v>1442</v>
      </c>
      <c r="F70" s="1185">
        <f ca="1">F42</f>
        <v>0.02</v>
      </c>
      <c r="O70" s="1613" t="s">
        <v>1017</v>
      </c>
      <c r="P70" s="1652" t="s">
        <v>1550</v>
      </c>
      <c r="Q70" s="1605">
        <f ca="1">C13</f>
        <v>225169</v>
      </c>
      <c r="R70" s="1605" t="s">
        <v>1494</v>
      </c>
    </row>
    <row r="71" spans="1:18" s="1569" customFormat="1" ht="13.5" thickBot="1">
      <c r="A71" s="1102" t="s">
        <v>1001</v>
      </c>
      <c r="B71" s="1103" t="s">
        <v>1452</v>
      </c>
      <c r="C71" s="342">
        <f ca="1">ROUND(C68/F71,0)</f>
        <v>-3231</v>
      </c>
      <c r="D71" s="1104" t="s">
        <v>1453</v>
      </c>
      <c r="E71" s="1105" t="s">
        <v>1454</v>
      </c>
      <c r="F71" s="345">
        <f ca="1">F43</f>
        <v>171.67</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19139</v>
      </c>
      <c r="D75" s="1569"/>
      <c r="E75" s="1569"/>
      <c r="F75" s="1569"/>
      <c r="K75" s="1587"/>
      <c r="L75" s="1569"/>
      <c r="O75" s="1603" t="s">
        <v>1014</v>
      </c>
      <c r="P75" s="1604" t="s">
        <v>1514</v>
      </c>
      <c r="Q75" s="1605">
        <f ca="1">Q65+Q66</f>
        <v>364374</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-0.28800000000000003</v>
      </c>
    </row>
    <row r="80" spans="1:18">
      <c r="B80" s="346" t="s">
        <v>1476</v>
      </c>
      <c r="C80" s="280">
        <f ca="1">ROUND(C75/C39,3)</f>
        <v>1.288</v>
      </c>
    </row>
    <row r="81" spans="2:3">
      <c r="B81" s="276" t="s">
        <v>1477</v>
      </c>
      <c r="C81" s="244"/>
    </row>
    <row r="82" spans="2:3">
      <c r="B82" s="279" t="s">
        <v>1478</v>
      </c>
      <c r="C82" s="281">
        <f ca="1">1-C83</f>
        <v>0.38200000000000001</v>
      </c>
    </row>
    <row r="83" spans="2:3">
      <c r="B83" s="279" t="s">
        <v>1479</v>
      </c>
      <c r="C83" s="280">
        <f ca="1">ROUND(C13/C40,3)</f>
        <v>0.61799999999999999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8" sqref="J38:J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3312</v>
      </c>
      <c r="D1" s="1547" t="s">
        <v>70</v>
      </c>
      <c r="E1" s="1548" t="s">
        <v>1352</v>
      </c>
      <c r="F1" s="1193">
        <f ca="1">J53</f>
        <v>45.9</v>
      </c>
      <c r="G1" s="1563">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f ca="1">ROUND(D2/10000,0)</f>
        <v>115</v>
      </c>
      <c r="C2" s="1572" t="s">
        <v>1556</v>
      </c>
      <c r="D2" s="1656">
        <f ca="1">C40+J29+L46</f>
        <v>1147912</v>
      </c>
      <c r="E2" s="1573" t="s">
        <v>1557</v>
      </c>
      <c r="F2" s="1574"/>
      <c r="G2" s="2935"/>
      <c r="H2" s="2924"/>
      <c r="I2" s="2924"/>
      <c r="J2" s="2924"/>
      <c r="K2" s="2925"/>
      <c r="L2" s="2924"/>
      <c r="M2" s="2924"/>
    </row>
    <row r="3" spans="1:37" ht="18" customHeight="1" thickBot="1">
      <c r="A3" s="1575" t="s">
        <v>1558</v>
      </c>
      <c r="B3" s="1576">
        <f ca="1">IF(ISERROR(D2/F43),0,ROUND(D2/F43,0))</f>
        <v>2100</v>
      </c>
      <c r="C3" s="1572" t="s">
        <v>1559</v>
      </c>
      <c r="D3" s="1572"/>
      <c r="E3" s="1573"/>
      <c r="F3" s="1574"/>
      <c r="G3" s="2935"/>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67932</v>
      </c>
      <c r="D5" s="1549" t="s">
        <v>1566</v>
      </c>
      <c r="E5" s="1203"/>
      <c r="F5" s="1204"/>
      <c r="G5" s="1569"/>
      <c r="H5" s="305">
        <v>1</v>
      </c>
      <c r="I5" s="306" t="s">
        <v>1565</v>
      </c>
      <c r="J5" s="1202">
        <f ca="1">J6+J10+J12</f>
        <v>0</v>
      </c>
      <c r="K5" s="1549" t="s">
        <v>1566</v>
      </c>
      <c r="L5" s="1203"/>
      <c r="M5" s="1204"/>
    </row>
    <row r="6" spans="1:37" ht="18" customHeight="1">
      <c r="A6" s="1201" t="s">
        <v>1003</v>
      </c>
      <c r="B6" s="3317" t="s">
        <v>1368</v>
      </c>
      <c r="C6" s="1206">
        <f ca="1">ROUND(F6*F8*F7*(1-F9),0)</f>
        <v>67847</v>
      </c>
      <c r="D6" s="160" t="s">
        <v>2847</v>
      </c>
      <c r="E6" s="308" t="s">
        <v>1370</v>
      </c>
      <c r="F6" s="309">
        <f ca="1">INDIRECT("'数据-取费表'!u"&amp;$G$1)</f>
        <v>0.4</v>
      </c>
      <c r="G6" s="1569"/>
      <c r="H6" s="1201" t="s">
        <v>1003</v>
      </c>
      <c r="I6" s="3317" t="s">
        <v>1368</v>
      </c>
      <c r="J6" s="307">
        <f ca="1">ROUND(M6*M8*M7*(1-M9),0)</f>
        <v>0</v>
      </c>
      <c r="K6" s="1561" t="s">
        <v>2848</v>
      </c>
      <c r="L6" s="308" t="s">
        <v>1370</v>
      </c>
      <c r="M6" s="309">
        <f ca="1">INDIRECT("'数据-取费表'!z"&amp;$G$1)</f>
        <v>0</v>
      </c>
    </row>
    <row r="7" spans="1:37" ht="18" customHeight="1">
      <c r="A7" s="1205"/>
      <c r="B7" s="3318"/>
      <c r="C7" s="1207"/>
      <c r="D7" s="313"/>
      <c r="E7" s="3067" t="s">
        <v>1371</v>
      </c>
      <c r="F7" s="309">
        <f ca="1">IF(INDIRECT("'数据-取费表'!ah"&amp;$G$1)="",INDIRECT("'数据-取费表'!k"&amp;$G$1),INDIRECT("'数据-取费表'!ah"&amp;$G$1))</f>
        <v>546.71</v>
      </c>
      <c r="G7" s="1569"/>
      <c r="H7" s="310"/>
      <c r="I7" s="3318"/>
      <c r="J7" s="312"/>
      <c r="K7" s="313"/>
      <c r="L7" s="308" t="s">
        <v>1371</v>
      </c>
      <c r="M7" s="309">
        <f ca="1">F7</f>
        <v>546.71</v>
      </c>
    </row>
    <row r="8" spans="1:37" ht="18" customHeight="1">
      <c r="A8" s="310"/>
      <c r="B8" s="3318"/>
      <c r="C8" s="312"/>
      <c r="D8" s="313"/>
      <c r="E8" s="308" t="s">
        <v>1372</v>
      </c>
      <c r="F8" s="309">
        <f ca="1">INDIRECT("'数据-取费表'!ai"&amp;$G$1)</f>
        <v>365</v>
      </c>
      <c r="G8" s="1569"/>
      <c r="H8" s="310"/>
      <c r="I8" s="3318"/>
      <c r="J8" s="312"/>
      <c r="K8" s="313"/>
      <c r="L8" s="308" t="s">
        <v>1372</v>
      </c>
      <c r="M8" s="309">
        <f ca="1">INDIRECT("'数据-取费表'!ai"&amp;$G$1)</f>
        <v>365</v>
      </c>
    </row>
    <row r="9" spans="1:37" ht="18" customHeight="1">
      <c r="A9" s="310"/>
      <c r="B9" s="3319"/>
      <c r="C9" s="312"/>
      <c r="D9" s="313"/>
      <c r="E9" s="308" t="s">
        <v>1373</v>
      </c>
      <c r="F9" s="318">
        <f ca="1">INDIRECT("'数据-取费表'!w"&amp;$G$1)</f>
        <v>0.15</v>
      </c>
      <c r="G9" s="1569"/>
      <c r="H9" s="310"/>
      <c r="I9" s="3319"/>
      <c r="J9" s="312"/>
      <c r="K9" s="313"/>
      <c r="L9" s="319" t="s">
        <v>1373</v>
      </c>
      <c r="M9" s="320">
        <f ca="1">INDIRECT("'数据-取费表'!ab"&amp;$G$1)</f>
        <v>0</v>
      </c>
    </row>
    <row r="10" spans="1:37" ht="18" customHeight="1">
      <c r="A10" s="1201" t="s">
        <v>1007</v>
      </c>
      <c r="B10" s="1550" t="s">
        <v>1374</v>
      </c>
      <c r="C10" s="322">
        <f ca="1">ROUND(IF(F10="押一",C6/12*F11,IF(F10="押二",C6/12*2*F11,IF(F10="押三",C6/12*3*F11,C11*F11))),0)</f>
        <v>85</v>
      </c>
      <c r="D10" s="1551" t="s">
        <v>2857</v>
      </c>
      <c r="E10" s="319" t="s">
        <v>1375</v>
      </c>
      <c r="F10" s="1276" t="s">
        <v>3315</v>
      </c>
      <c r="G10" s="1569"/>
      <c r="H10" s="1201" t="s">
        <v>1007</v>
      </c>
      <c r="I10" s="1550" t="s">
        <v>1374</v>
      </c>
      <c r="J10" s="307">
        <f ca="1">ROUND(IF(M10="押一",J6/12*M11,IF(M10="押二",J6/12*2*M11,IF(M10="押三",J6/12*3*M11,J11*M11))),0)</f>
        <v>0</v>
      </c>
      <c r="K10" s="1562" t="s">
        <v>2859</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788002</v>
      </c>
      <c r="D13" s="3059" t="s">
        <v>1380</v>
      </c>
      <c r="E13" s="3059" t="s">
        <v>1381</v>
      </c>
      <c r="F13" s="1242">
        <f ca="1">INDIRECT("'数据-取费表'!y"&amp;$G$1)</f>
        <v>0.96</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601381</v>
      </c>
      <c r="D14" s="3063" t="s">
        <v>1383</v>
      </c>
      <c r="E14" s="3061"/>
      <c r="F14" s="325"/>
      <c r="G14" s="1569"/>
      <c r="H14" s="1113" t="s">
        <v>1003</v>
      </c>
      <c r="I14" s="308" t="s">
        <v>1384</v>
      </c>
      <c r="J14" s="24">
        <f ca="1">C29</f>
        <v>820835</v>
      </c>
      <c r="K14" s="3066"/>
      <c r="L14" s="916"/>
      <c r="M14" s="917"/>
    </row>
    <row r="15" spans="1:37" s="1582" customFormat="1" ht="18" customHeight="1" thickBot="1">
      <c r="A15" s="1113" t="s">
        <v>1004</v>
      </c>
      <c r="B15" s="308" t="s">
        <v>1385</v>
      </c>
      <c r="C15" s="24">
        <f ca="1">ROUND(C14*F15,0)</f>
        <v>18041</v>
      </c>
      <c r="D15" s="3060" t="s">
        <v>1386</v>
      </c>
      <c r="E15" s="3060"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15103</v>
      </c>
      <c r="K16" s="1247" t="s">
        <v>1390</v>
      </c>
      <c r="L16" s="3064"/>
      <c r="M16" s="1204"/>
    </row>
    <row r="17" spans="1:37" s="1582" customFormat="1" ht="18" customHeight="1">
      <c r="A17" s="1113" t="s">
        <v>1355</v>
      </c>
      <c r="B17" s="308" t="s">
        <v>1391</v>
      </c>
      <c r="C17" s="24">
        <f ca="1">ROUND(F17*(F43+INDIRECT("'数据-取费表'!S"&amp;$G$1)),0)</f>
        <v>82007</v>
      </c>
      <c r="D17" s="308" t="s">
        <v>1392</v>
      </c>
      <c r="E17" s="308" t="s">
        <v>1393</v>
      </c>
      <c r="F17" s="26">
        <f>'数据-取费表'!B35</f>
        <v>150</v>
      </c>
      <c r="G17" s="1581"/>
      <c r="H17" s="1113" t="s">
        <v>1003</v>
      </c>
      <c r="I17" s="308" t="s">
        <v>1394</v>
      </c>
      <c r="J17" s="2534">
        <f ca="1">ROUND(IF(AND(项目基本情况!B11="自然人",项目基本情况!B10="北京市"),J6*M17/(1+'数据-取费表'!C42),J18+J19+J20),0)</f>
        <v>6895</v>
      </c>
      <c r="K17" s="3063" t="s">
        <v>1395</v>
      </c>
      <c r="L17" s="3062"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9021</v>
      </c>
      <c r="D18" s="308" t="s">
        <v>1386</v>
      </c>
      <c r="E18" s="308" t="s">
        <v>1387</v>
      </c>
      <c r="F18" s="328">
        <f>'数据-取费表'!B36</f>
        <v>1.4999999999999999E-2</v>
      </c>
      <c r="G18" s="1581"/>
      <c r="H18" s="1113" t="s">
        <v>1002</v>
      </c>
      <c r="I18" s="308" t="s">
        <v>1398</v>
      </c>
      <c r="J18" s="24">
        <f ca="1">ROUND(J6*M18/(1+'数据-取费表'!C42),0)</f>
        <v>0</v>
      </c>
      <c r="K18" s="3062"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710450</v>
      </c>
      <c r="D19" s="136" t="s">
        <v>1401</v>
      </c>
      <c r="E19" s="3069"/>
      <c r="F19" s="26"/>
      <c r="G19" s="1569"/>
      <c r="H19" s="1113" t="s">
        <v>1004</v>
      </c>
      <c r="I19" s="308" t="s">
        <v>1402</v>
      </c>
      <c r="J19" s="24">
        <f ca="1">IF(K19="按租金收入计税",ROUND(J6*M19/(1+'数据-取费表'!C42),0),ROUND(C29*M19*0.7,0))</f>
        <v>6895</v>
      </c>
      <c r="K19" s="1555" t="s">
        <v>1403</v>
      </c>
      <c r="L19" s="308" t="s">
        <v>1387</v>
      </c>
      <c r="M19" s="328">
        <f>IF(K19="按租金收入计税",'数据-取费表'!B51,'数据-取费表'!B50)</f>
        <v>1.2E-2</v>
      </c>
    </row>
    <row r="20" spans="1:37" s="1582" customFormat="1" ht="18" customHeight="1">
      <c r="A20" s="1113" t="s">
        <v>1007</v>
      </c>
      <c r="B20" s="308" t="s">
        <v>1404</v>
      </c>
      <c r="C20" s="24">
        <f ca="1">ROUND(C19*F20,0)</f>
        <v>7105</v>
      </c>
      <c r="D20" s="329" t="s">
        <v>1405</v>
      </c>
      <c r="E20" s="308" t="s">
        <v>1387</v>
      </c>
      <c r="F20" s="328">
        <f>'数据-取费表'!B37</f>
        <v>0.01</v>
      </c>
      <c r="G20" s="1581"/>
      <c r="H20" s="1113" t="s">
        <v>1354</v>
      </c>
      <c r="I20" s="160" t="s">
        <v>1406</v>
      </c>
      <c r="J20" s="25">
        <f ca="1">ROUND(M20*M21,0)</f>
        <v>0</v>
      </c>
      <c r="K20" s="330" t="s">
        <v>1407</v>
      </c>
      <c r="L20" s="308" t="s">
        <v>1408</v>
      </c>
      <c r="M20" s="331">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0.01</v>
      </c>
      <c r="G21" s="1581"/>
      <c r="H21" s="332"/>
      <c r="I21" s="317"/>
      <c r="J21" s="29"/>
      <c r="K21" s="333"/>
      <c r="L21" s="308" t="s">
        <v>1412</v>
      </c>
      <c r="M21" s="309">
        <f ca="1">INDIRECT("'数据-取费表'!r"&amp;$G$1)</f>
        <v>544.57000000000005</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3069"/>
      <c r="F22" s="26"/>
      <c r="G22" s="1569"/>
      <c r="H22" s="1113" t="s">
        <v>1007</v>
      </c>
      <c r="I22" s="308" t="s">
        <v>1414</v>
      </c>
      <c r="J22" s="24">
        <f ca="1">ROUND(J14*M22,0)</f>
        <v>8208</v>
      </c>
      <c r="K22" s="3062" t="s">
        <v>1415</v>
      </c>
      <c r="L22" s="308" t="s">
        <v>1387</v>
      </c>
      <c r="M22" s="334">
        <f ca="1">INDIRECT("'数据-取费表'!Ak"&amp;$G$1)</f>
        <v>0.01</v>
      </c>
    </row>
    <row r="23" spans="1:37" s="1582" customFormat="1" ht="18" customHeight="1">
      <c r="A23" s="1113" t="s">
        <v>1002</v>
      </c>
      <c r="B23" s="308" t="s">
        <v>1416</v>
      </c>
      <c r="C23" s="24">
        <f ca="1">IF('数据-取费表'!B22&lt;=1,ROUND(C19*F24*F23/2,0)+ROUND(C20*F24*F23/2,0),ROUND(C19*(POWER((1+F24),F23/2)-1),0)+ROUND(C20*(POWER((1+F24),F23/2)-1),0))</f>
        <v>15607</v>
      </c>
      <c r="D23" s="335" t="str">
        <f>IF(F23&lt;=1,"(建造成本+管理费用)×利率×(建设周期÷2)","(建造成本+管理费用)×((1+利率)^(建设周期÷2)-1)")</f>
        <v>(建造成本+管理费用)×利率×(建设周期÷2)</v>
      </c>
      <c r="E23" s="308" t="s">
        <v>1417</v>
      </c>
      <c r="F23" s="331">
        <f>'数据-取费表'!B20</f>
        <v>1</v>
      </c>
      <c r="G23" s="1581"/>
      <c r="H23" s="1113" t="s">
        <v>1043</v>
      </c>
      <c r="I23" s="308" t="s">
        <v>1418</v>
      </c>
      <c r="J23" s="24">
        <f ca="1">ROUND(J13*M23,0)</f>
        <v>0</v>
      </c>
      <c r="K23" s="3062"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2.0000000000000001E-4</v>
      </c>
      <c r="D24" s="335" t="str">
        <f>IF(F23&lt;=1,"销售费用×利率×(建设周期÷2)","销售费用×((1+利率)^(建设周期÷2)-1)")</f>
        <v>销售费用×利率×(建设周期÷2)</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3069"/>
      <c r="F25" s="26"/>
      <c r="G25" s="1569"/>
      <c r="H25" s="1239" t="s">
        <v>999</v>
      </c>
      <c r="I25" s="1254" t="s">
        <v>1428</v>
      </c>
      <c r="J25" s="316">
        <f ca="1">J5-J16</f>
        <v>-15103</v>
      </c>
      <c r="K25" s="1255" t="s">
        <v>1429</v>
      </c>
      <c r="L25" s="1256"/>
      <c r="M25" s="1257"/>
    </row>
    <row r="26" spans="1:37" ht="18" customHeight="1">
      <c r="A26" s="1113" t="s">
        <v>1002</v>
      </c>
      <c r="B26" s="308" t="s">
        <v>1430</v>
      </c>
      <c r="C26" s="24">
        <f ca="1">ROUND((C19+C20)*F26,0)</f>
        <v>35878</v>
      </c>
      <c r="D26" s="329" t="s">
        <v>1431</v>
      </c>
      <c r="E26" s="319" t="s">
        <v>1432</v>
      </c>
      <c r="F26" s="318">
        <f ca="1">INDIRECT("'数据-取费表'!q"&amp;$G$1)</f>
        <v>0.05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5.0000000000000001E-4</v>
      </c>
      <c r="D27" s="329" t="s">
        <v>1437</v>
      </c>
      <c r="E27" s="3060"/>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820835</v>
      </c>
      <c r="D29" s="1252"/>
      <c r="E29" s="1250"/>
      <c r="F29" s="1253"/>
      <c r="G29" s="1581"/>
      <c r="H29" s="340" t="s">
        <v>1001</v>
      </c>
      <c r="I29" s="341" t="s">
        <v>1444</v>
      </c>
      <c r="J29" s="342">
        <f ca="1">ROUND(J26/(1+F40)^F41,0)</f>
        <v>0</v>
      </c>
      <c r="K29" s="343" t="s">
        <v>1445</v>
      </c>
      <c r="L29" s="344"/>
      <c r="M29" s="345">
        <f ca="1">INDIRECT("'数据-取费表'!k"&amp;$G$1)</f>
        <v>546.71</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21377</v>
      </c>
      <c r="D30" s="1247" t="s">
        <v>1390</v>
      </c>
      <c r="E30" s="3064"/>
      <c r="F30" s="1204"/>
      <c r="G30" s="1569"/>
      <c r="H30" s="2926"/>
      <c r="I30" s="1583"/>
      <c r="J30" s="1584"/>
      <c r="K30" s="2701"/>
      <c r="L30" s="2927"/>
      <c r="M30" s="2928"/>
    </row>
    <row r="31" spans="1:37" ht="18" customHeight="1">
      <c r="A31" s="1113" t="s">
        <v>1003</v>
      </c>
      <c r="B31" s="308" t="s">
        <v>1394</v>
      </c>
      <c r="C31" s="2534">
        <f ca="1">ROUND(IF(AND(项目基本情况!B11="自然人",项目基本情况!B10="北京市"),C6*F31/(1+'数据-取费表'!C42),C32+C33+C34),0)</f>
        <v>11308</v>
      </c>
      <c r="D31" s="3063" t="s">
        <v>1395</v>
      </c>
      <c r="E31" s="3062" t="s">
        <v>1446</v>
      </c>
      <c r="F31" s="2533" t="str">
        <f>IF(项目基本情况!B11="企业","——",IF('数据-取费表'!B10="住宅",IF(F6*F7*F8/12/(1+'数据-取费表'!F30)&gt;100000,4%,2.5%),IF(F6*F7*F8/12/(1+'数据-取费表'!F30)&gt;100000,12%,7%)))</f>
        <v>——</v>
      </c>
      <c r="G31" s="1569"/>
      <c r="H31" s="3039" t="s">
        <v>3057</v>
      </c>
      <c r="I31" s="1583"/>
      <c r="J31" s="1584"/>
      <c r="K31" s="2701"/>
      <c r="L31" s="2927"/>
      <c r="M31" s="2928"/>
    </row>
    <row r="32" spans="1:37" ht="18" customHeight="1">
      <c r="A32" s="1113" t="s">
        <v>1002</v>
      </c>
      <c r="B32" s="308" t="s">
        <v>1398</v>
      </c>
      <c r="C32" s="24">
        <f ca="1">IF(项目基本情况!B11="自然人","——",ROUND(C6*F32/(1+'数据-取费表'!C42),0))</f>
        <v>3554</v>
      </c>
      <c r="D32" s="3062"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7754</v>
      </c>
      <c r="D33" s="1555" t="s">
        <v>3313</v>
      </c>
      <c r="E33" s="308" t="s">
        <v>1387</v>
      </c>
      <c r="F33" s="328">
        <f>IF(D33="按票据","——",IF(D33="按租金收入计税",'数据-取费表'!B51,'数据-取费表'!B50))</f>
        <v>0.12</v>
      </c>
      <c r="G33" s="1569"/>
      <c r="H33" s="2929"/>
      <c r="I33" s="1583"/>
      <c r="J33" s="1584"/>
      <c r="K33" s="2930"/>
      <c r="L33" s="2929"/>
      <c r="M33" s="2929"/>
    </row>
    <row r="34" spans="1:18" ht="18" customHeight="1">
      <c r="A34" s="1201" t="s">
        <v>1354</v>
      </c>
      <c r="B34" s="160" t="s">
        <v>1406</v>
      </c>
      <c r="C34" s="25">
        <f ca="1">IF(项目基本情况!B11="自然人","——",ROUND(F34*F35,))</f>
        <v>0</v>
      </c>
      <c r="D34" s="330" t="s">
        <v>1407</v>
      </c>
      <c r="E34" s="308" t="s">
        <v>1408</v>
      </c>
      <c r="F34" s="331">
        <f>'数据-取费表'!B52</f>
        <v>0</v>
      </c>
      <c r="G34" s="1569"/>
      <c r="H34" s="2926"/>
      <c r="I34" s="1583"/>
      <c r="J34" s="1584"/>
      <c r="K34" s="2931"/>
      <c r="L34" s="2932"/>
      <c r="M34" s="2932"/>
    </row>
    <row r="35" spans="1:18" ht="18" customHeight="1">
      <c r="A35" s="1263"/>
      <c r="B35" s="1261"/>
      <c r="C35" s="29"/>
      <c r="D35" s="333"/>
      <c r="E35" s="308" t="s">
        <v>1412</v>
      </c>
      <c r="F35" s="309">
        <f ca="1">INDIRECT("'数据-取费表'!r"&amp;$G$1)</f>
        <v>544.57000000000005</v>
      </c>
      <c r="G35" s="1569"/>
      <c r="H35" s="2926"/>
      <c r="I35" s="1583"/>
      <c r="J35" s="1584"/>
      <c r="K35" s="2930"/>
      <c r="L35" s="2929"/>
      <c r="M35" s="2929"/>
    </row>
    <row r="36" spans="1:18" ht="18" customHeight="1">
      <c r="A36" s="1262" t="s">
        <v>1007</v>
      </c>
      <c r="B36" s="308" t="s">
        <v>1414</v>
      </c>
      <c r="C36" s="24">
        <f ca="1">ROUND(C29*F36,0)</f>
        <v>8208</v>
      </c>
      <c r="D36" s="3062" t="s">
        <v>1447</v>
      </c>
      <c r="E36" s="308" t="s">
        <v>1387</v>
      </c>
      <c r="F36" s="334">
        <f ca="1">INDIRECT("'数据-取费表'!Ak"&amp;$G$1)</f>
        <v>0.01</v>
      </c>
      <c r="G36" s="1569"/>
      <c r="H36" s="2929"/>
      <c r="I36" s="1583"/>
      <c r="J36" s="1584"/>
      <c r="K36" s="2770"/>
      <c r="L36" s="2929"/>
      <c r="M36" s="2929"/>
    </row>
    <row r="37" spans="1:18" ht="18" customHeight="1">
      <c r="A37" s="1113" t="s">
        <v>1043</v>
      </c>
      <c r="B37" s="308" t="s">
        <v>1418</v>
      </c>
      <c r="C37" s="24">
        <f ca="1">ROUND(C13*F37,0)</f>
        <v>1182</v>
      </c>
      <c r="D37" s="3062" t="s">
        <v>1419</v>
      </c>
      <c r="E37" s="308" t="s">
        <v>1420</v>
      </c>
      <c r="F37" s="336">
        <f ca="1">INDIRECT("'数据-取费表'!Al"&amp;$G$1)</f>
        <v>1.5E-3</v>
      </c>
      <c r="G37" s="1569"/>
      <c r="H37" s="2929"/>
      <c r="I37" s="1583"/>
      <c r="J37" s="1584"/>
      <c r="K37" s="2770"/>
      <c r="L37" s="2929"/>
      <c r="M37" s="2929"/>
    </row>
    <row r="38" spans="1:18" ht="18" customHeight="1" thickBot="1">
      <c r="A38" s="1249" t="s">
        <v>1358</v>
      </c>
      <c r="B38" s="1250" t="s">
        <v>1404</v>
      </c>
      <c r="C38" s="1251">
        <f ca="1">ROUND(C5*F38,1)</f>
        <v>679.3</v>
      </c>
      <c r="D38" s="1252" t="s">
        <v>1424</v>
      </c>
      <c r="E38" s="1250" t="s">
        <v>1420</v>
      </c>
      <c r="F38" s="1246">
        <f ca="1">INDIRECT("'数据-取费表'!Am"&amp;$G$1)</f>
        <v>0.01</v>
      </c>
      <c r="G38" s="1569"/>
      <c r="H38" s="2929"/>
      <c r="I38" s="1583"/>
      <c r="J38" s="1584"/>
      <c r="K38" s="2933"/>
      <c r="L38" s="2929"/>
      <c r="M38" s="2929"/>
    </row>
    <row r="39" spans="1:18" ht="24.6" customHeight="1" thickTop="1">
      <c r="A39" s="1239" t="s">
        <v>999</v>
      </c>
      <c r="B39" s="1254" t="s">
        <v>1448</v>
      </c>
      <c r="C39" s="316">
        <f ca="1">C5-C30</f>
        <v>46555</v>
      </c>
      <c r="D39" s="1255" t="s">
        <v>1449</v>
      </c>
      <c r="E39" s="1256"/>
      <c r="F39" s="1257"/>
      <c r="G39" s="1569"/>
      <c r="H39" s="2929"/>
      <c r="I39" s="1583"/>
      <c r="J39" s="1584"/>
      <c r="K39" s="2933"/>
      <c r="L39" s="2929"/>
      <c r="M39" s="2929"/>
    </row>
    <row r="40" spans="1:18" ht="18" customHeight="1">
      <c r="A40" s="305" t="s">
        <v>1000</v>
      </c>
      <c r="B40" s="306" t="s">
        <v>1450</v>
      </c>
      <c r="C40" s="307">
        <f ca="1">ROUND(C39*(1-((1+F42)/(1+F40))^F41)/(F40-F42),0)</f>
        <v>1141625</v>
      </c>
      <c r="D40" s="330" t="s">
        <v>1434</v>
      </c>
      <c r="E40" s="308" t="s">
        <v>1435</v>
      </c>
      <c r="F40" s="318">
        <f ca="1">INDIRECT("'数据-取费表'!I"&amp;$G$1)</f>
        <v>0.05</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45.9</v>
      </c>
      <c r="G41" s="1569"/>
      <c r="H41" s="1353"/>
      <c r="I41" s="1583"/>
      <c r="J41" s="1584"/>
      <c r="K41" s="2770"/>
      <c r="L41" s="1353"/>
      <c r="M41" s="1353"/>
    </row>
    <row r="42" spans="1:18" ht="18" customHeight="1">
      <c r="A42" s="314"/>
      <c r="B42" s="315"/>
      <c r="C42" s="316"/>
      <c r="D42" s="333"/>
      <c r="E42" s="308" t="s">
        <v>1442</v>
      </c>
      <c r="F42" s="318">
        <f ca="1">INDIRECT("'数据-取费表'!v"&amp;$G$1)</f>
        <v>0.02</v>
      </c>
      <c r="G42" s="1569"/>
      <c r="H42" s="1353"/>
      <c r="I42" s="1583"/>
      <c r="J42" s="1584"/>
      <c r="K42" s="2770"/>
      <c r="L42" s="1353"/>
      <c r="M42" s="1353"/>
    </row>
    <row r="43" spans="1:18" ht="18" customHeight="1" thickBot="1">
      <c r="A43" s="340" t="s">
        <v>1001</v>
      </c>
      <c r="B43" s="341" t="s">
        <v>1452</v>
      </c>
      <c r="C43" s="342">
        <f ca="1">ROUND(C40/F43,0)</f>
        <v>2088</v>
      </c>
      <c r="D43" s="343" t="s">
        <v>1453</v>
      </c>
      <c r="E43" s="344" t="s">
        <v>1454</v>
      </c>
      <c r="F43" s="345">
        <f ca="1">INDIRECT("'数据-取费表'!k"&amp;$G$1)</f>
        <v>546.71</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f ca="1">C68-C40</f>
        <v>-3062685</v>
      </c>
      <c r="D45" s="1658" t="s">
        <v>1569</v>
      </c>
      <c r="E45" s="1585"/>
      <c r="F45" s="1585"/>
      <c r="O45" s="1588" t="s">
        <v>1484</v>
      </c>
      <c r="P45" s="1646"/>
      <c r="Q45" s="1646"/>
      <c r="R45" s="1646"/>
    </row>
    <row r="46" spans="1:18" s="1569" customFormat="1" ht="13.5" thickBot="1">
      <c r="A46" s="1589" t="s">
        <v>1485</v>
      </c>
      <c r="C46" s="1590">
        <f ca="1">ROUND(C45/10000,0)</f>
        <v>-306</v>
      </c>
      <c r="D46" s="1591" t="str">
        <f>C2</f>
        <v>万元</v>
      </c>
      <c r="I46" s="1592" t="s">
        <v>1486</v>
      </c>
      <c r="J46" s="1593"/>
      <c r="K46" s="1594"/>
      <c r="L46" s="1595">
        <f ca="1">IF(M47="住宅",0,IF(L48&gt;J51,L60,J60))</f>
        <v>6287</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t="s">
        <v>3316</v>
      </c>
      <c r="K47" s="1601" t="s">
        <v>1492</v>
      </c>
      <c r="L47" s="1602">
        <f ca="1">INDIRECT("'数据-取费表'!d"&amp;$G$1)</f>
        <v>50</v>
      </c>
      <c r="M47" s="1565" t="str">
        <f>IF(ISNUMBER(FIND("住宅",C1)),"住宅","非住宅")</f>
        <v>非住宅</v>
      </c>
      <c r="O47" s="1603" t="s">
        <v>1008</v>
      </c>
      <c r="P47" s="1604" t="s">
        <v>1493</v>
      </c>
      <c r="Q47" s="1605">
        <f ca="1">C40+J29</f>
        <v>1141625</v>
      </c>
      <c r="R47" s="1605" t="s">
        <v>1494</v>
      </c>
    </row>
    <row r="48" spans="1:18" s="1569" customFormat="1" ht="28.5" thickBot="1">
      <c r="A48" s="1270" t="s">
        <v>1103</v>
      </c>
      <c r="B48" s="306" t="s">
        <v>1366</v>
      </c>
      <c r="C48" s="3068">
        <f ca="1">C49+C53+C55</f>
        <v>0</v>
      </c>
      <c r="D48" s="1272"/>
      <c r="E48" s="1273"/>
      <c r="F48" s="1093"/>
      <c r="G48" s="731"/>
      <c r="H48" s="732"/>
      <c r="I48" s="1606" t="s">
        <v>1495</v>
      </c>
      <c r="J48" s="1607" t="s">
        <v>3321</v>
      </c>
      <c r="K48" s="1608" t="s">
        <v>1496</v>
      </c>
      <c r="L48" s="1609">
        <f ca="1">INDIRECT("'数据-取费表'!f"&amp;$G$1)</f>
        <v>45.9</v>
      </c>
      <c r="O48" s="1603" t="s">
        <v>1009</v>
      </c>
      <c r="P48" s="1604" t="s">
        <v>1497</v>
      </c>
      <c r="Q48" s="1605">
        <f ca="1">J60</f>
        <v>6287</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v>2018</v>
      </c>
      <c r="K49" s="1608" t="s">
        <v>1500</v>
      </c>
      <c r="L49" s="1612"/>
      <c r="O49" s="1613" t="s">
        <v>1010</v>
      </c>
      <c r="P49" s="1604" t="s">
        <v>1501</v>
      </c>
      <c r="Q49" s="1605">
        <f ca="1">C29</f>
        <v>820835</v>
      </c>
      <c r="R49" s="1605" t="s">
        <v>1494</v>
      </c>
    </row>
    <row r="50" spans="1:18" s="1569" customFormat="1" ht="13.5" thickBot="1">
      <c r="A50" s="1107"/>
      <c r="B50" s="1110"/>
      <c r="C50" s="1111"/>
      <c r="D50" s="1084"/>
      <c r="E50" s="1187" t="s">
        <v>1371</v>
      </c>
      <c r="F50" s="1188">
        <f ca="1">F7</f>
        <v>546.71</v>
      </c>
      <c r="H50" s="732"/>
      <c r="I50" s="1606" t="s">
        <v>1502</v>
      </c>
      <c r="J50" s="1614">
        <f>SUMPRODUCT((I63:I65=J47)*(J62:L62=J48)*(J63:L65))</f>
        <v>60</v>
      </c>
      <c r="K50" s="1608" t="s">
        <v>1503</v>
      </c>
      <c r="L50" s="1612"/>
      <c r="M50" s="1615"/>
      <c r="O50" s="1613" t="s">
        <v>1011</v>
      </c>
      <c r="P50" s="1604" t="s">
        <v>1504</v>
      </c>
      <c r="Q50" s="1616">
        <f ca="1">J58</f>
        <v>0.4</v>
      </c>
      <c r="R50" s="1605"/>
    </row>
    <row r="51" spans="1:18" s="1569" customFormat="1" ht="13.5" thickBot="1">
      <c r="A51" s="1108"/>
      <c r="B51" s="1110"/>
      <c r="C51" s="1111"/>
      <c r="D51" s="1084"/>
      <c r="E51" s="1112" t="s">
        <v>1372</v>
      </c>
      <c r="F51" s="309">
        <f ca="1">F8</f>
        <v>365</v>
      </c>
      <c r="I51" s="1617" t="s">
        <v>1505</v>
      </c>
      <c r="J51" s="1618">
        <f>IF(J49="",J50,J49+J50-YEAR('数据-取费表'!B2))</f>
        <v>57</v>
      </c>
      <c r="K51" s="1619" t="s">
        <v>1506</v>
      </c>
      <c r="L51" s="1620">
        <f ca="1">ROUND(-PV(INDIRECT("'数据-取费表'!h"&amp;$G$1),J51,(C39-C13*C76),0),0)</f>
        <v>-416967</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45.9</v>
      </c>
      <c r="R52" s="1605" t="s">
        <v>1511</v>
      </c>
    </row>
    <row r="53" spans="1:18" s="1569" customFormat="1" ht="30.75" customHeight="1" thickBot="1">
      <c r="A53" s="1271" t="s">
        <v>1105</v>
      </c>
      <c r="B53" s="329" t="s">
        <v>1374</v>
      </c>
      <c r="C53" s="322">
        <f ca="1">ROUND(IF(F53="押一",C49/12*F11,IF(F53="押二",C49/12*2*F11,IF(F53="押三",C49/12*3*F11,C54*F11))),0)</f>
        <v>0</v>
      </c>
      <c r="D53" s="1551" t="s">
        <v>2860</v>
      </c>
      <c r="E53" s="319" t="s">
        <v>1375</v>
      </c>
      <c r="F53" s="1276"/>
      <c r="I53" s="1624" t="s">
        <v>1512</v>
      </c>
      <c r="J53" s="2386">
        <f ca="1">IF(M47="住宅",IF(D1="——",MAX(J51,L48),MAX(J51,L48-'数据-取费表'!B24)),IF(D1="——",MIN(J51,L48),MIN(J51,L48-'数据-取费表'!B24)))</f>
        <v>45.9</v>
      </c>
      <c r="K53" s="3315" t="s">
        <v>1513</v>
      </c>
      <c r="L53" s="3316"/>
      <c r="O53" s="1603" t="s">
        <v>1014</v>
      </c>
      <c r="P53" s="1604" t="s">
        <v>1514</v>
      </c>
      <c r="Q53" s="1605">
        <f ca="1">Q47+Q48</f>
        <v>1147912</v>
      </c>
      <c r="R53" s="1605" t="s">
        <v>1015</v>
      </c>
    </row>
    <row r="54" spans="1:18" s="1569" customFormat="1" ht="13.5" thickBot="1">
      <c r="A54" s="1106"/>
      <c r="B54" s="1659" t="s">
        <v>1568</v>
      </c>
      <c r="C54" s="1090"/>
      <c r="D54" s="1551"/>
      <c r="E54" s="3065"/>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065"/>
      <c r="F55" s="1625"/>
      <c r="I55" s="1628" t="s">
        <v>1516</v>
      </c>
      <c r="J55" s="1629">
        <f ca="1">ROUND(IF(J47="钢混",J57/J50,1-(1-2%)*(J50-J57)/J50),3)</f>
        <v>0.185</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788002</v>
      </c>
      <c r="D56" s="1632"/>
      <c r="E56" s="1633"/>
      <c r="F56" s="1625"/>
      <c r="I56" s="1634" t="s">
        <v>1519</v>
      </c>
      <c r="J56" s="1635" t="s">
        <v>3319</v>
      </c>
      <c r="K56" s="1606" t="s">
        <v>1520</v>
      </c>
      <c r="L56" s="1609" t="str">
        <f ca="1">IF(L48&lt;J51,"——",L48-J51)</f>
        <v>——</v>
      </c>
      <c r="O56" s="1603" t="s">
        <v>1008</v>
      </c>
      <c r="P56" s="1604" t="s">
        <v>1493</v>
      </c>
      <c r="Q56" s="1605">
        <f ca="1">C40+J29</f>
        <v>1141625</v>
      </c>
      <c r="R56" s="1605" t="s">
        <v>1494</v>
      </c>
    </row>
    <row r="57" spans="1:18" s="1569" customFormat="1" ht="24.75" thickBot="1">
      <c r="A57" s="1636"/>
      <c r="B57" s="1081" t="s">
        <v>1443</v>
      </c>
      <c r="C57" s="244">
        <f ca="1">C29</f>
        <v>820835</v>
      </c>
      <c r="D57" s="1637"/>
      <c r="E57" s="1638"/>
      <c r="F57" s="1639"/>
      <c r="I57" s="1640" t="s">
        <v>1521</v>
      </c>
      <c r="J57" s="1641">
        <f ca="1">IF(OR(M47="住宅",J51&lt;L48,J56="是"),"——",J51-L48)</f>
        <v>11.100000000000001</v>
      </c>
      <c r="K57" s="1606" t="s">
        <v>1570</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78340</v>
      </c>
      <c r="D58" s="1091" t="s">
        <v>1390</v>
      </c>
      <c r="E58" s="1092"/>
      <c r="F58" s="1093"/>
      <c r="I58" s="1640" t="s">
        <v>1525</v>
      </c>
      <c r="J58" s="1642">
        <f ca="1">IF(J55&lt;0.4,0.4,J55)</f>
        <v>0.4</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68950</v>
      </c>
      <c r="D59" s="1094" t="s">
        <v>1395</v>
      </c>
      <c r="E59" s="1095" t="s">
        <v>1396</v>
      </c>
      <c r="F59" s="2533" t="str">
        <f>IF(项目基本情况!B11="企业","——",IF('数据-取费表'!B10="住宅",IF(F49*F50*F51/12/(1+'数据-取费表'!F30)&gt;100000,4%,2.5%),IF(F49*F50*F51/12/(1+'数据-取费表'!F30)&gt;100000,12%,7%)))</f>
        <v>——</v>
      </c>
      <c r="I59" s="1640" t="s">
        <v>1528</v>
      </c>
      <c r="J59" s="1641">
        <f ca="1">IF(OR(M47="住宅",J51&lt;L48,J56="是"),"——",ROUND(C29*J58,0))</f>
        <v>328334</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f ca="1">IF(OR(M47="住宅",J51&lt;L48,J56="是"),"0",ROUND(J59/(1+J52)^J53,0))</f>
        <v>6287</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68950</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0</v>
      </c>
      <c r="I62" s="1647" t="s">
        <v>1535</v>
      </c>
      <c r="J62" s="1648" t="s">
        <v>1536</v>
      </c>
      <c r="K62" s="1648" t="s">
        <v>1537</v>
      </c>
      <c r="L62" s="1648" t="s">
        <v>1538</v>
      </c>
      <c r="M62" s="1649" t="s">
        <v>1539</v>
      </c>
      <c r="O62" s="1603" t="s">
        <v>1014</v>
      </c>
      <c r="P62" s="1604" t="s">
        <v>1540</v>
      </c>
      <c r="Q62" s="1605">
        <f ca="1">Q56+Q57</f>
        <v>1141625</v>
      </c>
      <c r="R62" s="1605" t="s">
        <v>1015</v>
      </c>
    </row>
    <row r="63" spans="1:18" s="1569" customFormat="1" ht="13.5" thickBot="1">
      <c r="A63" s="332"/>
      <c r="B63" s="1087"/>
      <c r="C63" s="29"/>
      <c r="D63" s="1097"/>
      <c r="E63" s="1081" t="s">
        <v>1464</v>
      </c>
      <c r="F63" s="309">
        <f t="shared" ca="1" si="0"/>
        <v>544.57000000000005</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8208</v>
      </c>
      <c r="D64" s="1095" t="s">
        <v>1467</v>
      </c>
      <c r="E64" s="1081" t="s">
        <v>1459</v>
      </c>
      <c r="F64" s="334">
        <f t="shared" ca="1" si="0"/>
        <v>0.01</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1182</v>
      </c>
      <c r="D65" s="1095" t="s">
        <v>1419</v>
      </c>
      <c r="E65" s="1081" t="s">
        <v>1420</v>
      </c>
      <c r="F65" s="336">
        <f t="shared" ca="1" si="0"/>
        <v>1.5E-3</v>
      </c>
      <c r="I65" s="1647" t="s">
        <v>1544</v>
      </c>
      <c r="J65" s="1648">
        <v>40</v>
      </c>
      <c r="K65" s="1648">
        <v>30</v>
      </c>
      <c r="L65" s="1648">
        <v>50</v>
      </c>
      <c r="M65" s="1650">
        <v>0.02</v>
      </c>
      <c r="O65" s="1603" t="s">
        <v>1008</v>
      </c>
      <c r="P65" s="1604" t="s">
        <v>1545</v>
      </c>
      <c r="Q65" s="1605">
        <f ca="1">C40+J29</f>
        <v>1141625</v>
      </c>
      <c r="R65" s="1605" t="s">
        <v>1494</v>
      </c>
    </row>
    <row r="66" spans="1:18" s="1569" customFormat="1" ht="16.5" thickBot="1">
      <c r="A66" s="1113" t="s">
        <v>1469</v>
      </c>
      <c r="B66" s="1081" t="s">
        <v>1404</v>
      </c>
      <c r="C66" s="24">
        <f ca="1">ROUND(C48*F66,0)</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-78340</v>
      </c>
      <c r="D67" s="1094" t="s">
        <v>1429</v>
      </c>
      <c r="E67" s="1099"/>
      <c r="F67" s="1100"/>
      <c r="O67" s="1613" t="s">
        <v>1010</v>
      </c>
      <c r="P67" s="1604" t="s">
        <v>1527</v>
      </c>
      <c r="Q67" s="1651">
        <f ca="1">L51</f>
        <v>-416967</v>
      </c>
      <c r="R67" s="1605" t="s">
        <v>1547</v>
      </c>
    </row>
    <row r="68" spans="1:18" s="1569" customFormat="1" ht="16.5" thickBot="1">
      <c r="A68" s="1078" t="s">
        <v>1000</v>
      </c>
      <c r="B68" s="1079" t="s">
        <v>1450</v>
      </c>
      <c r="C68" s="307">
        <f ca="1">ROUND(C67*(1-((1+F70)/(1+F68))^F69)/(F68-F70),0)</f>
        <v>-1921060</v>
      </c>
      <c r="D68" s="1096" t="s">
        <v>1434</v>
      </c>
      <c r="E68" s="1081" t="s">
        <v>1435</v>
      </c>
      <c r="F68" s="318">
        <f ca="1">F40</f>
        <v>0.05</v>
      </c>
      <c r="O68" s="1613" t="s">
        <v>1011</v>
      </c>
      <c r="P68" s="1652" t="s">
        <v>1548</v>
      </c>
      <c r="Q68" s="1605">
        <f ca="1">ROUND(Q69-Q70*Q71,0)</f>
        <v>-20425</v>
      </c>
      <c r="R68" s="1605" t="s">
        <v>1019</v>
      </c>
    </row>
    <row r="69" spans="1:18" s="1569" customFormat="1" ht="13.5" thickBot="1">
      <c r="A69" s="1082"/>
      <c r="B69" s="1083"/>
      <c r="C69" s="312"/>
      <c r="D69" s="1101" t="s">
        <v>1438</v>
      </c>
      <c r="E69" s="1081" t="s">
        <v>1439</v>
      </c>
      <c r="F69" s="339">
        <f ca="1">F41</f>
        <v>45.9</v>
      </c>
      <c r="O69" s="1613" t="s">
        <v>1016</v>
      </c>
      <c r="P69" s="1652" t="s">
        <v>1549</v>
      </c>
      <c r="Q69" s="1605">
        <f ca="1">C39</f>
        <v>46555</v>
      </c>
      <c r="R69" s="1605" t="s">
        <v>1494</v>
      </c>
    </row>
    <row r="70" spans="1:18" s="1569" customFormat="1" ht="13.5" thickBot="1">
      <c r="A70" s="1085"/>
      <c r="B70" s="1086"/>
      <c r="C70" s="316"/>
      <c r="D70" s="1097"/>
      <c r="E70" s="1081" t="s">
        <v>1442</v>
      </c>
      <c r="F70" s="1185">
        <f ca="1">F42</f>
        <v>0.02</v>
      </c>
      <c r="O70" s="1613" t="s">
        <v>1017</v>
      </c>
      <c r="P70" s="1652" t="s">
        <v>1550</v>
      </c>
      <c r="Q70" s="1605">
        <f ca="1">C13</f>
        <v>788002</v>
      </c>
      <c r="R70" s="1605" t="s">
        <v>1494</v>
      </c>
    </row>
    <row r="71" spans="1:18" s="1569" customFormat="1" ht="13.5" thickBot="1">
      <c r="A71" s="1102" t="s">
        <v>1001</v>
      </c>
      <c r="B71" s="1103" t="s">
        <v>1452</v>
      </c>
      <c r="C71" s="342">
        <f ca="1">ROUND(C68/F71,0)</f>
        <v>-3514</v>
      </c>
      <c r="D71" s="1104" t="s">
        <v>1453</v>
      </c>
      <c r="E71" s="1105" t="s">
        <v>1454</v>
      </c>
      <c r="F71" s="345">
        <f ca="1">F43</f>
        <v>546.71</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66980</v>
      </c>
      <c r="D75" s="1569"/>
      <c r="E75" s="1569"/>
      <c r="F75" s="1569"/>
      <c r="K75" s="1587"/>
      <c r="L75" s="1569"/>
      <c r="O75" s="1603" t="s">
        <v>1014</v>
      </c>
      <c r="P75" s="1604" t="s">
        <v>1514</v>
      </c>
      <c r="Q75" s="1605">
        <f ca="1">Q65+Q66</f>
        <v>1141625</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-0.43900000000000006</v>
      </c>
    </row>
    <row r="80" spans="1:18">
      <c r="B80" s="346" t="s">
        <v>1476</v>
      </c>
      <c r="C80" s="280">
        <f ca="1">ROUND(C75/C39,3)</f>
        <v>1.4390000000000001</v>
      </c>
    </row>
    <row r="81" spans="2:3">
      <c r="B81" s="276" t="s">
        <v>1477</v>
      </c>
      <c r="C81" s="244"/>
    </row>
    <row r="82" spans="2:3">
      <c r="B82" s="279" t="s">
        <v>1478</v>
      </c>
      <c r="C82" s="281">
        <f ca="1">1-C83</f>
        <v>0.31000000000000005</v>
      </c>
    </row>
    <row r="83" spans="2:3">
      <c r="B83" s="279" t="s">
        <v>1479</v>
      </c>
      <c r="C83" s="280">
        <f ca="1">ROUND(C13/C40,3)</f>
        <v>0.69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8" sqref="D18"/>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3" t="s">
        <v>2347</v>
      </c>
      <c r="B1" s="2054"/>
      <c r="C1" s="2054"/>
      <c r="D1" s="2054"/>
      <c r="E1" s="2055"/>
      <c r="F1" s="2936"/>
      <c r="G1" s="1675"/>
      <c r="H1" s="1675"/>
      <c r="I1" s="1675"/>
      <c r="J1" s="1675"/>
      <c r="K1" s="1675"/>
      <c r="L1" s="1675"/>
      <c r="M1" s="1675"/>
      <c r="N1" s="1675"/>
      <c r="O1" s="1675"/>
      <c r="P1" s="1675"/>
      <c r="Q1" s="1675"/>
      <c r="R1" s="1675"/>
      <c r="S1" s="1675"/>
    </row>
    <row r="2" spans="1:22" ht="15.75">
      <c r="A2" s="2056" t="s">
        <v>2148</v>
      </c>
      <c r="B2" s="2057">
        <f ca="1">SUMIF(B6:B13,"&lt;&gt;#ref!",B6:B13)</f>
        <v>4614</v>
      </c>
      <c r="C2" s="2058" t="s">
        <v>2340</v>
      </c>
      <c r="D2" s="2059" t="s">
        <v>2341</v>
      </c>
      <c r="E2" s="2833">
        <f>SUM(E6:E13)</f>
        <v>21976.319999999996</v>
      </c>
      <c r="F2" s="2936"/>
      <c r="G2" s="1675"/>
      <c r="H2" s="1675"/>
      <c r="I2" s="1675"/>
      <c r="J2" s="1675"/>
      <c r="K2" s="1675"/>
      <c r="L2" s="1675"/>
      <c r="M2" s="1675"/>
      <c r="N2" s="1675"/>
      <c r="O2" s="1675"/>
      <c r="P2" s="1675"/>
      <c r="Q2" s="1675"/>
      <c r="R2" s="1675"/>
      <c r="S2" s="1675"/>
    </row>
    <row r="3" spans="1:22" ht="15.75">
      <c r="A3" s="2056" t="s">
        <v>1360</v>
      </c>
      <c r="B3" s="2827">
        <f ca="1">ROUND(B2*10000/E2,0)</f>
        <v>2100</v>
      </c>
      <c r="C3" s="2058" t="s">
        <v>2348</v>
      </c>
      <c r="D3" s="2938"/>
      <c r="E3" s="2940"/>
      <c r="F3" s="2936"/>
      <c r="G3" s="1675"/>
      <c r="H3" s="1675"/>
      <c r="I3" s="1675"/>
      <c r="J3" s="1675"/>
      <c r="K3" s="1675"/>
      <c r="L3" s="1675"/>
      <c r="M3" s="1675"/>
      <c r="N3" s="1675"/>
      <c r="O3" s="1675"/>
      <c r="P3" s="1675"/>
      <c r="Q3" s="1675"/>
      <c r="R3" s="1675"/>
      <c r="S3" s="1675"/>
    </row>
    <row r="4" spans="1:22" ht="15.75">
      <c r="A4" s="2941"/>
      <c r="B4" s="2938"/>
      <c r="C4" s="2938"/>
      <c r="D4" s="2938"/>
      <c r="E4" s="2940"/>
      <c r="F4" s="2936"/>
      <c r="G4" s="1675"/>
      <c r="H4" s="1675"/>
      <c r="I4" s="1675"/>
      <c r="J4" s="1675"/>
      <c r="K4" s="1675"/>
      <c r="L4" s="1675"/>
      <c r="M4" s="1675"/>
      <c r="N4" s="1675"/>
      <c r="O4" s="1675"/>
      <c r="P4" s="1675"/>
      <c r="Q4" s="1675"/>
      <c r="R4" s="1675"/>
      <c r="S4" s="1675"/>
    </row>
    <row r="5" spans="1:22" ht="15">
      <c r="A5" s="2829" t="s">
        <v>2342</v>
      </c>
      <c r="B5" s="3320" t="s">
        <v>2343</v>
      </c>
      <c r="C5" s="3321"/>
      <c r="D5" s="2937"/>
      <c r="E5" s="2060" t="s">
        <v>2344</v>
      </c>
      <c r="F5" s="2061" t="s">
        <v>2345</v>
      </c>
      <c r="G5" s="1675"/>
      <c r="H5" s="1675"/>
      <c r="I5" s="1675"/>
      <c r="J5" s="1675"/>
      <c r="K5" s="1675"/>
      <c r="L5" s="1675"/>
      <c r="M5" s="1675"/>
      <c r="N5" s="1675"/>
      <c r="O5" s="1675"/>
      <c r="P5" s="1675"/>
      <c r="Q5" s="1675"/>
      <c r="R5" s="1675"/>
      <c r="S5" s="1675"/>
    </row>
    <row r="6" spans="1:22">
      <c r="A6" s="2830" t="str">
        <f>'数据-取费表'!AN6</f>
        <v>收益法</v>
      </c>
      <c r="B6" s="2828">
        <f ca="1">IF(F6="是",'数据-取费表'!AO6,0)</f>
        <v>4462</v>
      </c>
      <c r="C6" s="2058" t="s">
        <v>2340</v>
      </c>
      <c r="D6" s="2938"/>
      <c r="E6" s="2832">
        <f>IF(OR(A6=0,F6="否"),0,'数据-取费表'!K6+'数据-取费表'!S6)</f>
        <v>21257.94</v>
      </c>
      <c r="F6" s="2062" t="s">
        <v>2346</v>
      </c>
      <c r="G6" s="1675"/>
      <c r="H6" s="1675"/>
      <c r="I6" s="1675"/>
      <c r="J6" s="1675"/>
      <c r="K6" s="1675"/>
      <c r="L6" s="1675"/>
      <c r="M6" s="1675"/>
      <c r="N6" s="1675"/>
      <c r="O6" s="1675"/>
      <c r="P6" s="1675"/>
      <c r="Q6" s="1675"/>
      <c r="R6" s="1675"/>
      <c r="S6" s="1675"/>
    </row>
    <row r="7" spans="1:22">
      <c r="A7" s="2830" t="str">
        <f>'数据-取费表'!AN7</f>
        <v>收益法 (元)</v>
      </c>
      <c r="B7" s="2828">
        <f ca="1">IF(F7="是",'数据-取费表'!AO7,0)</f>
        <v>37</v>
      </c>
      <c r="C7" s="2058" t="s">
        <v>2340</v>
      </c>
      <c r="D7" s="2938"/>
      <c r="E7" s="2832">
        <f>IF(OR(A7=0,F7="否"),0,'数据-取费表'!K7+'数据-取费表'!S7)</f>
        <v>171.67</v>
      </c>
      <c r="F7" s="2062" t="s">
        <v>2346</v>
      </c>
      <c r="G7" s="1675"/>
      <c r="H7" s="1675"/>
      <c r="I7" s="1675"/>
      <c r="J7" s="1675"/>
      <c r="K7" s="1675"/>
      <c r="L7" s="1675"/>
      <c r="M7" s="1675"/>
      <c r="N7" s="1675"/>
      <c r="O7" s="1675"/>
      <c r="P7" s="1675"/>
      <c r="Q7" s="1675"/>
      <c r="R7" s="1675"/>
      <c r="S7" s="1675"/>
    </row>
    <row r="8" spans="1:22">
      <c r="A8" s="2830" t="str">
        <f>'数据-取费表'!AN8</f>
        <v>收益法 (元) (2)</v>
      </c>
      <c r="B8" s="2828">
        <f ca="1">IF(F8="是",'数据-取费表'!AO8,0)</f>
        <v>115</v>
      </c>
      <c r="C8" s="2058" t="s">
        <v>2340</v>
      </c>
      <c r="D8" s="2938"/>
      <c r="E8" s="2832">
        <f>IF(OR(A8=0,F8="否"),0,'数据-取费表'!K8+'数据-取费表'!S8)</f>
        <v>546.71</v>
      </c>
      <c r="F8" s="2062" t="s">
        <v>2346</v>
      </c>
      <c r="G8" s="1675"/>
      <c r="H8" s="1675"/>
      <c r="I8" s="1675"/>
      <c r="J8" s="1675"/>
      <c r="K8" s="1675"/>
      <c r="L8" s="1675"/>
      <c r="M8" s="1675"/>
      <c r="N8" s="1675"/>
      <c r="O8" s="1675"/>
      <c r="P8" s="1675"/>
      <c r="Q8" s="1675"/>
      <c r="R8" s="1675"/>
      <c r="S8" s="1675"/>
    </row>
    <row r="9" spans="1:22">
      <c r="A9" s="2830">
        <f>'数据-取费表'!AN9</f>
        <v>0</v>
      </c>
      <c r="B9" s="2828" t="e">
        <f ca="1">IF(F9="是",'数据-取费表'!AO9,0)</f>
        <v>#REF!</v>
      </c>
      <c r="C9" s="2058" t="s">
        <v>2340</v>
      </c>
      <c r="D9" s="2938"/>
      <c r="E9" s="2832">
        <f>IF(OR(A9=0,F9="否"),0,'数据-取费表'!K9+'数据-取费表'!S9)</f>
        <v>0</v>
      </c>
      <c r="F9" s="2062" t="s">
        <v>2346</v>
      </c>
      <c r="G9" s="1675"/>
      <c r="H9" s="1675"/>
      <c r="I9" s="1675"/>
      <c r="J9" s="1675"/>
      <c r="K9" s="1675"/>
      <c r="L9" s="1675"/>
      <c r="M9" s="1675"/>
      <c r="N9" s="1675"/>
      <c r="O9" s="1675"/>
      <c r="P9" s="1675"/>
      <c r="Q9" s="1675"/>
      <c r="R9" s="1675"/>
      <c r="S9" s="1675"/>
    </row>
    <row r="10" spans="1:22">
      <c r="A10" s="2830">
        <f>'数据-取费表'!AN10</f>
        <v>0</v>
      </c>
      <c r="B10" s="2828" t="e">
        <f ca="1">IF(F10="是",'数据-取费表'!AO10,0)</f>
        <v>#REF!</v>
      </c>
      <c r="C10" s="2058" t="s">
        <v>2340</v>
      </c>
      <c r="D10" s="2938"/>
      <c r="E10" s="2832">
        <f>IF(OR(A10=0,F10="否"),0,'数据-取费表'!K10+'数据-取费表'!S10)</f>
        <v>0</v>
      </c>
      <c r="F10" s="2062" t="s">
        <v>2346</v>
      </c>
      <c r="G10" s="1675"/>
      <c r="H10" s="1675"/>
      <c r="I10" s="1675"/>
      <c r="J10" s="1675"/>
      <c r="K10" s="1675"/>
      <c r="L10" s="1675"/>
      <c r="M10" s="1675"/>
      <c r="N10" s="1675"/>
      <c r="O10" s="1675"/>
      <c r="P10" s="1675"/>
      <c r="Q10" s="1675"/>
      <c r="R10" s="1675"/>
      <c r="S10" s="1675"/>
    </row>
    <row r="11" spans="1:22">
      <c r="A11" s="2830">
        <f>'数据-取费表'!AN11</f>
        <v>0</v>
      </c>
      <c r="B11" s="2828" t="e">
        <f ca="1">IF(F11="是",'数据-取费表'!AO11,0)</f>
        <v>#REF!</v>
      </c>
      <c r="C11" s="2058" t="s">
        <v>2340</v>
      </c>
      <c r="D11" s="2938"/>
      <c r="E11" s="2832">
        <f>IF(OR(A11=0,F11="否"),0,'数据-取费表'!K11+'数据-取费表'!S11)</f>
        <v>0</v>
      </c>
      <c r="F11" s="2062" t="s">
        <v>2346</v>
      </c>
      <c r="G11" s="1675"/>
      <c r="H11" s="1675"/>
      <c r="I11" s="1675"/>
      <c r="J11" s="1675"/>
      <c r="K11" s="1675"/>
      <c r="L11" s="1675"/>
      <c r="M11" s="1675"/>
      <c r="N11" s="1675"/>
      <c r="O11" s="1675"/>
      <c r="P11" s="1675"/>
      <c r="Q11" s="1675"/>
      <c r="R11" s="1675"/>
      <c r="S11" s="1675"/>
    </row>
    <row r="12" spans="1:22">
      <c r="A12" s="2830">
        <f>'数据-取费表'!AN12</f>
        <v>0</v>
      </c>
      <c r="B12" s="2828" t="e">
        <f ca="1">IF(F12="是",'数据-取费表'!AO12,0)</f>
        <v>#REF!</v>
      </c>
      <c r="C12" s="2058" t="s">
        <v>2340</v>
      </c>
      <c r="D12" s="2938"/>
      <c r="E12" s="2832">
        <f>IF(OR(A12=0,F12="否"),0,'数据-取费表'!K12+'数据-取费表'!S12)</f>
        <v>0</v>
      </c>
      <c r="F12" s="2062" t="s">
        <v>2346</v>
      </c>
      <c r="G12" s="1675"/>
      <c r="H12" s="1675"/>
      <c r="I12" s="1675"/>
      <c r="J12" s="1675"/>
      <c r="K12" s="1675"/>
      <c r="L12" s="1675"/>
      <c r="M12" s="1675"/>
      <c r="N12" s="1675"/>
      <c r="O12" s="1675"/>
      <c r="P12" s="1675"/>
      <c r="Q12" s="1675"/>
      <c r="R12" s="1675"/>
      <c r="S12" s="1675"/>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受贵公司委托，我公司对房地产抵押价值进行了预评估。</v>
      </c>
    </row>
    <row r="5" spans="1:1" ht="18.75">
      <c r="A5" s="1667" t="s">
        <v>1577</v>
      </c>
    </row>
    <row r="6" spans="1:1" ht="18.75">
      <c r="A6" s="1668" t="s">
        <v>1578</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估价对象为房地产，为所有。根据《国有土地使用证》[]，估价对象（分摊）出让国有建设用地使用权面积为21890.49平方米，建筑面积为21976.32平方米。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估价对象为房地产,属开发建设的，该项目尚在开发建设中。根据《国有土地使用证》[]，估价对象（分摊）出让国有建设用地使用权面积为21890.49平方米，规划建筑面积为21976.32平方米。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2021年4月8日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8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8" t="s">
        <v>1044</v>
      </c>
      <c r="B1" s="3339"/>
      <c r="C1" s="3340"/>
      <c r="D1" s="3341">
        <f>SUM(I10,I15,I20,I21,I23)</f>
        <v>0</v>
      </c>
      <c r="E1" s="3341"/>
      <c r="F1" s="3341"/>
      <c r="G1" s="3341"/>
      <c r="H1" s="3341"/>
      <c r="I1" s="3342"/>
    </row>
    <row r="2" spans="1:9">
      <c r="A2" s="3328" t="s">
        <v>1045</v>
      </c>
      <c r="B2" s="3329" t="s">
        <v>1046</v>
      </c>
      <c r="C2" s="3329"/>
      <c r="D2" s="1211" t="s">
        <v>1047</v>
      </c>
      <c r="E2" s="1211" t="s">
        <v>1048</v>
      </c>
      <c r="F2" s="1211" t="s">
        <v>1049</v>
      </c>
      <c r="G2" s="1211" t="s">
        <v>1050</v>
      </c>
      <c r="H2" s="1211" t="s">
        <v>1051</v>
      </c>
      <c r="I2" s="1212" t="s">
        <v>1052</v>
      </c>
    </row>
    <row r="3" spans="1:9">
      <c r="A3" s="3328"/>
      <c r="B3" s="3329" t="s">
        <v>1053</v>
      </c>
      <c r="C3" s="3329"/>
      <c r="D3" s="1213"/>
      <c r="E3" s="1211"/>
      <c r="F3" s="1214"/>
      <c r="G3" s="1214"/>
      <c r="H3" s="1215"/>
      <c r="I3" s="1216">
        <f>ROUND(D3*E3*F3*G3*H3/10000,0)</f>
        <v>0</v>
      </c>
    </row>
    <row r="4" spans="1:9">
      <c r="A4" s="3328"/>
      <c r="B4" s="3329" t="s">
        <v>1054</v>
      </c>
      <c r="C4" s="3329"/>
      <c r="D4" s="1213"/>
      <c r="E4" s="1211"/>
      <c r="F4" s="1214"/>
      <c r="G4" s="1214"/>
      <c r="H4" s="1215"/>
      <c r="I4" s="1216">
        <f t="shared" ref="I4:I9" si="0">ROUND(D4*E4*F4*G4*H4/10000,0)</f>
        <v>0</v>
      </c>
    </row>
    <row r="5" spans="1:9">
      <c r="A5" s="3328"/>
      <c r="B5" s="3329" t="s">
        <v>1055</v>
      </c>
      <c r="C5" s="3329"/>
      <c r="D5" s="1213"/>
      <c r="E5" s="1211"/>
      <c r="F5" s="1214"/>
      <c r="G5" s="1214"/>
      <c r="H5" s="1215"/>
      <c r="I5" s="1216">
        <f t="shared" si="0"/>
        <v>0</v>
      </c>
    </row>
    <row r="6" spans="1:9">
      <c r="A6" s="3328"/>
      <c r="B6" s="3329" t="s">
        <v>1056</v>
      </c>
      <c r="C6" s="3329"/>
      <c r="D6" s="1213"/>
      <c r="E6" s="1211"/>
      <c r="F6" s="1214"/>
      <c r="G6" s="1214"/>
      <c r="H6" s="1215"/>
      <c r="I6" s="1216">
        <f t="shared" si="0"/>
        <v>0</v>
      </c>
    </row>
    <row r="7" spans="1:9">
      <c r="A7" s="3328"/>
      <c r="B7" s="3329" t="s">
        <v>1057</v>
      </c>
      <c r="C7" s="3329"/>
      <c r="D7" s="1213"/>
      <c r="E7" s="1211"/>
      <c r="F7" s="1214"/>
      <c r="G7" s="1214"/>
      <c r="H7" s="1215"/>
      <c r="I7" s="1216">
        <f t="shared" si="0"/>
        <v>0</v>
      </c>
    </row>
    <row r="8" spans="1:9">
      <c r="A8" s="3328"/>
      <c r="B8" s="3329" t="s">
        <v>1058</v>
      </c>
      <c r="C8" s="3329"/>
      <c r="D8" s="1213"/>
      <c r="E8" s="1211"/>
      <c r="F8" s="1214"/>
      <c r="G8" s="1214"/>
      <c r="H8" s="1215"/>
      <c r="I8" s="1216">
        <f t="shared" si="0"/>
        <v>0</v>
      </c>
    </row>
    <row r="9" spans="1:9">
      <c r="A9" s="3328"/>
      <c r="B9" s="3329" t="s">
        <v>1059</v>
      </c>
      <c r="C9" s="3329"/>
      <c r="D9" s="1213"/>
      <c r="E9" s="1211"/>
      <c r="F9" s="1214"/>
      <c r="G9" s="1214"/>
      <c r="H9" s="1215"/>
      <c r="I9" s="1216">
        <f t="shared" si="0"/>
        <v>0</v>
      </c>
    </row>
    <row r="10" spans="1:9">
      <c r="A10" s="3328"/>
      <c r="B10" s="3330" t="s">
        <v>1060</v>
      </c>
      <c r="C10" s="3330"/>
      <c r="D10" s="1217"/>
      <c r="E10" s="1217" t="e">
        <f>ROUND(D1*10000/D10/H9,0)</f>
        <v>#DIV/0!</v>
      </c>
      <c r="F10" s="1218"/>
      <c r="G10" s="1218"/>
      <c r="H10" s="1219"/>
      <c r="I10" s="1220">
        <f>SUM(I3:I9)</f>
        <v>0</v>
      </c>
    </row>
    <row r="11" spans="1:9" ht="14.25">
      <c r="A11" s="3328" t="s">
        <v>1061</v>
      </c>
      <c r="B11" s="3329" t="s">
        <v>1062</v>
      </c>
      <c r="C11" s="3329"/>
      <c r="D11" s="1213" t="s">
        <v>1063</v>
      </c>
      <c r="E11" s="1213" t="s">
        <v>1064</v>
      </c>
      <c r="F11" s="1214" t="s">
        <v>1065</v>
      </c>
      <c r="G11" s="1214" t="s">
        <v>1051</v>
      </c>
      <c r="H11" s="1221" t="s">
        <v>1066</v>
      </c>
      <c r="I11" s="1212" t="s">
        <v>1052</v>
      </c>
    </row>
    <row r="12" spans="1:9">
      <c r="A12" s="3328"/>
      <c r="B12" s="3329" t="s">
        <v>1067</v>
      </c>
      <c r="C12" s="3329"/>
      <c r="D12" s="1213"/>
      <c r="E12" s="1213"/>
      <c r="F12" s="1214"/>
      <c r="G12" s="1215"/>
      <c r="H12" s="1222"/>
      <c r="I12" s="1212">
        <f>ROUND(D12*E12*F12*G12/10000,0)</f>
        <v>0</v>
      </c>
    </row>
    <row r="13" spans="1:9">
      <c r="A13" s="3328"/>
      <c r="B13" s="3329" t="s">
        <v>1068</v>
      </c>
      <c r="C13" s="3329"/>
      <c r="D13" s="1213"/>
      <c r="E13" s="1213"/>
      <c r="F13" s="1214"/>
      <c r="G13" s="1215"/>
      <c r="H13" s="1222"/>
      <c r="I13" s="1212">
        <f>ROUND(D13*E13*F13*G13/10000,0)</f>
        <v>0</v>
      </c>
    </row>
    <row r="14" spans="1:9">
      <c r="A14" s="3328"/>
      <c r="B14" s="3329" t="s">
        <v>1069</v>
      </c>
      <c r="C14" s="3329"/>
      <c r="D14" s="1213"/>
      <c r="E14" s="1213"/>
      <c r="F14" s="1214"/>
      <c r="G14" s="1215"/>
      <c r="H14" s="1222"/>
      <c r="I14" s="1212">
        <f>ROUND(D14*E14*F14*G14/10000,0)</f>
        <v>0</v>
      </c>
    </row>
    <row r="15" spans="1:9">
      <c r="A15" s="3328"/>
      <c r="B15" s="3330" t="s">
        <v>1060</v>
      </c>
      <c r="C15" s="3330"/>
      <c r="D15" s="1217"/>
      <c r="E15" s="1217">
        <f>SUM(E12:E14)</f>
        <v>0</v>
      </c>
      <c r="F15" s="1218"/>
      <c r="G15" s="1215"/>
      <c r="H15" s="1222"/>
      <c r="I15" s="1223">
        <f>SUM(I12:I14)</f>
        <v>0</v>
      </c>
    </row>
    <row r="16" spans="1:9" ht="24">
      <c r="A16" s="3328" t="s">
        <v>1070</v>
      </c>
      <c r="B16" s="3329" t="s">
        <v>1071</v>
      </c>
      <c r="C16" s="3329"/>
      <c r="D16" s="1213" t="s">
        <v>1047</v>
      </c>
      <c r="E16" s="1224" t="s">
        <v>1072</v>
      </c>
      <c r="F16" s="1214" t="s">
        <v>1073</v>
      </c>
      <c r="G16" s="1215" t="s">
        <v>1051</v>
      </c>
      <c r="H16" s="1221" t="s">
        <v>1066</v>
      </c>
      <c r="I16" s="1212" t="s">
        <v>1052</v>
      </c>
    </row>
    <row r="17" spans="1:9" ht="14.25">
      <c r="A17" s="3328"/>
      <c r="B17" s="3329" t="s">
        <v>1074</v>
      </c>
      <c r="C17" s="3329"/>
      <c r="D17" s="1213"/>
      <c r="E17" s="1213"/>
      <c r="F17" s="1214"/>
      <c r="G17" s="1215"/>
      <c r="H17" s="1225"/>
      <c r="I17" s="1226">
        <f>ROUND(D17*E17*F17*G17/10000,0)</f>
        <v>0</v>
      </c>
    </row>
    <row r="18" spans="1:9" ht="14.25">
      <c r="A18" s="3328"/>
      <c r="B18" s="3329" t="s">
        <v>1075</v>
      </c>
      <c r="C18" s="3329"/>
      <c r="D18" s="1213"/>
      <c r="E18" s="1213"/>
      <c r="F18" s="1214"/>
      <c r="G18" s="1215"/>
      <c r="H18" s="1225"/>
      <c r="I18" s="1226">
        <f>ROUND(D18*E18*F18*G18/10000,0)</f>
        <v>0</v>
      </c>
    </row>
    <row r="19" spans="1:9" ht="14.25">
      <c r="A19" s="3328"/>
      <c r="B19" s="3329" t="s">
        <v>1076</v>
      </c>
      <c r="C19" s="3329"/>
      <c r="D19" s="1213"/>
      <c r="E19" s="1213"/>
      <c r="F19" s="1214"/>
      <c r="G19" s="1215"/>
      <c r="H19" s="1225"/>
      <c r="I19" s="1226">
        <f>ROUND(D19*E19*F19*G19/10000,0)</f>
        <v>0</v>
      </c>
    </row>
    <row r="20" spans="1:9">
      <c r="A20" s="3328"/>
      <c r="B20" s="3330" t="s">
        <v>1060</v>
      </c>
      <c r="C20" s="3330"/>
      <c r="D20" s="1217">
        <f>SUM(D17:D19)</f>
        <v>0</v>
      </c>
      <c r="E20" s="1217"/>
      <c r="F20" s="1218"/>
      <c r="G20" s="1215"/>
      <c r="H20" s="1222"/>
      <c r="I20" s="1223">
        <f>SUM(I17:I19)</f>
        <v>0</v>
      </c>
    </row>
    <row r="21" spans="1:9">
      <c r="A21" s="3328" t="s">
        <v>1077</v>
      </c>
      <c r="B21" s="3331"/>
      <c r="C21" s="3331"/>
      <c r="D21" s="3331"/>
      <c r="E21" s="3331"/>
      <c r="F21" s="3331"/>
      <c r="G21" s="3331"/>
      <c r="H21" s="1503">
        <v>0.1</v>
      </c>
      <c r="I21" s="1220">
        <f>ROUND(I10*H21,0)</f>
        <v>0</v>
      </c>
    </row>
    <row r="22" spans="1:9" ht="14.25">
      <c r="A22" s="3332" t="s">
        <v>1078</v>
      </c>
      <c r="B22" s="3333"/>
      <c r="C22" s="3334"/>
      <c r="D22" s="1227" t="s">
        <v>1079</v>
      </c>
      <c r="E22" s="1227" t="s">
        <v>1080</v>
      </c>
      <c r="F22" s="1228" t="s">
        <v>1081</v>
      </c>
      <c r="G22" s="1228" t="s">
        <v>1082</v>
      </c>
      <c r="H22" s="1221" t="s">
        <v>1083</v>
      </c>
      <c r="I22" s="1212" t="s">
        <v>1084</v>
      </c>
    </row>
    <row r="23" spans="1:9" ht="14.25" thickBot="1">
      <c r="A23" s="3335"/>
      <c r="B23" s="3336"/>
      <c r="C23" s="3337"/>
      <c r="D23" s="1229"/>
      <c r="E23" s="1229"/>
      <c r="F23" s="1229"/>
      <c r="G23" s="1230"/>
      <c r="H23" s="1231"/>
      <c r="I23" s="1232">
        <f>ROUND(E23*D23*F23*(1-G23)/10000,0)</f>
        <v>0</v>
      </c>
    </row>
    <row r="26" spans="1:9">
      <c r="A26" s="1233" t="s">
        <v>1085</v>
      </c>
      <c r="B26" s="1233"/>
      <c r="C26" s="1233"/>
      <c r="D26" s="1233"/>
      <c r="E26" s="3325">
        <f>C27-C30-C31-C32</f>
        <v>0</v>
      </c>
      <c r="F26" s="3325"/>
      <c r="G26" s="3325"/>
      <c r="H26" s="1500" t="s">
        <v>1306</v>
      </c>
    </row>
    <row r="27" spans="1:9">
      <c r="A27" s="1234">
        <v>1</v>
      </c>
      <c r="B27" s="1235" t="s">
        <v>1086</v>
      </c>
      <c r="C27" s="1235">
        <f>C28+C29</f>
        <v>0</v>
      </c>
      <c r="D27" s="1235"/>
      <c r="E27" s="3326"/>
      <c r="F27" s="3326"/>
      <c r="G27" s="3326"/>
    </row>
    <row r="28" spans="1:9">
      <c r="A28" s="1236" t="s">
        <v>1087</v>
      </c>
      <c r="B28" s="1235" t="s">
        <v>1088</v>
      </c>
      <c r="C28" s="1235"/>
      <c r="D28" s="1235"/>
      <c r="E28" s="3326"/>
      <c r="F28" s="3326"/>
      <c r="G28" s="332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7"/>
      <c r="F32" s="3327"/>
      <c r="G32" s="3327"/>
    </row>
    <row r="33" spans="1:7" hidden="1">
      <c r="A33" s="3322" t="s">
        <v>1097</v>
      </c>
      <c r="B33" s="3323"/>
      <c r="C33" s="3323"/>
      <c r="D33" s="3324"/>
      <c r="E33" s="3325"/>
      <c r="F33" s="3325"/>
      <c r="G33" s="3325"/>
    </row>
    <row r="34" spans="1:7" hidden="1">
      <c r="A34" s="1238">
        <v>1</v>
      </c>
      <c r="B34" s="1235" t="s">
        <v>1098</v>
      </c>
      <c r="C34" s="1235"/>
      <c r="D34" s="1235"/>
      <c r="E34" s="3326"/>
      <c r="F34" s="3326"/>
      <c r="G34" s="3326"/>
    </row>
    <row r="35" spans="1:7" hidden="1">
      <c r="A35" s="1238">
        <v>2</v>
      </c>
      <c r="B35" s="1235" t="s">
        <v>1099</v>
      </c>
      <c r="C35" s="1235"/>
      <c r="D35" s="1235"/>
      <c r="E35" s="3326"/>
      <c r="F35" s="3326"/>
      <c r="G35" s="3326"/>
    </row>
    <row r="36" spans="1:7" hidden="1">
      <c r="A36" s="1238">
        <v>3</v>
      </c>
      <c r="B36" s="1235" t="s">
        <v>1100</v>
      </c>
      <c r="C36" s="1235"/>
      <c r="D36" s="1235"/>
      <c r="E36" s="3326"/>
      <c r="F36" s="3326"/>
      <c r="G36" s="3326"/>
    </row>
    <row r="37" spans="1:7" hidden="1">
      <c r="A37" s="1238">
        <v>4</v>
      </c>
      <c r="B37" s="1235" t="s">
        <v>1101</v>
      </c>
      <c r="C37" s="1235"/>
      <c r="D37" s="1235"/>
      <c r="E37" s="3326"/>
      <c r="F37" s="3326"/>
      <c r="G37" s="3326"/>
    </row>
    <row r="38" spans="1:7" hidden="1">
      <c r="A38" s="3322" t="s">
        <v>1102</v>
      </c>
      <c r="B38" s="3323"/>
      <c r="C38" s="3323"/>
      <c r="D38" s="3324"/>
      <c r="E38" s="3325"/>
      <c r="F38" s="3325"/>
      <c r="G38" s="33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21976.32</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72" t="s">
        <v>2357</v>
      </c>
      <c r="D4" s="3285"/>
      <c r="E4" s="3286" t="s">
        <v>2358</v>
      </c>
      <c r="F4" s="3287"/>
      <c r="G4" s="3272" t="s">
        <v>2359</v>
      </c>
      <c r="H4" s="3285"/>
      <c r="I4" s="3272" t="s">
        <v>2360</v>
      </c>
      <c r="J4" s="3285"/>
      <c r="K4" s="2075" t="s">
        <v>2361</v>
      </c>
      <c r="L4" s="2944"/>
      <c r="M4" s="2945"/>
      <c r="N4" s="2945"/>
      <c r="O4" s="2945"/>
      <c r="P4" s="3288" t="s">
        <v>2362</v>
      </c>
      <c r="Q4" s="3289"/>
      <c r="R4" s="3294" t="s">
        <v>2358</v>
      </c>
      <c r="S4" s="3295"/>
      <c r="T4" s="3294" t="s">
        <v>2359</v>
      </c>
      <c r="U4" s="3295"/>
      <c r="V4" s="3281" t="s">
        <v>2360</v>
      </c>
      <c r="W4" s="3281"/>
      <c r="X4" s="1540"/>
      <c r="Y4" s="3294" t="s">
        <v>2362</v>
      </c>
      <c r="Z4" s="3295"/>
      <c r="AA4" s="3282" t="s">
        <v>2358</v>
      </c>
      <c r="AB4" s="3282" t="s">
        <v>2359</v>
      </c>
      <c r="AC4" s="3282" t="s">
        <v>2360</v>
      </c>
    </row>
    <row r="5" spans="1:29" ht="15">
      <c r="A5" s="364"/>
      <c r="B5" s="365"/>
      <c r="C5" s="3302" t="s">
        <v>2363</v>
      </c>
      <c r="D5" s="3303"/>
      <c r="E5" s="3309" t="s">
        <v>2364</v>
      </c>
      <c r="F5" s="3310"/>
      <c r="G5" s="3302" t="s">
        <v>2365</v>
      </c>
      <c r="H5" s="3303"/>
      <c r="I5" s="3302" t="s">
        <v>2366</v>
      </c>
      <c r="J5" s="3303"/>
      <c r="K5" s="2076"/>
      <c r="L5" s="2944"/>
      <c r="M5" s="2945"/>
      <c r="N5" s="2945"/>
      <c r="O5" s="2945"/>
      <c r="P5" s="3290"/>
      <c r="Q5" s="3291"/>
      <c r="R5" s="3296"/>
      <c r="S5" s="3297"/>
      <c r="T5" s="3296"/>
      <c r="U5" s="3297"/>
      <c r="V5" s="3281"/>
      <c r="W5" s="3281"/>
      <c r="X5" s="1540"/>
      <c r="Y5" s="3296"/>
      <c r="Z5" s="3297"/>
      <c r="AA5" s="3283"/>
      <c r="AB5" s="3283"/>
      <c r="AC5" s="3283"/>
    </row>
    <row r="6" spans="1:29" ht="15.75" thickBot="1">
      <c r="A6" s="366"/>
      <c r="B6" s="367"/>
      <c r="C6" s="3300" t="s">
        <v>2367</v>
      </c>
      <c r="D6" s="3301"/>
      <c r="E6" s="3307" t="s">
        <v>2367</v>
      </c>
      <c r="F6" s="3308"/>
      <c r="G6" s="3300" t="s">
        <v>2367</v>
      </c>
      <c r="H6" s="3301"/>
      <c r="I6" s="3300" t="s">
        <v>2367</v>
      </c>
      <c r="J6" s="3301"/>
      <c r="K6" s="2076" t="s">
        <v>2368</v>
      </c>
      <c r="L6" s="2944"/>
      <c r="M6" s="2945"/>
      <c r="N6" s="2945"/>
      <c r="O6" s="2945"/>
      <c r="P6" s="3292"/>
      <c r="Q6" s="3293"/>
      <c r="R6" s="3296"/>
      <c r="S6" s="3297"/>
      <c r="T6" s="3298"/>
      <c r="U6" s="3299"/>
      <c r="V6" s="3281"/>
      <c r="W6" s="3281"/>
      <c r="X6" s="1540"/>
      <c r="Y6" s="3298"/>
      <c r="Z6" s="3299"/>
      <c r="AA6" s="3284"/>
      <c r="AB6" s="3284"/>
      <c r="AC6" s="3284"/>
    </row>
    <row r="7" spans="1:29" s="113" customFormat="1" ht="15.75" thickBot="1">
      <c r="A7" s="368" t="s">
        <v>2369</v>
      </c>
      <c r="B7" s="369"/>
      <c r="C7" s="370">
        <f>'数据-取费表'!B2</f>
        <v>44294</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04" t="s">
        <v>2370</v>
      </c>
      <c r="Q7" s="3306"/>
      <c r="R7" s="710" t="s">
        <v>23</v>
      </c>
      <c r="S7" s="711">
        <f t="shared" ref="S7:S15" si="0">F7</f>
        <v>0</v>
      </c>
      <c r="T7" s="710" t="s">
        <v>23</v>
      </c>
      <c r="U7" s="711">
        <f t="shared" ref="U7:U15" si="1">H7</f>
        <v>0</v>
      </c>
      <c r="V7" s="710" t="s">
        <v>23</v>
      </c>
      <c r="W7" s="711">
        <f t="shared" ref="W7:W15" si="2">J7</f>
        <v>0</v>
      </c>
      <c r="X7" s="712"/>
      <c r="Y7" s="3304" t="s">
        <v>2370</v>
      </c>
      <c r="Z7" s="3305"/>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04" t="s">
        <v>2373</v>
      </c>
      <c r="Q8" s="3305"/>
      <c r="R8" s="710" t="s">
        <v>23</v>
      </c>
      <c r="S8" s="711">
        <f t="shared" si="0"/>
        <v>0</v>
      </c>
      <c r="T8" s="710" t="s">
        <v>23</v>
      </c>
      <c r="U8" s="711">
        <f t="shared" si="1"/>
        <v>0</v>
      </c>
      <c r="V8" s="710" t="s">
        <v>23</v>
      </c>
      <c r="W8" s="711">
        <f t="shared" si="2"/>
        <v>0</v>
      </c>
      <c r="X8" s="712"/>
      <c r="Y8" s="3304" t="s">
        <v>2373</v>
      </c>
      <c r="Z8" s="3305"/>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74" t="s">
        <v>2376</v>
      </c>
      <c r="Q9" s="1528" t="str">
        <f t="shared" ref="Q9:Q15" si="6">B9</f>
        <v>用途</v>
      </c>
      <c r="R9" s="710" t="s">
        <v>17</v>
      </c>
      <c r="S9" s="711">
        <f t="shared" si="0"/>
        <v>100</v>
      </c>
      <c r="T9" s="710" t="s">
        <v>17</v>
      </c>
      <c r="U9" s="711">
        <f t="shared" si="1"/>
        <v>100</v>
      </c>
      <c r="V9" s="710" t="s">
        <v>17</v>
      </c>
      <c r="W9" s="711">
        <f t="shared" si="2"/>
        <v>100</v>
      </c>
      <c r="X9" s="712"/>
      <c r="Y9" s="316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74"/>
      <c r="Q10" s="1528" t="str">
        <f t="shared" si="6"/>
        <v>土地使用年限（年）</v>
      </c>
      <c r="R10" s="710" t="s">
        <v>17</v>
      </c>
      <c r="S10" s="711">
        <f t="shared" si="0"/>
        <v>100</v>
      </c>
      <c r="T10" s="710" t="s">
        <v>17</v>
      </c>
      <c r="U10" s="711">
        <f t="shared" si="1"/>
        <v>100</v>
      </c>
      <c r="V10" s="710" t="s">
        <v>17</v>
      </c>
      <c r="W10" s="711">
        <f t="shared" si="2"/>
        <v>100</v>
      </c>
      <c r="X10" s="712"/>
      <c r="Y10" s="316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74"/>
      <c r="Q11" s="1528" t="str">
        <f t="shared" si="6"/>
        <v>容积率</v>
      </c>
      <c r="R11" s="710" t="s">
        <v>21</v>
      </c>
      <c r="S11" s="711" t="e">
        <f t="shared" si="0"/>
        <v>#N/A</v>
      </c>
      <c r="T11" s="710" t="s">
        <v>21</v>
      </c>
      <c r="U11" s="711" t="e">
        <f t="shared" si="1"/>
        <v>#N/A</v>
      </c>
      <c r="V11" s="710" t="s">
        <v>21</v>
      </c>
      <c r="W11" s="711" t="e">
        <f t="shared" si="2"/>
        <v>#N/A</v>
      </c>
      <c r="X11" s="712"/>
      <c r="Y11" s="316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74"/>
      <c r="Q12" s="1528">
        <f t="shared" si="6"/>
        <v>111</v>
      </c>
      <c r="R12" s="710" t="s">
        <v>21</v>
      </c>
      <c r="S12" s="711">
        <f t="shared" si="0"/>
        <v>100</v>
      </c>
      <c r="T12" s="710" t="s">
        <v>21</v>
      </c>
      <c r="U12" s="711">
        <f t="shared" si="1"/>
        <v>100</v>
      </c>
      <c r="V12" s="710" t="s">
        <v>21</v>
      </c>
      <c r="W12" s="711">
        <f t="shared" si="2"/>
        <v>100</v>
      </c>
      <c r="X12" s="712"/>
      <c r="Y12" s="316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74"/>
      <c r="Q13" s="1528">
        <f t="shared" si="6"/>
        <v>111</v>
      </c>
      <c r="R13" s="710" t="s">
        <v>21</v>
      </c>
      <c r="S13" s="711">
        <f t="shared" si="0"/>
        <v>100</v>
      </c>
      <c r="T13" s="710" t="s">
        <v>21</v>
      </c>
      <c r="U13" s="711">
        <f t="shared" si="1"/>
        <v>100</v>
      </c>
      <c r="V13" s="710" t="s">
        <v>21</v>
      </c>
      <c r="W13" s="711">
        <f t="shared" si="2"/>
        <v>100</v>
      </c>
      <c r="X13" s="712"/>
      <c r="Y13" s="316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74"/>
      <c r="Q14" s="1528">
        <f t="shared" si="6"/>
        <v>111</v>
      </c>
      <c r="R14" s="710" t="s">
        <v>21</v>
      </c>
      <c r="S14" s="711">
        <f t="shared" si="0"/>
        <v>100</v>
      </c>
      <c r="T14" s="710" t="s">
        <v>21</v>
      </c>
      <c r="U14" s="711">
        <f t="shared" si="1"/>
        <v>100</v>
      </c>
      <c r="V14" s="710" t="s">
        <v>21</v>
      </c>
      <c r="W14" s="711">
        <f t="shared" si="2"/>
        <v>100</v>
      </c>
      <c r="X14" s="712"/>
      <c r="Y14" s="3169"/>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49" t="s">
        <v>2381</v>
      </c>
      <c r="Q15" s="1537" t="str">
        <f t="shared" si="6"/>
        <v>居住社区成熟度</v>
      </c>
      <c r="R15" s="714" t="s">
        <v>21</v>
      </c>
      <c r="S15" s="715">
        <f t="shared" si="0"/>
        <v>100</v>
      </c>
      <c r="T15" s="714" t="s">
        <v>21</v>
      </c>
      <c r="U15" s="715">
        <f t="shared" si="1"/>
        <v>100</v>
      </c>
      <c r="V15" s="714" t="s">
        <v>21</v>
      </c>
      <c r="W15" s="715">
        <f t="shared" si="2"/>
        <v>100</v>
      </c>
      <c r="X15" s="1540"/>
      <c r="Y15" s="3277" t="s">
        <v>2381</v>
      </c>
      <c r="Z15" s="1541" t="str">
        <f t="shared" si="7"/>
        <v>居住社区成熟度</v>
      </c>
      <c r="AA15" s="1538">
        <f t="shared" si="3"/>
        <v>1</v>
      </c>
      <c r="AB15" s="1538">
        <f t="shared" si="4"/>
        <v>1</v>
      </c>
      <c r="AC15" s="1538">
        <f t="shared" si="5"/>
        <v>1</v>
      </c>
    </row>
    <row r="16" spans="1:29" ht="15">
      <c r="A16" s="387"/>
      <c r="B16" s="405"/>
      <c r="C16" s="406"/>
      <c r="D16" s="407"/>
      <c r="E16" s="2083"/>
      <c r="F16" s="407"/>
      <c r="G16" s="2084"/>
      <c r="H16" s="409"/>
      <c r="I16" s="2084"/>
      <c r="J16" s="407"/>
      <c r="K16" s="2085"/>
      <c r="L16" s="2951"/>
      <c r="M16" s="2945"/>
      <c r="N16" s="2945"/>
      <c r="O16" s="2945"/>
      <c r="P16" s="3350"/>
      <c r="Q16" s="1537"/>
      <c r="R16" s="714"/>
      <c r="S16" s="715"/>
      <c r="T16" s="714"/>
      <c r="U16" s="715"/>
      <c r="V16" s="714"/>
      <c r="W16" s="715"/>
      <c r="X16" s="1540"/>
      <c r="Y16" s="3278"/>
      <c r="Z16" s="1541"/>
      <c r="AA16" s="1538">
        <v>1</v>
      </c>
      <c r="AB16" s="1538">
        <v>1</v>
      </c>
      <c r="AC16" s="1538">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50"/>
      <c r="Q17" s="1537" t="str">
        <f>B17</f>
        <v>交通便捷度</v>
      </c>
      <c r="R17" s="714" t="s">
        <v>21</v>
      </c>
      <c r="S17" s="715">
        <f>F17</f>
        <v>100</v>
      </c>
      <c r="T17" s="714" t="s">
        <v>21</v>
      </c>
      <c r="U17" s="715">
        <f>H17</f>
        <v>100</v>
      </c>
      <c r="V17" s="714" t="s">
        <v>21</v>
      </c>
      <c r="W17" s="715">
        <f>J17</f>
        <v>100</v>
      </c>
      <c r="X17" s="1540"/>
      <c r="Y17" s="3278"/>
      <c r="Z17" s="1541" t="str">
        <f>Q17</f>
        <v>交通便捷度</v>
      </c>
      <c r="AA17" s="1538">
        <f t="shared" si="3"/>
        <v>1</v>
      </c>
      <c r="AB17" s="1538">
        <f t="shared" si="4"/>
        <v>1</v>
      </c>
      <c r="AC17" s="1538">
        <f t="shared" si="5"/>
        <v>1</v>
      </c>
    </row>
    <row r="18" spans="1:29" ht="15">
      <c r="A18" s="387"/>
      <c r="B18" s="415"/>
      <c r="C18" s="2087"/>
      <c r="D18" s="409"/>
      <c r="E18" s="2088"/>
      <c r="F18" s="409"/>
      <c r="G18" s="2089"/>
      <c r="H18" s="407"/>
      <c r="I18" s="2089"/>
      <c r="J18" s="407"/>
      <c r="K18" s="2085"/>
      <c r="L18" s="2951"/>
      <c r="M18" s="2945"/>
      <c r="N18" s="2945"/>
      <c r="O18" s="2945"/>
      <c r="P18" s="3350"/>
      <c r="Q18" s="1537"/>
      <c r="R18" s="714"/>
      <c r="S18" s="715"/>
      <c r="T18" s="714"/>
      <c r="U18" s="715"/>
      <c r="V18" s="714"/>
      <c r="W18" s="715"/>
      <c r="X18" s="1540"/>
      <c r="Y18" s="3278"/>
      <c r="Z18" s="1541"/>
      <c r="AA18" s="1538">
        <v>1</v>
      </c>
      <c r="AB18" s="1538">
        <v>1</v>
      </c>
      <c r="AC18" s="1538">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50"/>
      <c r="Q19" s="1537" t="str">
        <f>B19</f>
        <v>公共配套设施</v>
      </c>
      <c r="R19" s="714" t="s">
        <v>21</v>
      </c>
      <c r="S19" s="715">
        <f>F19</f>
        <v>100</v>
      </c>
      <c r="T19" s="714" t="s">
        <v>21</v>
      </c>
      <c r="U19" s="715">
        <f>H19</f>
        <v>100</v>
      </c>
      <c r="V19" s="714" t="s">
        <v>21</v>
      </c>
      <c r="W19" s="715">
        <f>J19</f>
        <v>100</v>
      </c>
      <c r="X19" s="1540"/>
      <c r="Y19" s="3278"/>
      <c r="Z19" s="1541" t="str">
        <f>Q19</f>
        <v>公共配套设施</v>
      </c>
      <c r="AA19" s="1538">
        <f t="shared" si="3"/>
        <v>1</v>
      </c>
      <c r="AB19" s="1538">
        <f t="shared" si="4"/>
        <v>1</v>
      </c>
      <c r="AC19" s="1538">
        <f t="shared" si="5"/>
        <v>1</v>
      </c>
    </row>
    <row r="20" spans="1:29" ht="15">
      <c r="A20" s="387"/>
      <c r="B20" s="415"/>
      <c r="C20" s="406"/>
      <c r="D20" s="407"/>
      <c r="E20" s="2083"/>
      <c r="F20" s="407"/>
      <c r="G20" s="2084"/>
      <c r="H20" s="407"/>
      <c r="I20" s="2084"/>
      <c r="J20" s="407"/>
      <c r="K20" s="2085"/>
      <c r="L20" s="2951"/>
      <c r="M20" s="2945"/>
      <c r="N20" s="2945"/>
      <c r="O20" s="2945"/>
      <c r="P20" s="3350"/>
      <c r="Q20" s="1537"/>
      <c r="R20" s="714"/>
      <c r="S20" s="715"/>
      <c r="T20" s="714"/>
      <c r="U20" s="715"/>
      <c r="V20" s="714"/>
      <c r="W20" s="715"/>
      <c r="X20" s="1540"/>
      <c r="Y20" s="3278"/>
      <c r="Z20" s="1541"/>
      <c r="AA20" s="1538">
        <v>1</v>
      </c>
      <c r="AB20" s="1538">
        <v>1</v>
      </c>
      <c r="AC20" s="1538">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50"/>
      <c r="Q21" s="1537" t="str">
        <f>B21</f>
        <v>基础设施水平</v>
      </c>
      <c r="R21" s="714" t="s">
        <v>17</v>
      </c>
      <c r="S21" s="715">
        <f>F21</f>
        <v>100</v>
      </c>
      <c r="T21" s="714" t="s">
        <v>17</v>
      </c>
      <c r="U21" s="715">
        <f>H21</f>
        <v>100</v>
      </c>
      <c r="V21" s="714" t="s">
        <v>17</v>
      </c>
      <c r="W21" s="715">
        <f>J21</f>
        <v>100</v>
      </c>
      <c r="X21" s="1540"/>
      <c r="Y21" s="3278"/>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7"/>
      <c r="G22" s="2090"/>
      <c r="H22" s="407"/>
      <c r="I22" s="406"/>
      <c r="J22" s="407"/>
      <c r="K22" s="2091"/>
      <c r="L22" s="2951"/>
      <c r="M22" s="2945"/>
      <c r="N22" s="2945"/>
      <c r="O22" s="2945"/>
      <c r="P22" s="3350"/>
      <c r="Q22" s="1537"/>
      <c r="R22" s="714"/>
      <c r="S22" s="715"/>
      <c r="T22" s="714"/>
      <c r="U22" s="715"/>
      <c r="V22" s="714"/>
      <c r="W22" s="715"/>
      <c r="X22" s="1540"/>
      <c r="Y22" s="3278"/>
      <c r="Z22" s="1541"/>
      <c r="AA22" s="1538">
        <v>1</v>
      </c>
      <c r="AB22" s="1538">
        <v>1</v>
      </c>
      <c r="AC22" s="1538">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50"/>
      <c r="Q23" s="1537" t="str">
        <f>B23</f>
        <v>自然及人文环境</v>
      </c>
      <c r="R23" s="714" t="s">
        <v>21</v>
      </c>
      <c r="S23" s="715">
        <f>F23</f>
        <v>100</v>
      </c>
      <c r="T23" s="714" t="s">
        <v>21</v>
      </c>
      <c r="U23" s="715">
        <f>H23</f>
        <v>100</v>
      </c>
      <c r="V23" s="714" t="s">
        <v>21</v>
      </c>
      <c r="W23" s="715">
        <f>J23</f>
        <v>100</v>
      </c>
      <c r="X23" s="1540"/>
      <c r="Y23" s="3278"/>
      <c r="Z23" s="1541" t="str">
        <f>Q23</f>
        <v>自然及人文环境</v>
      </c>
      <c r="AA23" s="1538">
        <f>D23/F23</f>
        <v>1</v>
      </c>
      <c r="AB23" s="1538">
        <f>D23/H23</f>
        <v>1</v>
      </c>
      <c r="AC23" s="1538">
        <f>D23/J23</f>
        <v>1</v>
      </c>
    </row>
    <row r="24" spans="1:29" ht="15">
      <c r="A24" s="387"/>
      <c r="B24" s="415"/>
      <c r="C24" s="406"/>
      <c r="D24" s="407"/>
      <c r="E24" s="2083"/>
      <c r="F24" s="407"/>
      <c r="G24" s="2084"/>
      <c r="H24" s="407"/>
      <c r="I24" s="2084"/>
      <c r="J24" s="407"/>
      <c r="K24" s="2085"/>
      <c r="L24" s="2951"/>
      <c r="M24" s="2945"/>
      <c r="N24" s="2945"/>
      <c r="O24" s="2945"/>
      <c r="P24" s="3350"/>
      <c r="Q24" s="1537"/>
      <c r="R24" s="714"/>
      <c r="S24" s="715"/>
      <c r="T24" s="714"/>
      <c r="U24" s="715"/>
      <c r="V24" s="714"/>
      <c r="W24" s="715"/>
      <c r="X24" s="1540"/>
      <c r="Y24" s="3278"/>
      <c r="Z24" s="1541"/>
      <c r="AA24" s="1538">
        <v>1</v>
      </c>
      <c r="AB24" s="1538">
        <v>1</v>
      </c>
      <c r="AC24" s="1538">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50"/>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78"/>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50"/>
      <c r="Q26" s="1537" t="str">
        <f t="shared" si="11"/>
        <v>朝向</v>
      </c>
      <c r="R26" s="714" t="s">
        <v>21</v>
      </c>
      <c r="S26" s="715">
        <f t="shared" si="12"/>
        <v>100</v>
      </c>
      <c r="T26" s="714" t="s">
        <v>21</v>
      </c>
      <c r="U26" s="715">
        <f t="shared" si="13"/>
        <v>100</v>
      </c>
      <c r="V26" s="714" t="s">
        <v>21</v>
      </c>
      <c r="W26" s="715">
        <f t="shared" si="14"/>
        <v>100</v>
      </c>
      <c r="X26" s="1540"/>
      <c r="Y26" s="3278"/>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50"/>
      <c r="Q27" s="1528">
        <f t="shared" si="11"/>
        <v>111</v>
      </c>
      <c r="R27" s="710" t="s">
        <v>21</v>
      </c>
      <c r="S27" s="711">
        <f t="shared" si="12"/>
        <v>100</v>
      </c>
      <c r="T27" s="710" t="s">
        <v>21</v>
      </c>
      <c r="U27" s="711">
        <f t="shared" si="13"/>
        <v>100</v>
      </c>
      <c r="V27" s="710" t="s">
        <v>21</v>
      </c>
      <c r="W27" s="711">
        <f t="shared" si="14"/>
        <v>100</v>
      </c>
      <c r="X27" s="712"/>
      <c r="Y27" s="3278"/>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50"/>
      <c r="Q28" s="1537">
        <f t="shared" si="11"/>
        <v>111</v>
      </c>
      <c r="R28" s="714" t="s">
        <v>21</v>
      </c>
      <c r="S28" s="715">
        <f t="shared" si="12"/>
        <v>100</v>
      </c>
      <c r="T28" s="714" t="s">
        <v>21</v>
      </c>
      <c r="U28" s="715">
        <f t="shared" si="13"/>
        <v>100</v>
      </c>
      <c r="V28" s="714" t="s">
        <v>21</v>
      </c>
      <c r="W28" s="715">
        <f t="shared" si="14"/>
        <v>100</v>
      </c>
      <c r="X28" s="1540"/>
      <c r="Y28" s="3278"/>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50"/>
      <c r="Q29" s="1537">
        <f t="shared" si="11"/>
        <v>111</v>
      </c>
      <c r="R29" s="714" t="s">
        <v>21</v>
      </c>
      <c r="S29" s="715">
        <f t="shared" si="12"/>
        <v>100</v>
      </c>
      <c r="T29" s="714" t="s">
        <v>21</v>
      </c>
      <c r="U29" s="715">
        <f t="shared" si="13"/>
        <v>100</v>
      </c>
      <c r="V29" s="714" t="s">
        <v>21</v>
      </c>
      <c r="W29" s="715">
        <f t="shared" si="14"/>
        <v>100</v>
      </c>
      <c r="X29" s="1540"/>
      <c r="Y29" s="3278"/>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50"/>
      <c r="Q30" s="1537">
        <f t="shared" si="11"/>
        <v>111</v>
      </c>
      <c r="R30" s="714" t="s">
        <v>21</v>
      </c>
      <c r="S30" s="715">
        <f t="shared" si="12"/>
        <v>100</v>
      </c>
      <c r="T30" s="714" t="s">
        <v>21</v>
      </c>
      <c r="U30" s="715">
        <f t="shared" si="13"/>
        <v>100</v>
      </c>
      <c r="V30" s="714" t="s">
        <v>21</v>
      </c>
      <c r="W30" s="715">
        <f t="shared" si="14"/>
        <v>100</v>
      </c>
      <c r="X30" s="1540"/>
      <c r="Y30" s="3278"/>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50"/>
      <c r="Q31" s="1537">
        <f t="shared" si="11"/>
        <v>111</v>
      </c>
      <c r="R31" s="714" t="s">
        <v>21</v>
      </c>
      <c r="S31" s="715">
        <f t="shared" si="12"/>
        <v>100</v>
      </c>
      <c r="T31" s="714" t="s">
        <v>21</v>
      </c>
      <c r="U31" s="715">
        <f t="shared" si="13"/>
        <v>100</v>
      </c>
      <c r="V31" s="714" t="s">
        <v>21</v>
      </c>
      <c r="W31" s="715">
        <f t="shared" si="14"/>
        <v>100</v>
      </c>
      <c r="X31" s="1540"/>
      <c r="Y31" s="3278"/>
      <c r="Z31" s="1541">
        <f t="shared" si="18"/>
        <v>111</v>
      </c>
      <c r="AA31" s="1538">
        <f t="shared" si="15"/>
        <v>1</v>
      </c>
      <c r="AB31" s="1538">
        <f t="shared" si="16"/>
        <v>1</v>
      </c>
      <c r="AC31" s="1538">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45" t="s">
        <v>2386</v>
      </c>
      <c r="Q32" s="1537" t="str">
        <f t="shared" si="11"/>
        <v>建筑类型</v>
      </c>
      <c r="R32" s="714" t="s">
        <v>21</v>
      </c>
      <c r="S32" s="715">
        <f t="shared" si="12"/>
        <v>100</v>
      </c>
      <c r="T32" s="714" t="s">
        <v>21</v>
      </c>
      <c r="U32" s="715">
        <f t="shared" si="13"/>
        <v>100</v>
      </c>
      <c r="V32" s="714" t="s">
        <v>21</v>
      </c>
      <c r="W32" s="715">
        <f t="shared" si="14"/>
        <v>100</v>
      </c>
      <c r="X32" s="1540"/>
      <c r="Y32" s="3280"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46"/>
      <c r="Q33" s="716" t="str">
        <f t="shared" si="11"/>
        <v>项目建筑规模</v>
      </c>
      <c r="R33" s="717" t="s">
        <v>21</v>
      </c>
      <c r="S33" s="718" t="e">
        <f t="shared" si="12"/>
        <v>#N/A</v>
      </c>
      <c r="T33" s="717" t="s">
        <v>21</v>
      </c>
      <c r="U33" s="718" t="e">
        <f t="shared" si="13"/>
        <v>#N/A</v>
      </c>
      <c r="V33" s="717" t="s">
        <v>21</v>
      </c>
      <c r="W33" s="718" t="e">
        <f t="shared" si="14"/>
        <v>#N/A</v>
      </c>
      <c r="X33" s="719"/>
      <c r="Y33" s="3280"/>
      <c r="Z33" s="720" t="str">
        <f t="shared" si="18"/>
        <v>项目建筑规模</v>
      </c>
      <c r="AA33" s="1538" t="e">
        <f t="shared" si="15"/>
        <v>#N/A</v>
      </c>
      <c r="AB33" s="1538" t="e">
        <f t="shared" si="16"/>
        <v>#N/A</v>
      </c>
      <c r="AC33" s="1538"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46"/>
      <c r="Q34" s="1537" t="str">
        <f t="shared" si="11"/>
        <v>建筑结构</v>
      </c>
      <c r="R34" s="714" t="s">
        <v>21</v>
      </c>
      <c r="S34" s="715">
        <f t="shared" si="12"/>
        <v>100</v>
      </c>
      <c r="T34" s="714" t="s">
        <v>21</v>
      </c>
      <c r="U34" s="715">
        <f t="shared" si="13"/>
        <v>100</v>
      </c>
      <c r="V34" s="714" t="s">
        <v>21</v>
      </c>
      <c r="W34" s="715">
        <f t="shared" si="14"/>
        <v>100</v>
      </c>
      <c r="X34" s="1540"/>
      <c r="Y34" s="3280"/>
      <c r="Z34" s="1541" t="str">
        <f t="shared" si="18"/>
        <v>建筑结构</v>
      </c>
      <c r="AA34" s="1538">
        <f t="shared" si="15"/>
        <v>1</v>
      </c>
      <c r="AB34" s="1538">
        <f t="shared" si="16"/>
        <v>1</v>
      </c>
      <c r="AC34" s="1538">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46"/>
      <c r="Q35" s="1537" t="str">
        <f t="shared" si="11"/>
        <v>建筑品质</v>
      </c>
      <c r="R35" s="714" t="s">
        <v>21</v>
      </c>
      <c r="S35" s="715">
        <f t="shared" si="12"/>
        <v>100</v>
      </c>
      <c r="T35" s="714" t="s">
        <v>21</v>
      </c>
      <c r="U35" s="715">
        <f t="shared" si="13"/>
        <v>100</v>
      </c>
      <c r="V35" s="714" t="s">
        <v>21</v>
      </c>
      <c r="W35" s="715">
        <f t="shared" si="14"/>
        <v>100</v>
      </c>
      <c r="X35" s="1540"/>
      <c r="Y35" s="3280"/>
      <c r="Z35" s="1541" t="str">
        <f t="shared" si="18"/>
        <v>建筑品质</v>
      </c>
      <c r="AA35" s="1538">
        <f t="shared" si="15"/>
        <v>1</v>
      </c>
      <c r="AB35" s="1538">
        <f t="shared" si="16"/>
        <v>1</v>
      </c>
      <c r="AC35" s="1538">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46"/>
      <c r="Q36" s="1537" t="str">
        <f t="shared" si="11"/>
        <v>公共部分装修</v>
      </c>
      <c r="R36" s="714" t="s">
        <v>21</v>
      </c>
      <c r="S36" s="715">
        <f t="shared" si="12"/>
        <v>100</v>
      </c>
      <c r="T36" s="714" t="s">
        <v>21</v>
      </c>
      <c r="U36" s="715">
        <f t="shared" si="13"/>
        <v>100</v>
      </c>
      <c r="V36" s="714" t="s">
        <v>21</v>
      </c>
      <c r="W36" s="715">
        <f t="shared" si="14"/>
        <v>100</v>
      </c>
      <c r="X36" s="1540"/>
      <c r="Y36" s="3280"/>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46"/>
      <c r="Q37" s="1528" t="str">
        <f t="shared" si="11"/>
        <v>成新度</v>
      </c>
      <c r="R37" s="710" t="s">
        <v>21</v>
      </c>
      <c r="S37" s="711" t="e">
        <f t="shared" si="12"/>
        <v>#N/A</v>
      </c>
      <c r="T37" s="710" t="s">
        <v>21</v>
      </c>
      <c r="U37" s="711" t="e">
        <f t="shared" si="13"/>
        <v>#N/A</v>
      </c>
      <c r="V37" s="710" t="s">
        <v>21</v>
      </c>
      <c r="W37" s="711" t="e">
        <f t="shared" si="14"/>
        <v>#N/A</v>
      </c>
      <c r="X37" s="712"/>
      <c r="Y37" s="3280"/>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46" t="s">
        <v>2386</v>
      </c>
      <c r="Q38" s="1537" t="str">
        <f t="shared" si="11"/>
        <v>物业管理</v>
      </c>
      <c r="R38" s="714" t="s">
        <v>21</v>
      </c>
      <c r="S38" s="715">
        <f t="shared" si="12"/>
        <v>100</v>
      </c>
      <c r="T38" s="714" t="s">
        <v>21</v>
      </c>
      <c r="U38" s="715">
        <f t="shared" si="13"/>
        <v>100</v>
      </c>
      <c r="V38" s="714" t="s">
        <v>21</v>
      </c>
      <c r="W38" s="715">
        <f t="shared" si="14"/>
        <v>100</v>
      </c>
      <c r="X38" s="1540"/>
      <c r="Y38" s="3280" t="s">
        <v>2386</v>
      </c>
      <c r="Z38" s="1541" t="str">
        <f t="shared" si="18"/>
        <v>物业管理</v>
      </c>
      <c r="AA38" s="1538">
        <f t="shared" si="15"/>
        <v>1</v>
      </c>
      <c r="AB38" s="1538">
        <f t="shared" si="16"/>
        <v>1</v>
      </c>
      <c r="AC38" s="1538">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46"/>
      <c r="Q39" s="1537" t="str">
        <f t="shared" si="11"/>
        <v>市政基础设施</v>
      </c>
      <c r="R39" s="714" t="s">
        <v>21</v>
      </c>
      <c r="S39" s="715">
        <f t="shared" si="12"/>
        <v>100</v>
      </c>
      <c r="T39" s="714" t="s">
        <v>21</v>
      </c>
      <c r="U39" s="715">
        <f t="shared" si="13"/>
        <v>100</v>
      </c>
      <c r="V39" s="714" t="s">
        <v>21</v>
      </c>
      <c r="W39" s="715">
        <f t="shared" si="14"/>
        <v>100</v>
      </c>
      <c r="X39" s="1540"/>
      <c r="Y39" s="3280"/>
      <c r="Z39" s="1541" t="str">
        <f t="shared" si="18"/>
        <v>市政基础设施</v>
      </c>
      <c r="AA39" s="1538">
        <f t="shared" si="15"/>
        <v>1</v>
      </c>
      <c r="AB39" s="1538">
        <f t="shared" si="16"/>
        <v>1</v>
      </c>
      <c r="AC39" s="1538">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46"/>
      <c r="Q40" s="1537" t="str">
        <f t="shared" si="11"/>
        <v>房型</v>
      </c>
      <c r="R40" s="714" t="s">
        <v>21</v>
      </c>
      <c r="S40" s="715">
        <f t="shared" si="12"/>
        <v>100</v>
      </c>
      <c r="T40" s="714" t="s">
        <v>21</v>
      </c>
      <c r="U40" s="715">
        <f t="shared" si="13"/>
        <v>100</v>
      </c>
      <c r="V40" s="714" t="s">
        <v>21</v>
      </c>
      <c r="W40" s="715">
        <f t="shared" si="14"/>
        <v>100</v>
      </c>
      <c r="X40" s="1540"/>
      <c r="Y40" s="3280"/>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46"/>
      <c r="Q41" s="716" t="str">
        <f t="shared" si="11"/>
        <v>单套/主力户型建筑面积</v>
      </c>
      <c r="R41" s="717" t="s">
        <v>21</v>
      </c>
      <c r="S41" s="718">
        <f t="shared" si="12"/>
        <v>100</v>
      </c>
      <c r="T41" s="717" t="s">
        <v>21</v>
      </c>
      <c r="U41" s="718">
        <f t="shared" si="13"/>
        <v>100</v>
      </c>
      <c r="V41" s="717" t="s">
        <v>21</v>
      </c>
      <c r="W41" s="718">
        <f t="shared" si="14"/>
        <v>100</v>
      </c>
      <c r="X41" s="719"/>
      <c r="Y41" s="3280"/>
      <c r="Z41" s="720" t="str">
        <f t="shared" si="18"/>
        <v>单套/主力户型建筑面积</v>
      </c>
      <c r="AA41" s="1538">
        <f t="shared" si="15"/>
        <v>1</v>
      </c>
      <c r="AB41" s="1538">
        <f t="shared" si="16"/>
        <v>1</v>
      </c>
      <c r="AC41" s="1538">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46"/>
      <c r="Q42" s="1537" t="str">
        <f t="shared" si="11"/>
        <v>内部装修</v>
      </c>
      <c r="R42" s="714" t="s">
        <v>21</v>
      </c>
      <c r="S42" s="715">
        <f t="shared" si="12"/>
        <v>100</v>
      </c>
      <c r="T42" s="714" t="s">
        <v>21</v>
      </c>
      <c r="U42" s="715">
        <f t="shared" si="13"/>
        <v>100</v>
      </c>
      <c r="V42" s="714" t="s">
        <v>21</v>
      </c>
      <c r="W42" s="715">
        <f t="shared" si="14"/>
        <v>100</v>
      </c>
      <c r="X42" s="1540"/>
      <c r="Y42" s="3280"/>
      <c r="Z42" s="1541" t="str">
        <f t="shared" si="18"/>
        <v>内部装修</v>
      </c>
      <c r="AA42" s="1538">
        <f t="shared" si="15"/>
        <v>1</v>
      </c>
      <c r="AB42" s="1538">
        <f t="shared" si="16"/>
        <v>1</v>
      </c>
      <c r="AC42" s="1538">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46"/>
      <c r="Q43" s="1537" t="str">
        <f t="shared" si="11"/>
        <v>内部装修维护情况</v>
      </c>
      <c r="R43" s="714" t="s">
        <v>21</v>
      </c>
      <c r="S43" s="715">
        <f t="shared" si="12"/>
        <v>100</v>
      </c>
      <c r="T43" s="714" t="s">
        <v>21</v>
      </c>
      <c r="U43" s="715">
        <f t="shared" si="13"/>
        <v>100</v>
      </c>
      <c r="V43" s="714" t="s">
        <v>21</v>
      </c>
      <c r="W43" s="715">
        <f t="shared" si="14"/>
        <v>100</v>
      </c>
      <c r="X43" s="1540"/>
      <c r="Y43" s="3280"/>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46"/>
      <c r="Q44" s="1528">
        <f t="shared" si="11"/>
        <v>111</v>
      </c>
      <c r="R44" s="710" t="s">
        <v>21</v>
      </c>
      <c r="S44" s="711">
        <f t="shared" si="12"/>
        <v>100</v>
      </c>
      <c r="T44" s="710" t="s">
        <v>21</v>
      </c>
      <c r="U44" s="711">
        <f t="shared" si="13"/>
        <v>100</v>
      </c>
      <c r="V44" s="710" t="s">
        <v>21</v>
      </c>
      <c r="W44" s="711">
        <f t="shared" si="14"/>
        <v>100</v>
      </c>
      <c r="X44" s="712"/>
      <c r="Y44" s="328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46"/>
      <c r="Q45" s="1537">
        <f t="shared" si="11"/>
        <v>111</v>
      </c>
      <c r="R45" s="714" t="s">
        <v>21</v>
      </c>
      <c r="S45" s="715">
        <f t="shared" si="12"/>
        <v>100</v>
      </c>
      <c r="T45" s="714" t="s">
        <v>21</v>
      </c>
      <c r="U45" s="715">
        <f t="shared" si="13"/>
        <v>100</v>
      </c>
      <c r="V45" s="714" t="s">
        <v>21</v>
      </c>
      <c r="W45" s="715">
        <f t="shared" si="14"/>
        <v>100</v>
      </c>
      <c r="X45" s="1540"/>
      <c r="Y45" s="3280"/>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47"/>
      <c r="Q46" s="1537">
        <f t="shared" si="11"/>
        <v>111</v>
      </c>
      <c r="R46" s="714" t="s">
        <v>20</v>
      </c>
      <c r="S46" s="715">
        <f t="shared" si="12"/>
        <v>100</v>
      </c>
      <c r="T46" s="714" t="s">
        <v>20</v>
      </c>
      <c r="U46" s="715">
        <f t="shared" si="13"/>
        <v>100</v>
      </c>
      <c r="V46" s="714" t="s">
        <v>20</v>
      </c>
      <c r="W46" s="715">
        <f t="shared" si="14"/>
        <v>100</v>
      </c>
      <c r="X46" s="1540"/>
      <c r="Y46" s="3348"/>
      <c r="Z46" s="1541">
        <f t="shared" si="18"/>
        <v>111</v>
      </c>
      <c r="AA46" s="1538">
        <f t="shared" si="15"/>
        <v>1</v>
      </c>
      <c r="AB46" s="1538">
        <f t="shared" si="16"/>
        <v>1</v>
      </c>
      <c r="AC46" s="1538">
        <f t="shared" si="17"/>
        <v>1</v>
      </c>
    </row>
    <row r="47" spans="1:29" ht="15">
      <c r="A47" s="438" t="s">
        <v>2398</v>
      </c>
      <c r="B47" s="439"/>
      <c r="C47" s="1316" t="s">
        <v>19</v>
      </c>
      <c r="D47" s="1317"/>
      <c r="E47" s="1318"/>
      <c r="F47" s="1319"/>
      <c r="G47" s="1320"/>
      <c r="H47" s="1321"/>
      <c r="I47" s="1318"/>
      <c r="J47" s="1321"/>
      <c r="K47" s="2100"/>
      <c r="L47" s="2953"/>
      <c r="M47" s="2954"/>
      <c r="N47" s="2945"/>
      <c r="O47" s="2954"/>
      <c r="P47" s="3275" t="str">
        <f>A47</f>
        <v>成交单价（元/平方米）</v>
      </c>
      <c r="Q47" s="3275"/>
      <c r="R47" s="3344">
        <f>E47</f>
        <v>0</v>
      </c>
      <c r="S47" s="3344"/>
      <c r="T47" s="3344">
        <f>G47</f>
        <v>0</v>
      </c>
      <c r="U47" s="3344"/>
      <c r="V47" s="3344">
        <f>I47</f>
        <v>0</v>
      </c>
      <c r="W47" s="3344"/>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275" t="str">
        <f>A48</f>
        <v>比较价值（元/平方米）</v>
      </c>
      <c r="Q48" s="3275"/>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269" t="str">
        <f>A49</f>
        <v>估价对象XX用房的比较价值（楼面单价，元/平方米）</v>
      </c>
      <c r="Q49" s="3270"/>
      <c r="R49" s="3343" t="e">
        <f>IF(F1="售价",ROUND(IF(D48="简单平均",AVERAGE(R48:V48),R48*F48+T48*H48+V48*J48),0),ROUND(IF(D48="简单平均",AVERAGE(R48:V48),R48*F48+T48*H48+V48*J48),1))</f>
        <v>#DIV/0!</v>
      </c>
      <c r="S49" s="3343"/>
      <c r="T49" s="3343"/>
      <c r="U49" s="3343"/>
      <c r="V49" s="3343"/>
      <c r="W49" s="334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21976.32</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72" t="s">
        <v>2467</v>
      </c>
      <c r="D4" s="3285"/>
      <c r="E4" s="3286" t="s">
        <v>2468</v>
      </c>
      <c r="F4" s="3287"/>
      <c r="G4" s="3272" t="s">
        <v>2469</v>
      </c>
      <c r="H4" s="3285"/>
      <c r="I4" s="3272" t="s">
        <v>2470</v>
      </c>
      <c r="J4" s="3285"/>
      <c r="K4" s="567" t="s">
        <v>2471</v>
      </c>
      <c r="L4" s="2944"/>
      <c r="M4" s="2945"/>
      <c r="N4" s="2945"/>
      <c r="O4" s="2945"/>
      <c r="P4" s="3288" t="s">
        <v>2472</v>
      </c>
      <c r="Q4" s="3289"/>
      <c r="R4" s="3294" t="s">
        <v>2468</v>
      </c>
      <c r="S4" s="3295"/>
      <c r="T4" s="3294" t="s">
        <v>2469</v>
      </c>
      <c r="U4" s="3295"/>
      <c r="V4" s="3281" t="s">
        <v>2470</v>
      </c>
      <c r="W4" s="3281"/>
      <c r="X4" s="1540"/>
      <c r="Y4" s="3294" t="s">
        <v>2472</v>
      </c>
      <c r="Z4" s="3295"/>
      <c r="AA4" s="3282" t="s">
        <v>2468</v>
      </c>
      <c r="AB4" s="3281" t="s">
        <v>2469</v>
      </c>
      <c r="AC4" s="3282" t="s">
        <v>2470</v>
      </c>
    </row>
    <row r="5" spans="1:29" ht="15">
      <c r="A5" s="364"/>
      <c r="B5" s="365"/>
      <c r="C5" s="3302" t="s">
        <v>2363</v>
      </c>
      <c r="D5" s="3303"/>
      <c r="E5" s="3309" t="s">
        <v>2364</v>
      </c>
      <c r="F5" s="3310"/>
      <c r="G5" s="3302" t="s">
        <v>2365</v>
      </c>
      <c r="H5" s="3303"/>
      <c r="I5" s="3302" t="s">
        <v>2366</v>
      </c>
      <c r="J5" s="3303"/>
      <c r="K5" s="567"/>
      <c r="L5" s="2944"/>
      <c r="M5" s="2945"/>
      <c r="N5" s="2945"/>
      <c r="O5" s="2945"/>
      <c r="P5" s="3290"/>
      <c r="Q5" s="3291"/>
      <c r="R5" s="3296"/>
      <c r="S5" s="3297"/>
      <c r="T5" s="3296"/>
      <c r="U5" s="3297"/>
      <c r="V5" s="3281"/>
      <c r="W5" s="3281"/>
      <c r="X5" s="1540"/>
      <c r="Y5" s="3296"/>
      <c r="Z5" s="3297"/>
      <c r="AA5" s="3283"/>
      <c r="AB5" s="3281"/>
      <c r="AC5" s="3283"/>
    </row>
    <row r="6" spans="1:29" ht="15.75" thickBot="1">
      <c r="A6" s="366"/>
      <c r="B6" s="367"/>
      <c r="C6" s="3300" t="s">
        <v>2367</v>
      </c>
      <c r="D6" s="3301"/>
      <c r="E6" s="3307" t="s">
        <v>2367</v>
      </c>
      <c r="F6" s="3308"/>
      <c r="G6" s="3300" t="s">
        <v>2367</v>
      </c>
      <c r="H6" s="3301"/>
      <c r="I6" s="3300" t="s">
        <v>2367</v>
      </c>
      <c r="J6" s="3301"/>
      <c r="K6" s="567" t="s">
        <v>2368</v>
      </c>
      <c r="L6" s="2944"/>
      <c r="M6" s="2945"/>
      <c r="N6" s="2945"/>
      <c r="O6" s="2945"/>
      <c r="P6" s="3292"/>
      <c r="Q6" s="3293"/>
      <c r="R6" s="3296"/>
      <c r="S6" s="3297"/>
      <c r="T6" s="3298"/>
      <c r="U6" s="3299"/>
      <c r="V6" s="3281"/>
      <c r="W6" s="3281"/>
      <c r="X6" s="1540"/>
      <c r="Y6" s="3298"/>
      <c r="Z6" s="3299"/>
      <c r="AA6" s="3284"/>
      <c r="AB6" s="3281"/>
      <c r="AC6" s="3284"/>
    </row>
    <row r="7" spans="1:29" s="113" customFormat="1" ht="15.75" thickBot="1">
      <c r="A7" s="368" t="s">
        <v>2369</v>
      </c>
      <c r="B7" s="369"/>
      <c r="C7" s="370">
        <f>'数据-取费表'!B2</f>
        <v>44294</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04" t="s">
        <v>2370</v>
      </c>
      <c r="Q7" s="3306"/>
      <c r="R7" s="710" t="s">
        <v>17</v>
      </c>
      <c r="S7" s="711">
        <f t="shared" ref="S7:S15" si="0">F7</f>
        <v>0</v>
      </c>
      <c r="T7" s="710" t="s">
        <v>17</v>
      </c>
      <c r="U7" s="711">
        <f t="shared" ref="U7:U15" si="1">H7</f>
        <v>0</v>
      </c>
      <c r="V7" s="710" t="s">
        <v>17</v>
      </c>
      <c r="W7" s="711">
        <f t="shared" ref="W7:W15" si="2">J7</f>
        <v>0</v>
      </c>
      <c r="X7" s="712"/>
      <c r="Y7" s="3304" t="s">
        <v>2370</v>
      </c>
      <c r="Z7" s="3305"/>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04" t="s">
        <v>2373</v>
      </c>
      <c r="Q8" s="3305"/>
      <c r="R8" s="710" t="s">
        <v>17</v>
      </c>
      <c r="S8" s="711">
        <f t="shared" si="0"/>
        <v>0</v>
      </c>
      <c r="T8" s="710" t="s">
        <v>17</v>
      </c>
      <c r="U8" s="711">
        <f t="shared" si="1"/>
        <v>0</v>
      </c>
      <c r="V8" s="710" t="s">
        <v>17</v>
      </c>
      <c r="W8" s="711">
        <f t="shared" si="2"/>
        <v>0</v>
      </c>
      <c r="X8" s="712"/>
      <c r="Y8" s="3304" t="s">
        <v>2373</v>
      </c>
      <c r="Z8" s="3305"/>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74" t="s">
        <v>2376</v>
      </c>
      <c r="Q9" s="1528" t="str">
        <f t="shared" ref="Q9:Q15" si="6">B9</f>
        <v>用途</v>
      </c>
      <c r="R9" s="710" t="s">
        <v>17</v>
      </c>
      <c r="S9" s="711">
        <f t="shared" si="0"/>
        <v>100</v>
      </c>
      <c r="T9" s="710" t="s">
        <v>17</v>
      </c>
      <c r="U9" s="711">
        <f t="shared" si="1"/>
        <v>100</v>
      </c>
      <c r="V9" s="710" t="s">
        <v>17</v>
      </c>
      <c r="W9" s="711">
        <f t="shared" si="2"/>
        <v>100</v>
      </c>
      <c r="X9" s="712"/>
      <c r="Y9" s="316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74"/>
      <c r="Q10" s="1528" t="str">
        <f t="shared" si="6"/>
        <v>土地使用年限（年）</v>
      </c>
      <c r="R10" s="710" t="s">
        <v>17</v>
      </c>
      <c r="S10" s="711">
        <f t="shared" si="0"/>
        <v>100</v>
      </c>
      <c r="T10" s="710" t="s">
        <v>17</v>
      </c>
      <c r="U10" s="711">
        <f t="shared" si="1"/>
        <v>100</v>
      </c>
      <c r="V10" s="710" t="s">
        <v>17</v>
      </c>
      <c r="W10" s="711">
        <f t="shared" si="2"/>
        <v>100</v>
      </c>
      <c r="X10" s="712"/>
      <c r="Y10" s="316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74"/>
      <c r="Q11" s="1528" t="str">
        <f t="shared" si="6"/>
        <v>容积率</v>
      </c>
      <c r="R11" s="710" t="s">
        <v>17</v>
      </c>
      <c r="S11" s="711" t="e">
        <f t="shared" si="0"/>
        <v>#N/A</v>
      </c>
      <c r="T11" s="710" t="s">
        <v>17</v>
      </c>
      <c r="U11" s="711" t="e">
        <f t="shared" si="1"/>
        <v>#N/A</v>
      </c>
      <c r="V11" s="710" t="s">
        <v>17</v>
      </c>
      <c r="W11" s="711" t="e">
        <f t="shared" si="2"/>
        <v>#N/A</v>
      </c>
      <c r="X11" s="712"/>
      <c r="Y11" s="316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74"/>
      <c r="Q12" s="1528">
        <f t="shared" si="6"/>
        <v>111</v>
      </c>
      <c r="R12" s="710" t="s">
        <v>17</v>
      </c>
      <c r="S12" s="711">
        <f t="shared" si="0"/>
        <v>100</v>
      </c>
      <c r="T12" s="710" t="s">
        <v>17</v>
      </c>
      <c r="U12" s="711">
        <f t="shared" si="1"/>
        <v>100</v>
      </c>
      <c r="V12" s="710" t="s">
        <v>17</v>
      </c>
      <c r="W12" s="711">
        <f t="shared" si="2"/>
        <v>100</v>
      </c>
      <c r="X12" s="712"/>
      <c r="Y12" s="316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74"/>
      <c r="Q13" s="1528">
        <f t="shared" si="6"/>
        <v>111</v>
      </c>
      <c r="R13" s="710" t="s">
        <v>17</v>
      </c>
      <c r="S13" s="711">
        <f t="shared" si="0"/>
        <v>100</v>
      </c>
      <c r="T13" s="710" t="s">
        <v>17</v>
      </c>
      <c r="U13" s="711">
        <f t="shared" si="1"/>
        <v>100</v>
      </c>
      <c r="V13" s="710" t="s">
        <v>17</v>
      </c>
      <c r="W13" s="711">
        <f t="shared" si="2"/>
        <v>100</v>
      </c>
      <c r="X13" s="712"/>
      <c r="Y13" s="316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74"/>
      <c r="Q14" s="1528">
        <f t="shared" si="6"/>
        <v>111</v>
      </c>
      <c r="R14" s="710" t="s">
        <v>17</v>
      </c>
      <c r="S14" s="711">
        <f t="shared" si="0"/>
        <v>100</v>
      </c>
      <c r="T14" s="710" t="s">
        <v>17</v>
      </c>
      <c r="U14" s="711">
        <f t="shared" si="1"/>
        <v>100</v>
      </c>
      <c r="V14" s="710" t="s">
        <v>17</v>
      </c>
      <c r="W14" s="711">
        <f t="shared" si="2"/>
        <v>100</v>
      </c>
      <c r="X14" s="712"/>
      <c r="Y14" s="3169"/>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49" t="s">
        <v>2381</v>
      </c>
      <c r="Q15" s="1537" t="str">
        <f t="shared" si="6"/>
        <v>商业繁华度</v>
      </c>
      <c r="R15" s="714" t="s">
        <v>17</v>
      </c>
      <c r="S15" s="715">
        <f t="shared" si="0"/>
        <v>100</v>
      </c>
      <c r="T15" s="714" t="s">
        <v>17</v>
      </c>
      <c r="U15" s="715">
        <f t="shared" si="1"/>
        <v>100</v>
      </c>
      <c r="V15" s="714" t="s">
        <v>17</v>
      </c>
      <c r="W15" s="715">
        <f t="shared" si="2"/>
        <v>100</v>
      </c>
      <c r="X15" s="1540"/>
      <c r="Y15" s="3277" t="s">
        <v>2381</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1"/>
      <c r="M16" s="2945"/>
      <c r="N16" s="2945"/>
      <c r="O16" s="2945"/>
      <c r="P16" s="3350"/>
      <c r="Q16" s="1537"/>
      <c r="R16" s="714"/>
      <c r="S16" s="715"/>
      <c r="T16" s="714"/>
      <c r="U16" s="715"/>
      <c r="V16" s="714"/>
      <c r="W16" s="715"/>
      <c r="X16" s="1540"/>
      <c r="Y16" s="3278"/>
      <c r="Z16" s="1541"/>
      <c r="AA16" s="1538">
        <v>1</v>
      </c>
      <c r="AB16" s="1538">
        <v>1</v>
      </c>
      <c r="AC16" s="1538">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50"/>
      <c r="Q17" s="1537" t="str">
        <f>B17</f>
        <v>交通便捷度</v>
      </c>
      <c r="R17" s="714" t="s">
        <v>17</v>
      </c>
      <c r="S17" s="715">
        <f>F17</f>
        <v>100</v>
      </c>
      <c r="T17" s="714" t="s">
        <v>17</v>
      </c>
      <c r="U17" s="715">
        <f>H17</f>
        <v>100</v>
      </c>
      <c r="V17" s="714" t="s">
        <v>17</v>
      </c>
      <c r="W17" s="715">
        <f>J17</f>
        <v>100</v>
      </c>
      <c r="X17" s="1540"/>
      <c r="Y17" s="3278"/>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51"/>
      <c r="M18" s="2945"/>
      <c r="N18" s="2945"/>
      <c r="O18" s="2945"/>
      <c r="P18" s="3350"/>
      <c r="Q18" s="1537"/>
      <c r="R18" s="714"/>
      <c r="S18" s="715"/>
      <c r="T18" s="714"/>
      <c r="U18" s="715"/>
      <c r="V18" s="714"/>
      <c r="W18" s="715"/>
      <c r="X18" s="1540"/>
      <c r="Y18" s="3278"/>
      <c r="Z18" s="1541"/>
      <c r="AA18" s="1538">
        <v>1</v>
      </c>
      <c r="AB18" s="1538">
        <v>1</v>
      </c>
      <c r="AC18" s="1538">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50"/>
      <c r="Q19" s="1537" t="str">
        <f>B19</f>
        <v>公共配套设施</v>
      </c>
      <c r="R19" s="714" t="s">
        <v>17</v>
      </c>
      <c r="S19" s="715">
        <f>F19</f>
        <v>100</v>
      </c>
      <c r="T19" s="714" t="s">
        <v>17</v>
      </c>
      <c r="U19" s="715">
        <f>H19</f>
        <v>100</v>
      </c>
      <c r="V19" s="714" t="s">
        <v>17</v>
      </c>
      <c r="W19" s="715">
        <f>J19</f>
        <v>100</v>
      </c>
      <c r="X19" s="1540"/>
      <c r="Y19" s="3278"/>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51"/>
      <c r="M20" s="2945"/>
      <c r="N20" s="2945"/>
      <c r="O20" s="2945"/>
      <c r="P20" s="3350"/>
      <c r="Q20" s="1537"/>
      <c r="R20" s="714"/>
      <c r="S20" s="715"/>
      <c r="T20" s="714"/>
      <c r="U20" s="715"/>
      <c r="V20" s="714"/>
      <c r="W20" s="715"/>
      <c r="X20" s="1540"/>
      <c r="Y20" s="3278"/>
      <c r="Z20" s="1541"/>
      <c r="AA20" s="1538">
        <v>1</v>
      </c>
      <c r="AB20" s="1538">
        <v>1</v>
      </c>
      <c r="AC20" s="1538">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50"/>
      <c r="Q21" s="1537" t="str">
        <f>B21</f>
        <v>基础设施水平</v>
      </c>
      <c r="R21" s="714" t="s">
        <v>17</v>
      </c>
      <c r="S21" s="715">
        <f>F21</f>
        <v>100</v>
      </c>
      <c r="T21" s="714" t="s">
        <v>17</v>
      </c>
      <c r="U21" s="715">
        <f>H21</f>
        <v>100</v>
      </c>
      <c r="V21" s="714" t="s">
        <v>17</v>
      </c>
      <c r="W21" s="715">
        <f>J21</f>
        <v>100</v>
      </c>
      <c r="X21" s="1540"/>
      <c r="Y21" s="3278"/>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51"/>
      <c r="M22" s="2945"/>
      <c r="N22" s="2945"/>
      <c r="O22" s="2945"/>
      <c r="P22" s="3350"/>
      <c r="Q22" s="1537"/>
      <c r="R22" s="714"/>
      <c r="S22" s="715"/>
      <c r="T22" s="714"/>
      <c r="U22" s="715"/>
      <c r="V22" s="714"/>
      <c r="W22" s="715"/>
      <c r="X22" s="1540"/>
      <c r="Y22" s="3278"/>
      <c r="Z22" s="1541"/>
      <c r="AA22" s="1538">
        <v>1</v>
      </c>
      <c r="AB22" s="1538">
        <v>1</v>
      </c>
      <c r="AC22" s="1538">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50"/>
      <c r="Q23" s="1537" t="str">
        <f>B23</f>
        <v>自然及人文环境</v>
      </c>
      <c r="R23" s="714" t="s">
        <v>17</v>
      </c>
      <c r="S23" s="715">
        <f>F23</f>
        <v>100</v>
      </c>
      <c r="T23" s="714" t="s">
        <v>17</v>
      </c>
      <c r="U23" s="715">
        <f>H23</f>
        <v>100</v>
      </c>
      <c r="V23" s="714" t="s">
        <v>17</v>
      </c>
      <c r="W23" s="715">
        <f>J23</f>
        <v>100</v>
      </c>
      <c r="X23" s="1540"/>
      <c r="Y23" s="3278"/>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51"/>
      <c r="M24" s="2945"/>
      <c r="N24" s="2945"/>
      <c r="O24" s="2945"/>
      <c r="P24" s="3350"/>
      <c r="Q24" s="1537"/>
      <c r="R24" s="714"/>
      <c r="S24" s="715"/>
      <c r="T24" s="714"/>
      <c r="U24" s="715"/>
      <c r="V24" s="714"/>
      <c r="W24" s="715"/>
      <c r="X24" s="1540"/>
      <c r="Y24" s="3278"/>
      <c r="Z24" s="1541"/>
      <c r="AA24" s="1538">
        <v>1</v>
      </c>
      <c r="AB24" s="1538">
        <v>1</v>
      </c>
      <c r="AC24" s="1538">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50"/>
      <c r="Q25" s="1537" t="str">
        <f t="shared" ref="Q25:Q46" si="11">B25</f>
        <v>临街状况</v>
      </c>
      <c r="R25" s="714" t="s">
        <v>17</v>
      </c>
      <c r="S25" s="715">
        <f>F25</f>
        <v>100</v>
      </c>
      <c r="T25" s="714" t="s">
        <v>17</v>
      </c>
      <c r="U25" s="715">
        <f>H25</f>
        <v>100</v>
      </c>
      <c r="V25" s="714" t="s">
        <v>17</v>
      </c>
      <c r="W25" s="715">
        <f>J25</f>
        <v>100</v>
      </c>
      <c r="X25" s="1540"/>
      <c r="Y25" s="3278"/>
      <c r="Z25" s="1541" t="str">
        <f>Q25</f>
        <v>临街状况</v>
      </c>
      <c r="AA25" s="1538">
        <f t="shared" si="3"/>
        <v>1</v>
      </c>
      <c r="AB25" s="1538">
        <f t="shared" si="4"/>
        <v>1</v>
      </c>
      <c r="AC25" s="1538">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50"/>
      <c r="Q26" s="1537" t="str">
        <f t="shared" si="11"/>
        <v>平面位置/可视性</v>
      </c>
      <c r="R26" s="714" t="s">
        <v>17</v>
      </c>
      <c r="S26" s="715">
        <f>F26</f>
        <v>100</v>
      </c>
      <c r="T26" s="714" t="s">
        <v>17</v>
      </c>
      <c r="U26" s="715">
        <f>H26</f>
        <v>100</v>
      </c>
      <c r="V26" s="714" t="s">
        <v>17</v>
      </c>
      <c r="W26" s="715">
        <f>J26</f>
        <v>100</v>
      </c>
      <c r="X26" s="1540"/>
      <c r="Y26" s="3278"/>
      <c r="Z26" s="1541" t="str">
        <f>Q26</f>
        <v>平面位置/可视性</v>
      </c>
      <c r="AA26" s="1538">
        <f t="shared" si="3"/>
        <v>1</v>
      </c>
      <c r="AB26" s="1538">
        <f t="shared" si="4"/>
        <v>1</v>
      </c>
      <c r="AC26" s="1538">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50"/>
      <c r="Q27" s="1528" t="str">
        <f t="shared" si="11"/>
        <v>人流量</v>
      </c>
      <c r="R27" s="710" t="s">
        <v>17</v>
      </c>
      <c r="S27" s="711">
        <f>F27</f>
        <v>100</v>
      </c>
      <c r="T27" s="710" t="s">
        <v>17</v>
      </c>
      <c r="U27" s="711">
        <f>H27</f>
        <v>100</v>
      </c>
      <c r="V27" s="710" t="s">
        <v>17</v>
      </c>
      <c r="W27" s="711">
        <f>J27</f>
        <v>100</v>
      </c>
      <c r="X27" s="712"/>
      <c r="Y27" s="3278"/>
      <c r="Z27" s="55" t="str">
        <f>Q27</f>
        <v>人流量</v>
      </c>
      <c r="AA27" s="1538">
        <f>D27/F27</f>
        <v>1</v>
      </c>
      <c r="AB27" s="1538">
        <f>D27/H27</f>
        <v>1</v>
      </c>
      <c r="AC27" s="1538">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50"/>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78"/>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50"/>
      <c r="Q29" s="1537">
        <f t="shared" si="11"/>
        <v>111</v>
      </c>
      <c r="R29" s="714" t="s">
        <v>17</v>
      </c>
      <c r="S29" s="715">
        <f t="shared" si="12"/>
        <v>100</v>
      </c>
      <c r="T29" s="714" t="s">
        <v>17</v>
      </c>
      <c r="U29" s="715">
        <f t="shared" si="13"/>
        <v>100</v>
      </c>
      <c r="V29" s="714" t="s">
        <v>17</v>
      </c>
      <c r="W29" s="715">
        <f t="shared" si="14"/>
        <v>100</v>
      </c>
      <c r="X29" s="1540"/>
      <c r="Y29" s="3278"/>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50"/>
      <c r="Q30" s="1537">
        <f t="shared" si="11"/>
        <v>111</v>
      </c>
      <c r="R30" s="714" t="s">
        <v>17</v>
      </c>
      <c r="S30" s="715">
        <f t="shared" si="12"/>
        <v>100</v>
      </c>
      <c r="T30" s="714" t="s">
        <v>17</v>
      </c>
      <c r="U30" s="715">
        <f t="shared" si="13"/>
        <v>100</v>
      </c>
      <c r="V30" s="714" t="s">
        <v>17</v>
      </c>
      <c r="W30" s="715">
        <f t="shared" si="14"/>
        <v>100</v>
      </c>
      <c r="X30" s="1540"/>
      <c r="Y30" s="3278"/>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50"/>
      <c r="Q31" s="1537">
        <f t="shared" si="11"/>
        <v>111</v>
      </c>
      <c r="R31" s="714" t="s">
        <v>17</v>
      </c>
      <c r="S31" s="715">
        <f t="shared" si="12"/>
        <v>100</v>
      </c>
      <c r="T31" s="714" t="s">
        <v>17</v>
      </c>
      <c r="U31" s="715">
        <f t="shared" si="13"/>
        <v>100</v>
      </c>
      <c r="V31" s="714" t="s">
        <v>17</v>
      </c>
      <c r="W31" s="715">
        <f t="shared" si="14"/>
        <v>100</v>
      </c>
      <c r="X31" s="1540"/>
      <c r="Y31" s="3278"/>
      <c r="Z31" s="1541">
        <f t="shared" si="15"/>
        <v>111</v>
      </c>
      <c r="AA31" s="1538">
        <f t="shared" si="3"/>
        <v>1</v>
      </c>
      <c r="AB31" s="1538">
        <f t="shared" si="4"/>
        <v>1</v>
      </c>
      <c r="AC31" s="1538">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45" t="s">
        <v>2386</v>
      </c>
      <c r="Q32" s="1537" t="str">
        <f t="shared" si="11"/>
        <v>商业类型</v>
      </c>
      <c r="R32" s="714" t="s">
        <v>17</v>
      </c>
      <c r="S32" s="715">
        <f t="shared" si="12"/>
        <v>100</v>
      </c>
      <c r="T32" s="714" t="s">
        <v>17</v>
      </c>
      <c r="U32" s="715">
        <f t="shared" si="13"/>
        <v>100</v>
      </c>
      <c r="V32" s="714" t="s">
        <v>17</v>
      </c>
      <c r="W32" s="715">
        <f t="shared" si="14"/>
        <v>100</v>
      </c>
      <c r="X32" s="1540"/>
      <c r="Y32" s="3280" t="s">
        <v>2386</v>
      </c>
      <c r="Z32" s="1541" t="str">
        <f t="shared" si="15"/>
        <v>商业类型</v>
      </c>
      <c r="AA32" s="1538">
        <f t="shared" si="3"/>
        <v>1</v>
      </c>
      <c r="AB32" s="1538">
        <f t="shared" si="4"/>
        <v>1</v>
      </c>
      <c r="AC32" s="1538">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46"/>
      <c r="Q33" s="716" t="str">
        <f t="shared" si="11"/>
        <v>项目建筑规模</v>
      </c>
      <c r="R33" s="717" t="s">
        <v>17</v>
      </c>
      <c r="S33" s="718" t="e">
        <f t="shared" si="12"/>
        <v>#N/A</v>
      </c>
      <c r="T33" s="717" t="s">
        <v>17</v>
      </c>
      <c r="U33" s="718" t="e">
        <f t="shared" si="13"/>
        <v>#N/A</v>
      </c>
      <c r="V33" s="717" t="s">
        <v>17</v>
      </c>
      <c r="W33" s="718" t="e">
        <f t="shared" si="14"/>
        <v>#N/A</v>
      </c>
      <c r="X33" s="719"/>
      <c r="Y33" s="3280"/>
      <c r="Z33" s="720" t="str">
        <f t="shared" si="15"/>
        <v>项目建筑规模</v>
      </c>
      <c r="AA33" s="1538" t="e">
        <f t="shared" si="3"/>
        <v>#N/A</v>
      </c>
      <c r="AB33" s="1538" t="e">
        <f t="shared" si="4"/>
        <v>#N/A</v>
      </c>
      <c r="AC33" s="1538"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46"/>
      <c r="Q34" s="1537" t="str">
        <f t="shared" si="11"/>
        <v>建筑结构</v>
      </c>
      <c r="R34" s="714" t="s">
        <v>17</v>
      </c>
      <c r="S34" s="715">
        <f t="shared" si="12"/>
        <v>100</v>
      </c>
      <c r="T34" s="714" t="s">
        <v>17</v>
      </c>
      <c r="U34" s="715">
        <f t="shared" si="13"/>
        <v>100</v>
      </c>
      <c r="V34" s="714" t="s">
        <v>17</v>
      </c>
      <c r="W34" s="715">
        <f t="shared" si="14"/>
        <v>100</v>
      </c>
      <c r="X34" s="1540"/>
      <c r="Y34" s="3280"/>
      <c r="Z34" s="1541" t="str">
        <f t="shared" si="15"/>
        <v>建筑结构</v>
      </c>
      <c r="AA34" s="1538">
        <f t="shared" si="3"/>
        <v>1</v>
      </c>
      <c r="AB34" s="1538">
        <f t="shared" si="4"/>
        <v>1</v>
      </c>
      <c r="AC34" s="1538">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46"/>
      <c r="Q35" s="1537" t="str">
        <f t="shared" si="11"/>
        <v>公共部分装修</v>
      </c>
      <c r="R35" s="714" t="s">
        <v>17</v>
      </c>
      <c r="S35" s="715">
        <f t="shared" si="12"/>
        <v>100</v>
      </c>
      <c r="T35" s="714" t="s">
        <v>17</v>
      </c>
      <c r="U35" s="715">
        <f t="shared" si="13"/>
        <v>100</v>
      </c>
      <c r="V35" s="714" t="s">
        <v>17</v>
      </c>
      <c r="W35" s="715">
        <f t="shared" si="14"/>
        <v>100</v>
      </c>
      <c r="X35" s="1540"/>
      <c r="Y35" s="3280"/>
      <c r="Z35" s="1541" t="str">
        <f t="shared" si="15"/>
        <v>公共部分装修</v>
      </c>
      <c r="AA35" s="1538">
        <f t="shared" si="3"/>
        <v>1</v>
      </c>
      <c r="AB35" s="1538">
        <f t="shared" si="4"/>
        <v>1</v>
      </c>
      <c r="AC35" s="1538">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46"/>
      <c r="Q36" s="1537" t="str">
        <f t="shared" si="11"/>
        <v>成新度</v>
      </c>
      <c r="R36" s="714" t="s">
        <v>17</v>
      </c>
      <c r="S36" s="715" t="e">
        <f t="shared" si="12"/>
        <v>#N/A</v>
      </c>
      <c r="T36" s="714" t="s">
        <v>17</v>
      </c>
      <c r="U36" s="715" t="e">
        <f t="shared" si="13"/>
        <v>#N/A</v>
      </c>
      <c r="V36" s="714" t="s">
        <v>17</v>
      </c>
      <c r="W36" s="715" t="e">
        <f t="shared" si="14"/>
        <v>#N/A</v>
      </c>
      <c r="X36" s="1540"/>
      <c r="Y36" s="3280"/>
      <c r="Z36" s="1541" t="str">
        <f t="shared" si="15"/>
        <v>成新度</v>
      </c>
      <c r="AA36" s="1538" t="e">
        <f t="shared" si="3"/>
        <v>#N/A</v>
      </c>
      <c r="AB36" s="1538" t="e">
        <f t="shared" si="4"/>
        <v>#N/A</v>
      </c>
      <c r="AC36" s="1538"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46"/>
      <c r="Q37" s="1528" t="str">
        <f t="shared" si="11"/>
        <v>市政基础设施</v>
      </c>
      <c r="R37" s="710" t="s">
        <v>17</v>
      </c>
      <c r="S37" s="711">
        <f t="shared" si="12"/>
        <v>100</v>
      </c>
      <c r="T37" s="710" t="s">
        <v>17</v>
      </c>
      <c r="U37" s="711">
        <f t="shared" si="13"/>
        <v>100</v>
      </c>
      <c r="V37" s="710" t="s">
        <v>17</v>
      </c>
      <c r="W37" s="711">
        <f t="shared" si="14"/>
        <v>100</v>
      </c>
      <c r="X37" s="712"/>
      <c r="Y37" s="3280"/>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46" t="s">
        <v>2386</v>
      </c>
      <c r="Q38" s="1537" t="str">
        <f t="shared" si="11"/>
        <v>业态</v>
      </c>
      <c r="R38" s="714" t="s">
        <v>17</v>
      </c>
      <c r="S38" s="715">
        <f t="shared" si="12"/>
        <v>100</v>
      </c>
      <c r="T38" s="714" t="s">
        <v>17</v>
      </c>
      <c r="U38" s="715">
        <f t="shared" si="13"/>
        <v>100</v>
      </c>
      <c r="V38" s="714" t="s">
        <v>17</v>
      </c>
      <c r="W38" s="715">
        <f t="shared" si="14"/>
        <v>100</v>
      </c>
      <c r="X38" s="1540"/>
      <c r="Y38" s="3280" t="s">
        <v>2386</v>
      </c>
      <c r="Z38" s="1541" t="str">
        <f t="shared" si="15"/>
        <v>业态</v>
      </c>
      <c r="AA38" s="1538">
        <f t="shared" si="3"/>
        <v>1</v>
      </c>
      <c r="AB38" s="1538">
        <f t="shared" si="4"/>
        <v>1</v>
      </c>
      <c r="AC38" s="1538">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46"/>
      <c r="Q39" s="1537" t="str">
        <f t="shared" si="11"/>
        <v>层高</v>
      </c>
      <c r="R39" s="714" t="s">
        <v>17</v>
      </c>
      <c r="S39" s="715">
        <f t="shared" si="12"/>
        <v>100</v>
      </c>
      <c r="T39" s="714" t="s">
        <v>17</v>
      </c>
      <c r="U39" s="715">
        <f t="shared" si="13"/>
        <v>100</v>
      </c>
      <c r="V39" s="714" t="s">
        <v>17</v>
      </c>
      <c r="W39" s="715">
        <f t="shared" si="14"/>
        <v>100</v>
      </c>
      <c r="X39" s="1540"/>
      <c r="Y39" s="3280"/>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46"/>
      <c r="Q40" s="1537" t="str">
        <f t="shared" si="11"/>
        <v>单套建筑面积</v>
      </c>
      <c r="R40" s="714" t="s">
        <v>17</v>
      </c>
      <c r="S40" s="715">
        <f t="shared" si="12"/>
        <v>100</v>
      </c>
      <c r="T40" s="714" t="s">
        <v>17</v>
      </c>
      <c r="U40" s="715">
        <f t="shared" si="13"/>
        <v>100</v>
      </c>
      <c r="V40" s="714" t="s">
        <v>17</v>
      </c>
      <c r="W40" s="715">
        <f t="shared" si="14"/>
        <v>100</v>
      </c>
      <c r="X40" s="1540"/>
      <c r="Y40" s="3280"/>
      <c r="Z40" s="1541" t="str">
        <f t="shared" si="15"/>
        <v>单套建筑面积</v>
      </c>
      <c r="AA40" s="1538">
        <f t="shared" si="3"/>
        <v>1</v>
      </c>
      <c r="AB40" s="1538">
        <f t="shared" si="4"/>
        <v>1</v>
      </c>
      <c r="AC40" s="1538">
        <f t="shared" si="5"/>
        <v>1</v>
      </c>
    </row>
    <row r="41" spans="1:29" s="430" customFormat="1" ht="15">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46"/>
      <c r="Q41" s="716" t="str">
        <f t="shared" si="11"/>
        <v>进深比</v>
      </c>
      <c r="R41" s="717" t="s">
        <v>17</v>
      </c>
      <c r="S41" s="718">
        <f t="shared" si="12"/>
        <v>100</v>
      </c>
      <c r="T41" s="717" t="s">
        <v>17</v>
      </c>
      <c r="U41" s="718">
        <f t="shared" si="13"/>
        <v>100</v>
      </c>
      <c r="V41" s="717" t="s">
        <v>17</v>
      </c>
      <c r="W41" s="718">
        <f t="shared" si="14"/>
        <v>100</v>
      </c>
      <c r="X41" s="719"/>
      <c r="Y41" s="3280"/>
      <c r="Z41" s="720" t="str">
        <f t="shared" si="15"/>
        <v>进深比</v>
      </c>
      <c r="AA41" s="1538">
        <f t="shared" si="3"/>
        <v>1</v>
      </c>
      <c r="AB41" s="1538">
        <f t="shared" si="4"/>
        <v>1</v>
      </c>
      <c r="AC41" s="1538">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46"/>
      <c r="Q42" s="1537" t="str">
        <f t="shared" si="11"/>
        <v>内部装修</v>
      </c>
      <c r="R42" s="714" t="s">
        <v>17</v>
      </c>
      <c r="S42" s="715">
        <f t="shared" si="12"/>
        <v>100</v>
      </c>
      <c r="T42" s="714" t="s">
        <v>17</v>
      </c>
      <c r="U42" s="715">
        <f t="shared" si="13"/>
        <v>100</v>
      </c>
      <c r="V42" s="714" t="s">
        <v>17</v>
      </c>
      <c r="W42" s="715">
        <f t="shared" si="14"/>
        <v>100</v>
      </c>
      <c r="X42" s="1540"/>
      <c r="Y42" s="3280"/>
      <c r="Z42" s="1541" t="str">
        <f t="shared" si="15"/>
        <v>内部装修</v>
      </c>
      <c r="AA42" s="1538">
        <f t="shared" si="3"/>
        <v>1</v>
      </c>
      <c r="AB42" s="1538">
        <f t="shared" si="4"/>
        <v>1</v>
      </c>
      <c r="AC42" s="1538">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46"/>
      <c r="Q43" s="1537" t="str">
        <f t="shared" si="11"/>
        <v>内部装修维护情况</v>
      </c>
      <c r="R43" s="714" t="s">
        <v>17</v>
      </c>
      <c r="S43" s="715">
        <f t="shared" si="12"/>
        <v>100</v>
      </c>
      <c r="T43" s="714" t="s">
        <v>17</v>
      </c>
      <c r="U43" s="715">
        <f t="shared" si="13"/>
        <v>100</v>
      </c>
      <c r="V43" s="714" t="s">
        <v>17</v>
      </c>
      <c r="W43" s="715">
        <f t="shared" si="14"/>
        <v>100</v>
      </c>
      <c r="X43" s="1540"/>
      <c r="Y43" s="3280"/>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46"/>
      <c r="Q44" s="1528">
        <f t="shared" si="11"/>
        <v>111</v>
      </c>
      <c r="R44" s="710" t="s">
        <v>17</v>
      </c>
      <c r="S44" s="711">
        <f t="shared" si="12"/>
        <v>100</v>
      </c>
      <c r="T44" s="710" t="s">
        <v>17</v>
      </c>
      <c r="U44" s="711">
        <f t="shared" si="13"/>
        <v>100</v>
      </c>
      <c r="V44" s="710" t="s">
        <v>17</v>
      </c>
      <c r="W44" s="711">
        <f t="shared" si="14"/>
        <v>100</v>
      </c>
      <c r="X44" s="712"/>
      <c r="Y44" s="328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46"/>
      <c r="Q45" s="1537">
        <f t="shared" si="11"/>
        <v>111</v>
      </c>
      <c r="R45" s="714" t="s">
        <v>17</v>
      </c>
      <c r="S45" s="715">
        <f t="shared" si="12"/>
        <v>100</v>
      </c>
      <c r="T45" s="714" t="s">
        <v>17</v>
      </c>
      <c r="U45" s="715">
        <f t="shared" si="13"/>
        <v>100</v>
      </c>
      <c r="V45" s="714" t="s">
        <v>17</v>
      </c>
      <c r="W45" s="715">
        <f t="shared" si="14"/>
        <v>100</v>
      </c>
      <c r="X45" s="1540"/>
      <c r="Y45" s="3280"/>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47"/>
      <c r="Q46" s="1537">
        <f t="shared" si="11"/>
        <v>111</v>
      </c>
      <c r="R46" s="714" t="s">
        <v>17</v>
      </c>
      <c r="S46" s="715">
        <f t="shared" si="12"/>
        <v>100</v>
      </c>
      <c r="T46" s="714" t="s">
        <v>17</v>
      </c>
      <c r="U46" s="715">
        <f t="shared" si="13"/>
        <v>100</v>
      </c>
      <c r="V46" s="714" t="s">
        <v>17</v>
      </c>
      <c r="W46" s="715">
        <f t="shared" si="14"/>
        <v>100</v>
      </c>
      <c r="X46" s="1540"/>
      <c r="Y46" s="3348"/>
      <c r="Z46" s="1541">
        <f t="shared" si="15"/>
        <v>111</v>
      </c>
      <c r="AA46" s="1538">
        <f t="shared" si="3"/>
        <v>1</v>
      </c>
      <c r="AB46" s="1538">
        <f t="shared" si="4"/>
        <v>1</v>
      </c>
      <c r="AC46" s="1538">
        <f t="shared" si="5"/>
        <v>1</v>
      </c>
    </row>
    <row r="47" spans="1:29" ht="15">
      <c r="A47" s="438" t="s">
        <v>2398</v>
      </c>
      <c r="B47" s="439"/>
      <c r="C47" s="1316" t="s">
        <v>1</v>
      </c>
      <c r="D47" s="1317"/>
      <c r="E47" s="1318"/>
      <c r="F47" s="1319"/>
      <c r="G47" s="1320"/>
      <c r="H47" s="1321"/>
      <c r="I47" s="1318"/>
      <c r="J47" s="1321"/>
      <c r="K47" s="723"/>
      <c r="L47" s="2953"/>
      <c r="M47" s="2954"/>
      <c r="N47" s="2945"/>
      <c r="O47" s="2954"/>
      <c r="P47" s="3275" t="str">
        <f>A47</f>
        <v>成交单价（元/平方米）</v>
      </c>
      <c r="Q47" s="3275"/>
      <c r="R47" s="3281">
        <f>E47</f>
        <v>0</v>
      </c>
      <c r="S47" s="3281"/>
      <c r="T47" s="3281">
        <f>G47</f>
        <v>0</v>
      </c>
      <c r="U47" s="3281"/>
      <c r="V47" s="3281">
        <f>I47</f>
        <v>0</v>
      </c>
      <c r="W47" s="3281"/>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275" t="str">
        <f>A48</f>
        <v>比较价值（元/平方米）</v>
      </c>
      <c r="Q48" s="3275"/>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269" t="str">
        <f>A49</f>
        <v>估价对象XX用房的比较价值（楼面单价，元/平方米）</v>
      </c>
      <c r="Q49" s="3270"/>
      <c r="R49" s="3343" t="e">
        <f>IF(F1="售价",ROUND(IF(D48="简单平均",AVERAGE(R48:V48),R48*F48+T48*H48+V48*J48),0),ROUND(IF(D48="简单平均",AVERAGE(R48:V48),R48*F48+T48*H48+V48*J48),1))</f>
        <v>#DIV/0!</v>
      </c>
      <c r="S49" s="3343"/>
      <c r="T49" s="3343"/>
      <c r="U49" s="3343"/>
      <c r="V49" s="3343"/>
      <c r="W49" s="334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21976.32</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72" t="s">
        <v>2467</v>
      </c>
      <c r="D4" s="3285"/>
      <c r="E4" s="3286" t="s">
        <v>2468</v>
      </c>
      <c r="F4" s="3287"/>
      <c r="G4" s="3272" t="s">
        <v>2469</v>
      </c>
      <c r="H4" s="3285"/>
      <c r="I4" s="3272" t="s">
        <v>2470</v>
      </c>
      <c r="J4" s="3285"/>
      <c r="K4" s="567" t="s">
        <v>2471</v>
      </c>
      <c r="L4" s="2944"/>
      <c r="M4" s="2945"/>
      <c r="N4" s="2945"/>
      <c r="O4" s="2945"/>
      <c r="P4" s="3357" t="s">
        <v>2472</v>
      </c>
      <c r="Q4" s="3358"/>
      <c r="R4" s="3361" t="s">
        <v>2468</v>
      </c>
      <c r="S4" s="3362"/>
      <c r="T4" s="3361" t="s">
        <v>2469</v>
      </c>
      <c r="U4" s="3362"/>
      <c r="V4" s="3363" t="s">
        <v>2470</v>
      </c>
      <c r="W4" s="3363"/>
      <c r="X4" s="2144"/>
      <c r="Y4" s="3361" t="s">
        <v>2472</v>
      </c>
      <c r="Z4" s="3362"/>
      <c r="AA4" s="3365" t="s">
        <v>2468</v>
      </c>
      <c r="AB4" s="3365" t="s">
        <v>2469</v>
      </c>
      <c r="AC4" s="3354" t="s">
        <v>2470</v>
      </c>
    </row>
    <row r="5" spans="1:29" ht="15">
      <c r="A5" s="364"/>
      <c r="B5" s="365"/>
      <c r="C5" s="3302" t="s">
        <v>2363</v>
      </c>
      <c r="D5" s="3303"/>
      <c r="E5" s="3309" t="s">
        <v>2364</v>
      </c>
      <c r="F5" s="3310"/>
      <c r="G5" s="3302" t="s">
        <v>2365</v>
      </c>
      <c r="H5" s="3303"/>
      <c r="I5" s="3302" t="s">
        <v>2366</v>
      </c>
      <c r="J5" s="3303"/>
      <c r="K5" s="567"/>
      <c r="L5" s="2944"/>
      <c r="M5" s="2945"/>
      <c r="N5" s="2945"/>
      <c r="O5" s="2945"/>
      <c r="P5" s="3359"/>
      <c r="Q5" s="3291"/>
      <c r="R5" s="3296"/>
      <c r="S5" s="3297"/>
      <c r="T5" s="3296"/>
      <c r="U5" s="3297"/>
      <c r="V5" s="3281"/>
      <c r="W5" s="3281"/>
      <c r="X5" s="1540"/>
      <c r="Y5" s="3296"/>
      <c r="Z5" s="3297"/>
      <c r="AA5" s="3283"/>
      <c r="AB5" s="3283"/>
      <c r="AC5" s="3355"/>
    </row>
    <row r="6" spans="1:29" ht="15.75" thickBot="1">
      <c r="A6" s="366"/>
      <c r="B6" s="367"/>
      <c r="C6" s="3300" t="s">
        <v>2367</v>
      </c>
      <c r="D6" s="3301"/>
      <c r="E6" s="3307" t="s">
        <v>2367</v>
      </c>
      <c r="F6" s="3308"/>
      <c r="G6" s="3300" t="s">
        <v>2367</v>
      </c>
      <c r="H6" s="3301"/>
      <c r="I6" s="3300" t="s">
        <v>2367</v>
      </c>
      <c r="J6" s="3301"/>
      <c r="K6" s="567" t="s">
        <v>2368</v>
      </c>
      <c r="L6" s="2944"/>
      <c r="M6" s="2945"/>
      <c r="N6" s="2945"/>
      <c r="O6" s="2945"/>
      <c r="P6" s="3360"/>
      <c r="Q6" s="3293"/>
      <c r="R6" s="3296"/>
      <c r="S6" s="3297"/>
      <c r="T6" s="3298"/>
      <c r="U6" s="3299"/>
      <c r="V6" s="3281"/>
      <c r="W6" s="3281"/>
      <c r="X6" s="1540"/>
      <c r="Y6" s="3298"/>
      <c r="Z6" s="3299"/>
      <c r="AA6" s="3284"/>
      <c r="AB6" s="3284"/>
      <c r="AC6" s="3356"/>
    </row>
    <row r="7" spans="1:29" s="113" customFormat="1" ht="15.75" thickBot="1">
      <c r="A7" s="368" t="s">
        <v>2369</v>
      </c>
      <c r="B7" s="369"/>
      <c r="C7" s="370">
        <f>'数据-取费表'!B2</f>
        <v>44294</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64" t="s">
        <v>2370</v>
      </c>
      <c r="Q7" s="3306"/>
      <c r="R7" s="710" t="s">
        <v>17</v>
      </c>
      <c r="S7" s="711">
        <f t="shared" ref="S7:S15" si="0">F7</f>
        <v>0</v>
      </c>
      <c r="T7" s="710" t="s">
        <v>17</v>
      </c>
      <c r="U7" s="711">
        <f t="shared" ref="U7:U15" si="1">H7</f>
        <v>0</v>
      </c>
      <c r="V7" s="710" t="s">
        <v>17</v>
      </c>
      <c r="W7" s="711">
        <f t="shared" ref="W7:W15" si="2">J7</f>
        <v>0</v>
      </c>
      <c r="X7" s="712"/>
      <c r="Y7" s="3304" t="s">
        <v>2370</v>
      </c>
      <c r="Z7" s="3305"/>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64" t="s">
        <v>2373</v>
      </c>
      <c r="Q8" s="3305"/>
      <c r="R8" s="710" t="s">
        <v>17</v>
      </c>
      <c r="S8" s="711">
        <f t="shared" si="0"/>
        <v>0</v>
      </c>
      <c r="T8" s="710" t="s">
        <v>17</v>
      </c>
      <c r="U8" s="711">
        <f t="shared" si="1"/>
        <v>0</v>
      </c>
      <c r="V8" s="710" t="s">
        <v>17</v>
      </c>
      <c r="W8" s="711">
        <f t="shared" si="2"/>
        <v>0</v>
      </c>
      <c r="X8" s="712"/>
      <c r="Y8" s="3304" t="s">
        <v>2373</v>
      </c>
      <c r="Z8" s="3305"/>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74" t="s">
        <v>2376</v>
      </c>
      <c r="Q9" s="1528" t="str">
        <f t="shared" ref="Q9:Q15" si="6">B9</f>
        <v>用途</v>
      </c>
      <c r="R9" s="710" t="s">
        <v>17</v>
      </c>
      <c r="S9" s="711">
        <f t="shared" si="0"/>
        <v>100</v>
      </c>
      <c r="T9" s="710" t="s">
        <v>17</v>
      </c>
      <c r="U9" s="711">
        <f t="shared" si="1"/>
        <v>100</v>
      </c>
      <c r="V9" s="710" t="s">
        <v>17</v>
      </c>
      <c r="W9" s="711">
        <f t="shared" si="2"/>
        <v>100</v>
      </c>
      <c r="X9" s="712"/>
      <c r="Y9" s="3169"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74"/>
      <c r="Q10" s="1528" t="str">
        <f t="shared" si="6"/>
        <v>土地使用年限（年）</v>
      </c>
      <c r="R10" s="710" t="s">
        <v>17</v>
      </c>
      <c r="S10" s="711">
        <f t="shared" si="0"/>
        <v>100</v>
      </c>
      <c r="T10" s="710" t="s">
        <v>17</v>
      </c>
      <c r="U10" s="711">
        <f t="shared" si="1"/>
        <v>100</v>
      </c>
      <c r="V10" s="710" t="s">
        <v>17</v>
      </c>
      <c r="W10" s="711">
        <f t="shared" si="2"/>
        <v>100</v>
      </c>
      <c r="X10" s="712"/>
      <c r="Y10" s="3169"/>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74"/>
      <c r="Q11" s="1528" t="str">
        <f t="shared" si="6"/>
        <v>容积率</v>
      </c>
      <c r="R11" s="710" t="s">
        <v>17</v>
      </c>
      <c r="S11" s="711" t="e">
        <f t="shared" si="0"/>
        <v>#N/A</v>
      </c>
      <c r="T11" s="710" t="s">
        <v>17</v>
      </c>
      <c r="U11" s="711" t="e">
        <f t="shared" si="1"/>
        <v>#N/A</v>
      </c>
      <c r="V11" s="710" t="s">
        <v>17</v>
      </c>
      <c r="W11" s="711" t="e">
        <f t="shared" si="2"/>
        <v>#N/A</v>
      </c>
      <c r="X11" s="712"/>
      <c r="Y11" s="3169"/>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74"/>
      <c r="Q12" s="1528">
        <f t="shared" si="6"/>
        <v>111</v>
      </c>
      <c r="R12" s="710" t="s">
        <v>17</v>
      </c>
      <c r="S12" s="711">
        <f t="shared" si="0"/>
        <v>100</v>
      </c>
      <c r="T12" s="710" t="s">
        <v>17</v>
      </c>
      <c r="U12" s="711">
        <f t="shared" si="1"/>
        <v>100</v>
      </c>
      <c r="V12" s="710" t="s">
        <v>17</v>
      </c>
      <c r="W12" s="711">
        <f t="shared" si="2"/>
        <v>100</v>
      </c>
      <c r="X12" s="712"/>
      <c r="Y12" s="316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74"/>
      <c r="Q13" s="1528">
        <f t="shared" si="6"/>
        <v>111</v>
      </c>
      <c r="R13" s="710" t="s">
        <v>17</v>
      </c>
      <c r="S13" s="711">
        <f t="shared" si="0"/>
        <v>100</v>
      </c>
      <c r="T13" s="710" t="s">
        <v>17</v>
      </c>
      <c r="U13" s="711">
        <f t="shared" si="1"/>
        <v>100</v>
      </c>
      <c r="V13" s="710" t="s">
        <v>17</v>
      </c>
      <c r="W13" s="711">
        <f t="shared" si="2"/>
        <v>100</v>
      </c>
      <c r="X13" s="712"/>
      <c r="Y13" s="3169"/>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74"/>
      <c r="Q14" s="1528">
        <f t="shared" si="6"/>
        <v>111</v>
      </c>
      <c r="R14" s="710" t="s">
        <v>17</v>
      </c>
      <c r="S14" s="711">
        <f t="shared" si="0"/>
        <v>100</v>
      </c>
      <c r="T14" s="710" t="s">
        <v>17</v>
      </c>
      <c r="U14" s="711">
        <f t="shared" si="1"/>
        <v>100</v>
      </c>
      <c r="V14" s="710" t="s">
        <v>17</v>
      </c>
      <c r="W14" s="711">
        <f t="shared" si="2"/>
        <v>100</v>
      </c>
      <c r="X14" s="712"/>
      <c r="Y14" s="3169"/>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49" t="s">
        <v>2381</v>
      </c>
      <c r="Q15" s="1537" t="str">
        <f t="shared" si="6"/>
        <v>办公集聚程度</v>
      </c>
      <c r="R15" s="714" t="s">
        <v>17</v>
      </c>
      <c r="S15" s="715">
        <f t="shared" si="0"/>
        <v>100</v>
      </c>
      <c r="T15" s="714" t="s">
        <v>17</v>
      </c>
      <c r="U15" s="715">
        <f t="shared" si="1"/>
        <v>100</v>
      </c>
      <c r="V15" s="714" t="s">
        <v>17</v>
      </c>
      <c r="W15" s="715">
        <f t="shared" si="2"/>
        <v>100</v>
      </c>
      <c r="X15" s="1540"/>
      <c r="Y15" s="3277" t="s">
        <v>2381</v>
      </c>
      <c r="Z15" s="1541" t="str">
        <f t="shared" si="7"/>
        <v>办公集聚程度</v>
      </c>
      <c r="AA15" s="1538">
        <f t="shared" si="3"/>
        <v>1</v>
      </c>
      <c r="AB15" s="1538">
        <f t="shared" si="4"/>
        <v>1</v>
      </c>
      <c r="AC15" s="2148">
        <f t="shared" si="5"/>
        <v>1</v>
      </c>
    </row>
    <row r="16" spans="1:29" ht="15">
      <c r="A16" s="387"/>
      <c r="B16" s="586"/>
      <c r="C16" s="2090"/>
      <c r="D16" s="407"/>
      <c r="E16" s="406"/>
      <c r="F16" s="407"/>
      <c r="G16" s="2090"/>
      <c r="H16" s="409"/>
      <c r="I16" s="406"/>
      <c r="J16" s="407"/>
      <c r="K16" s="572"/>
      <c r="L16" s="2951"/>
      <c r="M16" s="2945"/>
      <c r="N16" s="2945"/>
      <c r="O16" s="2945"/>
      <c r="P16" s="3350"/>
      <c r="Q16" s="1537"/>
      <c r="R16" s="714"/>
      <c r="S16" s="715"/>
      <c r="T16" s="714"/>
      <c r="U16" s="715"/>
      <c r="V16" s="714"/>
      <c r="W16" s="715"/>
      <c r="X16" s="1540"/>
      <c r="Y16" s="3278"/>
      <c r="Z16" s="1541"/>
      <c r="AA16" s="1538">
        <v>1</v>
      </c>
      <c r="AB16" s="1538">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50"/>
      <c r="Q17" s="1537" t="str">
        <f>B17</f>
        <v>交通便捷度</v>
      </c>
      <c r="R17" s="714" t="s">
        <v>17</v>
      </c>
      <c r="S17" s="715">
        <f>F17</f>
        <v>100</v>
      </c>
      <c r="T17" s="714" t="s">
        <v>17</v>
      </c>
      <c r="U17" s="715">
        <f>H17</f>
        <v>100</v>
      </c>
      <c r="V17" s="714" t="s">
        <v>17</v>
      </c>
      <c r="W17" s="715">
        <f>J17</f>
        <v>100</v>
      </c>
      <c r="X17" s="1540"/>
      <c r="Y17" s="3278"/>
      <c r="Z17" s="1541" t="str">
        <f>Q17</f>
        <v>交通便捷度</v>
      </c>
      <c r="AA17" s="1538">
        <f t="shared" si="3"/>
        <v>1</v>
      </c>
      <c r="AB17" s="1538">
        <f t="shared" si="4"/>
        <v>1</v>
      </c>
      <c r="AC17" s="2148">
        <f t="shared" si="5"/>
        <v>1</v>
      </c>
    </row>
    <row r="18" spans="1:29" ht="15">
      <c r="A18" s="387"/>
      <c r="B18" s="588"/>
      <c r="C18" s="2150"/>
      <c r="D18" s="409"/>
      <c r="E18" s="2088"/>
      <c r="F18" s="409"/>
      <c r="G18" s="2089"/>
      <c r="H18" s="407"/>
      <c r="I18" s="2089"/>
      <c r="J18" s="407"/>
      <c r="K18" s="572"/>
      <c r="L18" s="2951"/>
      <c r="M18" s="2945"/>
      <c r="N18" s="2945"/>
      <c r="O18" s="2945"/>
      <c r="P18" s="3350"/>
      <c r="Q18" s="1537"/>
      <c r="R18" s="714"/>
      <c r="S18" s="715"/>
      <c r="T18" s="714"/>
      <c r="U18" s="715"/>
      <c r="V18" s="714"/>
      <c r="W18" s="715"/>
      <c r="X18" s="1540"/>
      <c r="Y18" s="3278"/>
      <c r="Z18" s="1541"/>
      <c r="AA18" s="1538">
        <v>1</v>
      </c>
      <c r="AB18" s="1538">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50"/>
      <c r="Q19" s="1537" t="str">
        <f>B19</f>
        <v>公共配套设施</v>
      </c>
      <c r="R19" s="714" t="s">
        <v>17</v>
      </c>
      <c r="S19" s="715">
        <f>F19</f>
        <v>100</v>
      </c>
      <c r="T19" s="714" t="s">
        <v>17</v>
      </c>
      <c r="U19" s="715">
        <f>H19</f>
        <v>100</v>
      </c>
      <c r="V19" s="714" t="s">
        <v>17</v>
      </c>
      <c r="W19" s="715">
        <f>J19</f>
        <v>100</v>
      </c>
      <c r="X19" s="1540"/>
      <c r="Y19" s="3278"/>
      <c r="Z19" s="1541" t="str">
        <f>Q19</f>
        <v>公共配套设施</v>
      </c>
      <c r="AA19" s="1538">
        <f t="shared" si="3"/>
        <v>1</v>
      </c>
      <c r="AB19" s="1538">
        <f t="shared" si="4"/>
        <v>1</v>
      </c>
      <c r="AC19" s="2148">
        <f t="shared" si="5"/>
        <v>1</v>
      </c>
    </row>
    <row r="20" spans="1:29" ht="15">
      <c r="A20" s="387"/>
      <c r="B20" s="588"/>
      <c r="C20" s="2090"/>
      <c r="D20" s="407"/>
      <c r="E20" s="2083"/>
      <c r="F20" s="407"/>
      <c r="G20" s="2084"/>
      <c r="H20" s="407"/>
      <c r="I20" s="2084"/>
      <c r="J20" s="407"/>
      <c r="K20" s="572"/>
      <c r="L20" s="2951"/>
      <c r="M20" s="2945"/>
      <c r="N20" s="2945"/>
      <c r="O20" s="2945"/>
      <c r="P20" s="3350"/>
      <c r="Q20" s="1537"/>
      <c r="R20" s="714"/>
      <c r="S20" s="715"/>
      <c r="T20" s="714"/>
      <c r="U20" s="715"/>
      <c r="V20" s="714"/>
      <c r="W20" s="715"/>
      <c r="X20" s="1540"/>
      <c r="Y20" s="3278"/>
      <c r="Z20" s="1541"/>
      <c r="AA20" s="1538">
        <v>1</v>
      </c>
      <c r="AB20" s="1538">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50"/>
      <c r="Q21" s="1537" t="str">
        <f>B21</f>
        <v>基础设施水平</v>
      </c>
      <c r="R21" s="714" t="s">
        <v>17</v>
      </c>
      <c r="S21" s="715">
        <f>F21</f>
        <v>100</v>
      </c>
      <c r="T21" s="714" t="s">
        <v>17</v>
      </c>
      <c r="U21" s="715">
        <f>H21</f>
        <v>100</v>
      </c>
      <c r="V21" s="714" t="s">
        <v>17</v>
      </c>
      <c r="W21" s="715">
        <f>J21</f>
        <v>100</v>
      </c>
      <c r="X21" s="1540"/>
      <c r="Y21" s="3278"/>
      <c r="Z21" s="1541" t="str">
        <f>Q21</f>
        <v>基础设施水平</v>
      </c>
      <c r="AA21" s="1538">
        <f t="shared" ref="AA21" si="8">D21/F21</f>
        <v>1</v>
      </c>
      <c r="AB21" s="1538">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50"/>
      <c r="Q22" s="1537"/>
      <c r="R22" s="714"/>
      <c r="S22" s="715"/>
      <c r="T22" s="714"/>
      <c r="U22" s="715"/>
      <c r="V22" s="714"/>
      <c r="W22" s="715"/>
      <c r="X22" s="1540"/>
      <c r="Y22" s="3278"/>
      <c r="Z22" s="1541"/>
      <c r="AA22" s="1538">
        <v>1</v>
      </c>
      <c r="AB22" s="1538">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50"/>
      <c r="Q23" s="1537" t="str">
        <f>B23</f>
        <v>环境质量</v>
      </c>
      <c r="R23" s="714" t="s">
        <v>17</v>
      </c>
      <c r="S23" s="715">
        <f>F23</f>
        <v>100</v>
      </c>
      <c r="T23" s="714" t="s">
        <v>17</v>
      </c>
      <c r="U23" s="715">
        <f>H23</f>
        <v>100</v>
      </c>
      <c r="V23" s="714" t="s">
        <v>17</v>
      </c>
      <c r="W23" s="715">
        <f>J23</f>
        <v>100</v>
      </c>
      <c r="X23" s="1540"/>
      <c r="Y23" s="3278"/>
      <c r="Z23" s="1541" t="str">
        <f>Q23</f>
        <v>环境质量</v>
      </c>
      <c r="AA23" s="1538">
        <f t="shared" si="3"/>
        <v>1</v>
      </c>
      <c r="AB23" s="1538">
        <f t="shared" si="4"/>
        <v>1</v>
      </c>
      <c r="AC23" s="2148">
        <f t="shared" si="5"/>
        <v>1</v>
      </c>
    </row>
    <row r="24" spans="1:29" ht="15">
      <c r="A24" s="387"/>
      <c r="B24" s="589"/>
      <c r="C24" s="2090"/>
      <c r="D24" s="407"/>
      <c r="E24" s="2083"/>
      <c r="F24" s="407"/>
      <c r="G24" s="2084"/>
      <c r="H24" s="407"/>
      <c r="I24" s="2084"/>
      <c r="J24" s="407"/>
      <c r="K24" s="572"/>
      <c r="L24" s="2951"/>
      <c r="M24" s="2945"/>
      <c r="N24" s="2945"/>
      <c r="O24" s="2945"/>
      <c r="P24" s="3350"/>
      <c r="Q24" s="1537"/>
      <c r="R24" s="714"/>
      <c r="S24" s="715"/>
      <c r="T24" s="714"/>
      <c r="U24" s="715"/>
      <c r="V24" s="714"/>
      <c r="W24" s="715"/>
      <c r="X24" s="1540"/>
      <c r="Y24" s="3278"/>
      <c r="Z24" s="1541"/>
      <c r="AA24" s="1538">
        <v>1</v>
      </c>
      <c r="AB24" s="1538">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50"/>
      <c r="Q25" s="1537" t="str">
        <f>B25</f>
        <v>毗邻道路的类型与等级</v>
      </c>
      <c r="R25" s="714" t="s">
        <v>17</v>
      </c>
      <c r="S25" s="715">
        <f>F25</f>
        <v>100</v>
      </c>
      <c r="T25" s="714" t="s">
        <v>17</v>
      </c>
      <c r="U25" s="715">
        <f>H25</f>
        <v>100</v>
      </c>
      <c r="V25" s="714" t="s">
        <v>17</v>
      </c>
      <c r="W25" s="715">
        <f>J25</f>
        <v>100</v>
      </c>
      <c r="X25" s="1540"/>
      <c r="Y25" s="3278"/>
      <c r="Z25" s="1541" t="str">
        <f>Q25</f>
        <v>毗邻道路的类型与等级</v>
      </c>
      <c r="AA25" s="1538">
        <f t="shared" si="3"/>
        <v>1</v>
      </c>
      <c r="AB25" s="1538">
        <f t="shared" si="4"/>
        <v>1</v>
      </c>
      <c r="AC25" s="2148">
        <f t="shared" si="5"/>
        <v>1</v>
      </c>
    </row>
    <row r="26" spans="1:29" ht="15">
      <c r="A26" s="364"/>
      <c r="B26" s="588"/>
      <c r="C26" s="590"/>
      <c r="D26" s="394"/>
      <c r="E26" s="573"/>
      <c r="F26" s="394"/>
      <c r="G26" s="590"/>
      <c r="H26" s="394"/>
      <c r="I26" s="573"/>
      <c r="J26" s="394"/>
      <c r="K26" s="572"/>
      <c r="L26" s="2951"/>
      <c r="M26" s="2945"/>
      <c r="N26" s="2945"/>
      <c r="O26" s="2945"/>
      <c r="P26" s="3350"/>
      <c r="Q26" s="1537"/>
      <c r="R26" s="714"/>
      <c r="S26" s="715"/>
      <c r="T26" s="714"/>
      <c r="U26" s="715"/>
      <c r="V26" s="714"/>
      <c r="W26" s="715"/>
      <c r="X26" s="1540"/>
      <c r="Y26" s="3278"/>
      <c r="Z26" s="1541"/>
      <c r="AA26" s="1538">
        <v>1</v>
      </c>
      <c r="AB26" s="1538">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50"/>
      <c r="Q27" s="1537" t="str">
        <f t="shared" ref="Q27:Q47" si="11">B27</f>
        <v>楼层</v>
      </c>
      <c r="R27" s="714" t="s">
        <v>17</v>
      </c>
      <c r="S27" s="715">
        <f>F27</f>
        <v>100</v>
      </c>
      <c r="T27" s="714" t="s">
        <v>17</v>
      </c>
      <c r="U27" s="715">
        <f>H27</f>
        <v>100</v>
      </c>
      <c r="V27" s="714" t="s">
        <v>17</v>
      </c>
      <c r="W27" s="715">
        <f>J27</f>
        <v>100</v>
      </c>
      <c r="X27" s="1540"/>
      <c r="Y27" s="3278"/>
      <c r="Z27" s="1541" t="str">
        <f>Q27</f>
        <v>楼层</v>
      </c>
      <c r="AA27" s="1538">
        <f t="shared" si="3"/>
        <v>1</v>
      </c>
      <c r="AB27" s="1538">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50"/>
      <c r="Q28" s="1528" t="str">
        <f t="shared" si="11"/>
        <v>朝向</v>
      </c>
      <c r="R28" s="710" t="s">
        <v>17</v>
      </c>
      <c r="S28" s="711">
        <f>F28</f>
        <v>100</v>
      </c>
      <c r="T28" s="710" t="s">
        <v>17</v>
      </c>
      <c r="U28" s="711">
        <f>H28</f>
        <v>100</v>
      </c>
      <c r="V28" s="710" t="s">
        <v>17</v>
      </c>
      <c r="W28" s="711">
        <f>J28</f>
        <v>100</v>
      </c>
      <c r="X28" s="712"/>
      <c r="Y28" s="3278"/>
      <c r="Z28" s="55" t="str">
        <f>Q28</f>
        <v>朝向</v>
      </c>
      <c r="AA28" s="1538">
        <f>D28/F28</f>
        <v>1</v>
      </c>
      <c r="AB28" s="1538">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50"/>
      <c r="Q29" s="1537">
        <f t="shared" si="11"/>
        <v>111</v>
      </c>
      <c r="R29" s="714" t="s">
        <v>17</v>
      </c>
      <c r="S29" s="715">
        <f t="shared" ref="S29:S47" si="12">F29</f>
        <v>100</v>
      </c>
      <c r="T29" s="714" t="s">
        <v>17</v>
      </c>
      <c r="U29" s="715">
        <f t="shared" ref="U29:U47" si="13">H29</f>
        <v>100</v>
      </c>
      <c r="V29" s="714" t="s">
        <v>17</v>
      </c>
      <c r="W29" s="715">
        <f t="shared" ref="W29:W47" si="14">J29</f>
        <v>100</v>
      </c>
      <c r="X29" s="1540"/>
      <c r="Y29" s="3278"/>
      <c r="Z29" s="1541">
        <f t="shared" ref="Z29:Z47" si="15">Q29</f>
        <v>111</v>
      </c>
      <c r="AA29" s="1538">
        <f t="shared" si="3"/>
        <v>1</v>
      </c>
      <c r="AB29" s="1538">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50"/>
      <c r="Q30" s="1537">
        <f t="shared" si="11"/>
        <v>111</v>
      </c>
      <c r="R30" s="714" t="s">
        <v>17</v>
      </c>
      <c r="S30" s="715">
        <f t="shared" si="12"/>
        <v>100</v>
      </c>
      <c r="T30" s="714" t="s">
        <v>17</v>
      </c>
      <c r="U30" s="715">
        <f t="shared" si="13"/>
        <v>100</v>
      </c>
      <c r="V30" s="714" t="s">
        <v>17</v>
      </c>
      <c r="W30" s="715">
        <f t="shared" si="14"/>
        <v>100</v>
      </c>
      <c r="X30" s="1540"/>
      <c r="Y30" s="3278"/>
      <c r="Z30" s="1541">
        <f t="shared" si="15"/>
        <v>111</v>
      </c>
      <c r="AA30" s="1538">
        <f t="shared" si="3"/>
        <v>1</v>
      </c>
      <c r="AB30" s="1538">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50"/>
      <c r="Q31" s="1537">
        <f t="shared" si="11"/>
        <v>111</v>
      </c>
      <c r="R31" s="714" t="s">
        <v>17</v>
      </c>
      <c r="S31" s="715">
        <f t="shared" si="12"/>
        <v>100</v>
      </c>
      <c r="T31" s="714" t="s">
        <v>17</v>
      </c>
      <c r="U31" s="715">
        <f t="shared" si="13"/>
        <v>100</v>
      </c>
      <c r="V31" s="714" t="s">
        <v>17</v>
      </c>
      <c r="W31" s="715">
        <f t="shared" si="14"/>
        <v>100</v>
      </c>
      <c r="X31" s="1540"/>
      <c r="Y31" s="3278"/>
      <c r="Z31" s="1541">
        <f t="shared" si="15"/>
        <v>111</v>
      </c>
      <c r="AA31" s="1538">
        <f t="shared" si="3"/>
        <v>1</v>
      </c>
      <c r="AB31" s="1538">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50"/>
      <c r="Q32" s="1537">
        <f t="shared" si="11"/>
        <v>111</v>
      </c>
      <c r="R32" s="714" t="s">
        <v>17</v>
      </c>
      <c r="S32" s="715">
        <f t="shared" si="12"/>
        <v>100</v>
      </c>
      <c r="T32" s="714" t="s">
        <v>17</v>
      </c>
      <c r="U32" s="715">
        <f t="shared" si="13"/>
        <v>100</v>
      </c>
      <c r="V32" s="714" t="s">
        <v>17</v>
      </c>
      <c r="W32" s="715">
        <f t="shared" si="14"/>
        <v>100</v>
      </c>
      <c r="X32" s="1540"/>
      <c r="Y32" s="3278"/>
      <c r="Z32" s="1541">
        <f t="shared" si="15"/>
        <v>111</v>
      </c>
      <c r="AA32" s="1538">
        <f t="shared" si="3"/>
        <v>1</v>
      </c>
      <c r="AB32" s="1538">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45" t="s">
        <v>2386</v>
      </c>
      <c r="Q33" s="1537" t="str">
        <f t="shared" si="11"/>
        <v>建筑类型</v>
      </c>
      <c r="R33" s="714" t="s">
        <v>17</v>
      </c>
      <c r="S33" s="715">
        <f t="shared" si="12"/>
        <v>100</v>
      </c>
      <c r="T33" s="714" t="s">
        <v>17</v>
      </c>
      <c r="U33" s="715">
        <f t="shared" si="13"/>
        <v>100</v>
      </c>
      <c r="V33" s="714" t="s">
        <v>17</v>
      </c>
      <c r="W33" s="715">
        <f t="shared" si="14"/>
        <v>100</v>
      </c>
      <c r="X33" s="1540"/>
      <c r="Y33" s="3280" t="s">
        <v>2386</v>
      </c>
      <c r="Z33" s="1541" t="str">
        <f t="shared" si="15"/>
        <v>建筑类型</v>
      </c>
      <c r="AA33" s="1538">
        <f t="shared" si="3"/>
        <v>1</v>
      </c>
      <c r="AB33" s="1538">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46"/>
      <c r="Q34" s="716" t="str">
        <f t="shared" si="11"/>
        <v>项目建筑规模</v>
      </c>
      <c r="R34" s="717" t="s">
        <v>17</v>
      </c>
      <c r="S34" s="718" t="e">
        <f t="shared" si="12"/>
        <v>#N/A</v>
      </c>
      <c r="T34" s="717" t="s">
        <v>17</v>
      </c>
      <c r="U34" s="718" t="e">
        <f t="shared" si="13"/>
        <v>#N/A</v>
      </c>
      <c r="V34" s="717" t="s">
        <v>17</v>
      </c>
      <c r="W34" s="718" t="e">
        <f t="shared" si="14"/>
        <v>#N/A</v>
      </c>
      <c r="X34" s="719"/>
      <c r="Y34" s="3280"/>
      <c r="Z34" s="720" t="str">
        <f t="shared" si="15"/>
        <v>项目建筑规模</v>
      </c>
      <c r="AA34" s="1538" t="e">
        <f t="shared" si="3"/>
        <v>#N/A</v>
      </c>
      <c r="AB34" s="1538"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46"/>
      <c r="Q35" s="1537" t="str">
        <f t="shared" si="11"/>
        <v>建筑结构</v>
      </c>
      <c r="R35" s="714" t="s">
        <v>17</v>
      </c>
      <c r="S35" s="715">
        <f t="shared" si="12"/>
        <v>100</v>
      </c>
      <c r="T35" s="714" t="s">
        <v>17</v>
      </c>
      <c r="U35" s="715">
        <f t="shared" si="13"/>
        <v>100</v>
      </c>
      <c r="V35" s="714" t="s">
        <v>17</v>
      </c>
      <c r="W35" s="715">
        <f t="shared" si="14"/>
        <v>100</v>
      </c>
      <c r="X35" s="1540"/>
      <c r="Y35" s="3280"/>
      <c r="Z35" s="1541" t="str">
        <f t="shared" si="15"/>
        <v>建筑结构</v>
      </c>
      <c r="AA35" s="1538">
        <f t="shared" si="3"/>
        <v>1</v>
      </c>
      <c r="AB35" s="1538">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46"/>
      <c r="Q36" s="1537" t="str">
        <f t="shared" si="11"/>
        <v>公共部分装修</v>
      </c>
      <c r="R36" s="714" t="s">
        <v>17</v>
      </c>
      <c r="S36" s="715">
        <f t="shared" si="12"/>
        <v>100</v>
      </c>
      <c r="T36" s="714" t="s">
        <v>17</v>
      </c>
      <c r="U36" s="715">
        <f t="shared" si="13"/>
        <v>100</v>
      </c>
      <c r="V36" s="714" t="s">
        <v>17</v>
      </c>
      <c r="W36" s="715">
        <f t="shared" si="14"/>
        <v>100</v>
      </c>
      <c r="X36" s="1540"/>
      <c r="Y36" s="3280"/>
      <c r="Z36" s="1541" t="str">
        <f t="shared" si="15"/>
        <v>公共部分装修</v>
      </c>
      <c r="AA36" s="1538">
        <f t="shared" si="3"/>
        <v>1</v>
      </c>
      <c r="AB36" s="1538">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46"/>
      <c r="Q37" s="1537" t="str">
        <f t="shared" si="11"/>
        <v>成新度</v>
      </c>
      <c r="R37" s="714" t="s">
        <v>17</v>
      </c>
      <c r="S37" s="715" t="e">
        <f t="shared" si="12"/>
        <v>#N/A</v>
      </c>
      <c r="T37" s="714" t="s">
        <v>17</v>
      </c>
      <c r="U37" s="715" t="e">
        <f t="shared" si="13"/>
        <v>#N/A</v>
      </c>
      <c r="V37" s="714" t="s">
        <v>17</v>
      </c>
      <c r="W37" s="715" t="e">
        <f t="shared" si="14"/>
        <v>#N/A</v>
      </c>
      <c r="X37" s="1540"/>
      <c r="Y37" s="3280"/>
      <c r="Z37" s="1541" t="str">
        <f t="shared" si="15"/>
        <v>成新度</v>
      </c>
      <c r="AA37" s="1538" t="e">
        <f t="shared" si="3"/>
        <v>#N/A</v>
      </c>
      <c r="AB37" s="1538"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46"/>
      <c r="Q38" s="1528" t="str">
        <f t="shared" si="11"/>
        <v>写字楼等级</v>
      </c>
      <c r="R38" s="710" t="s">
        <v>17</v>
      </c>
      <c r="S38" s="711">
        <f t="shared" si="12"/>
        <v>100</v>
      </c>
      <c r="T38" s="710" t="s">
        <v>17</v>
      </c>
      <c r="U38" s="711">
        <f t="shared" si="13"/>
        <v>100</v>
      </c>
      <c r="V38" s="710" t="s">
        <v>17</v>
      </c>
      <c r="W38" s="711">
        <f t="shared" si="14"/>
        <v>100</v>
      </c>
      <c r="X38" s="712"/>
      <c r="Y38" s="3280"/>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46" t="s">
        <v>2386</v>
      </c>
      <c r="Q39" s="1537" t="str">
        <f t="shared" si="11"/>
        <v>物业管理</v>
      </c>
      <c r="R39" s="714" t="s">
        <v>17</v>
      </c>
      <c r="S39" s="715">
        <f t="shared" si="12"/>
        <v>100</v>
      </c>
      <c r="T39" s="714" t="s">
        <v>17</v>
      </c>
      <c r="U39" s="715">
        <f t="shared" si="13"/>
        <v>100</v>
      </c>
      <c r="V39" s="714" t="s">
        <v>17</v>
      </c>
      <c r="W39" s="715">
        <f t="shared" si="14"/>
        <v>100</v>
      </c>
      <c r="X39" s="1540"/>
      <c r="Y39" s="3280" t="s">
        <v>2386</v>
      </c>
      <c r="Z39" s="1541" t="str">
        <f t="shared" si="15"/>
        <v>物业管理</v>
      </c>
      <c r="AA39" s="1538">
        <f t="shared" si="3"/>
        <v>1</v>
      </c>
      <c r="AB39" s="1538">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46"/>
      <c r="Q40" s="1537" t="str">
        <f t="shared" si="11"/>
        <v>市政基础设施</v>
      </c>
      <c r="R40" s="714" t="s">
        <v>17</v>
      </c>
      <c r="S40" s="715">
        <f t="shared" si="12"/>
        <v>100</v>
      </c>
      <c r="T40" s="714" t="s">
        <v>17</v>
      </c>
      <c r="U40" s="715">
        <f t="shared" si="13"/>
        <v>100</v>
      </c>
      <c r="V40" s="714" t="s">
        <v>17</v>
      </c>
      <c r="W40" s="715">
        <f t="shared" si="14"/>
        <v>100</v>
      </c>
      <c r="X40" s="1540"/>
      <c r="Y40" s="3280"/>
      <c r="Z40" s="1541" t="str">
        <f t="shared" si="15"/>
        <v>市政基础设施</v>
      </c>
      <c r="AA40" s="1538">
        <f t="shared" si="3"/>
        <v>1</v>
      </c>
      <c r="AB40" s="1538">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46"/>
      <c r="Q41" s="1537" t="str">
        <f t="shared" si="11"/>
        <v>层高</v>
      </c>
      <c r="R41" s="714" t="s">
        <v>17</v>
      </c>
      <c r="S41" s="715">
        <f t="shared" si="12"/>
        <v>100</v>
      </c>
      <c r="T41" s="714" t="s">
        <v>17</v>
      </c>
      <c r="U41" s="715">
        <f t="shared" si="13"/>
        <v>100</v>
      </c>
      <c r="V41" s="714" t="s">
        <v>17</v>
      </c>
      <c r="W41" s="715">
        <f t="shared" si="14"/>
        <v>100</v>
      </c>
      <c r="X41" s="1540"/>
      <c r="Y41" s="3280"/>
      <c r="Z41" s="1541" t="str">
        <f t="shared" si="15"/>
        <v>层高</v>
      </c>
      <c r="AA41" s="1538">
        <f t="shared" si="3"/>
        <v>1</v>
      </c>
      <c r="AB41" s="1538">
        <f t="shared" si="4"/>
        <v>1</v>
      </c>
      <c r="AC41" s="2148">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46"/>
      <c r="Q42" s="716" t="str">
        <f t="shared" si="11"/>
        <v>单套建筑面积</v>
      </c>
      <c r="R42" s="717" t="s">
        <v>17</v>
      </c>
      <c r="S42" s="718">
        <f t="shared" si="12"/>
        <v>100</v>
      </c>
      <c r="T42" s="717" t="s">
        <v>17</v>
      </c>
      <c r="U42" s="718">
        <f t="shared" si="13"/>
        <v>100</v>
      </c>
      <c r="V42" s="717" t="s">
        <v>17</v>
      </c>
      <c r="W42" s="718">
        <f t="shared" si="14"/>
        <v>100</v>
      </c>
      <c r="X42" s="719"/>
      <c r="Y42" s="3280"/>
      <c r="Z42" s="720" t="str">
        <f t="shared" si="15"/>
        <v>单套建筑面积</v>
      </c>
      <c r="AA42" s="1538">
        <f t="shared" si="3"/>
        <v>1</v>
      </c>
      <c r="AB42" s="1538">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46"/>
      <c r="Q43" s="1537" t="str">
        <f t="shared" si="11"/>
        <v>内部装修</v>
      </c>
      <c r="R43" s="714" t="s">
        <v>17</v>
      </c>
      <c r="S43" s="715">
        <f t="shared" si="12"/>
        <v>100</v>
      </c>
      <c r="T43" s="714" t="s">
        <v>17</v>
      </c>
      <c r="U43" s="715">
        <f t="shared" si="13"/>
        <v>100</v>
      </c>
      <c r="V43" s="714" t="s">
        <v>17</v>
      </c>
      <c r="W43" s="715">
        <f t="shared" si="14"/>
        <v>100</v>
      </c>
      <c r="X43" s="1540"/>
      <c r="Y43" s="3280"/>
      <c r="Z43" s="1541" t="str">
        <f t="shared" si="15"/>
        <v>内部装修</v>
      </c>
      <c r="AA43" s="1538">
        <f t="shared" si="3"/>
        <v>1</v>
      </c>
      <c r="AB43" s="1538">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46"/>
      <c r="Q44" s="1537" t="str">
        <f t="shared" si="11"/>
        <v>内部装修维护情况</v>
      </c>
      <c r="R44" s="714" t="s">
        <v>17</v>
      </c>
      <c r="S44" s="715">
        <f t="shared" si="12"/>
        <v>100</v>
      </c>
      <c r="T44" s="714" t="s">
        <v>17</v>
      </c>
      <c r="U44" s="715">
        <f t="shared" si="13"/>
        <v>100</v>
      </c>
      <c r="V44" s="714" t="s">
        <v>17</v>
      </c>
      <c r="W44" s="715">
        <f t="shared" si="14"/>
        <v>100</v>
      </c>
      <c r="X44" s="1540"/>
      <c r="Y44" s="3280"/>
      <c r="Z44" s="1541" t="str">
        <f t="shared" si="15"/>
        <v>内部装修维护情况</v>
      </c>
      <c r="AA44" s="1538">
        <f t="shared" si="3"/>
        <v>1</v>
      </c>
      <c r="AB44" s="1538">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46"/>
      <c r="Q45" s="1528">
        <f t="shared" si="11"/>
        <v>111</v>
      </c>
      <c r="R45" s="710" t="s">
        <v>17</v>
      </c>
      <c r="S45" s="711">
        <f t="shared" si="12"/>
        <v>100</v>
      </c>
      <c r="T45" s="710" t="s">
        <v>17</v>
      </c>
      <c r="U45" s="711">
        <f t="shared" si="13"/>
        <v>100</v>
      </c>
      <c r="V45" s="710" t="s">
        <v>17</v>
      </c>
      <c r="W45" s="711">
        <f t="shared" si="14"/>
        <v>100</v>
      </c>
      <c r="X45" s="712"/>
      <c r="Y45" s="3280"/>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46"/>
      <c r="Q46" s="1537">
        <f t="shared" si="11"/>
        <v>111</v>
      </c>
      <c r="R46" s="714" t="s">
        <v>17</v>
      </c>
      <c r="S46" s="715">
        <f t="shared" si="12"/>
        <v>100</v>
      </c>
      <c r="T46" s="714" t="s">
        <v>17</v>
      </c>
      <c r="U46" s="715">
        <f t="shared" si="13"/>
        <v>100</v>
      </c>
      <c r="V46" s="714" t="s">
        <v>17</v>
      </c>
      <c r="W46" s="715">
        <f t="shared" si="14"/>
        <v>100</v>
      </c>
      <c r="X46" s="1540"/>
      <c r="Y46" s="3280"/>
      <c r="Z46" s="1541">
        <f t="shared" si="15"/>
        <v>111</v>
      </c>
      <c r="AA46" s="1538">
        <f t="shared" si="3"/>
        <v>1</v>
      </c>
      <c r="AB46" s="1538">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47"/>
      <c r="Q47" s="1537">
        <f t="shared" si="11"/>
        <v>111</v>
      </c>
      <c r="R47" s="714" t="s">
        <v>17</v>
      </c>
      <c r="S47" s="715">
        <f t="shared" si="12"/>
        <v>100</v>
      </c>
      <c r="T47" s="714" t="s">
        <v>17</v>
      </c>
      <c r="U47" s="715">
        <f t="shared" si="13"/>
        <v>100</v>
      </c>
      <c r="V47" s="714" t="s">
        <v>17</v>
      </c>
      <c r="W47" s="715">
        <f t="shared" si="14"/>
        <v>100</v>
      </c>
      <c r="X47" s="1540"/>
      <c r="Y47" s="3348"/>
      <c r="Z47" s="1541">
        <f t="shared" si="15"/>
        <v>111</v>
      </c>
      <c r="AA47" s="1538">
        <f t="shared" si="3"/>
        <v>1</v>
      </c>
      <c r="AB47" s="1538">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274" t="str">
        <f>A48</f>
        <v>成交单价（元/平方米）</v>
      </c>
      <c r="Q48" s="3275"/>
      <c r="R48" s="3344">
        <f>E48</f>
        <v>0</v>
      </c>
      <c r="S48" s="3344"/>
      <c r="T48" s="3344">
        <f>G48</f>
        <v>0</v>
      </c>
      <c r="U48" s="3344"/>
      <c r="V48" s="3344">
        <f>I48</f>
        <v>0</v>
      </c>
      <c r="W48" s="3344"/>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3"/>
      <c r="M49" s="2945"/>
      <c r="N49" s="2945"/>
      <c r="O49" s="2945"/>
      <c r="P49" s="3274" t="str">
        <f>A49</f>
        <v>比较价值（元/平方米）</v>
      </c>
      <c r="Q49" s="3275"/>
      <c r="R49" s="3344" t="e">
        <f>IF(F1="售价",ROUND(PRODUCT(R48,AA7:AA47),0),ROUND(PRODUCT(R48,AA7:AA47),1))</f>
        <v>#DIV/0!</v>
      </c>
      <c r="S49" s="3344"/>
      <c r="T49" s="3344" t="e">
        <f>IF(F1="售价",ROUND(PRODUCT(T48,AB7:AB47),0),ROUND(PRODUCT(T48,AB7:AB47),1))</f>
        <v>#DIV/0!</v>
      </c>
      <c r="U49" s="3344"/>
      <c r="V49" s="3344" t="e">
        <f>IF(F1="售价",ROUND(PRODUCT(V48,AC7:AC47),0),ROUND(PRODUCT(V48,AC7:AC47),1))</f>
        <v>#DIV/0!</v>
      </c>
      <c r="W49" s="3344"/>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51" t="str">
        <f>A50</f>
        <v>估价对象XX用房的比较价值（楼面单价，元/平方米）</v>
      </c>
      <c r="Q50" s="3352"/>
      <c r="R50" s="3353" t="e">
        <f>IF(F1="售价",ROUND(IF(D49="简单平均",AVERAGE(R49:V49),R49*F49+T49*H49+V49*J49),0),ROUND(IF(D49="简单平均",AVERAGE(R49:V49),R49*F49+T49*H49+V49*J49),1))</f>
        <v>#DIV/0!</v>
      </c>
      <c r="S50" s="3353"/>
      <c r="T50" s="3353"/>
      <c r="U50" s="3353"/>
      <c r="V50" s="3353"/>
      <c r="W50" s="3353"/>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21976.32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72" t="s">
        <v>2467</v>
      </c>
      <c r="D4" s="3285"/>
      <c r="E4" s="3286" t="s">
        <v>2468</v>
      </c>
      <c r="F4" s="3287"/>
      <c r="G4" s="3272" t="s">
        <v>2469</v>
      </c>
      <c r="H4" s="3285"/>
      <c r="I4" s="3272" t="s">
        <v>2470</v>
      </c>
      <c r="J4" s="3285"/>
      <c r="K4" s="567" t="s">
        <v>2471</v>
      </c>
      <c r="L4" s="1044"/>
      <c r="M4" s="1045"/>
      <c r="N4" s="1045"/>
      <c r="O4" s="1045"/>
      <c r="P4" s="3288" t="s">
        <v>2472</v>
      </c>
      <c r="Q4" s="3289"/>
      <c r="R4" s="3294" t="s">
        <v>2468</v>
      </c>
      <c r="S4" s="3295"/>
      <c r="T4" s="3294" t="s">
        <v>2469</v>
      </c>
      <c r="U4" s="3295"/>
      <c r="V4" s="3281" t="s">
        <v>2470</v>
      </c>
      <c r="W4" s="3281"/>
      <c r="X4" s="1540"/>
      <c r="Y4" s="3294" t="s">
        <v>2472</v>
      </c>
      <c r="Z4" s="3295"/>
      <c r="AA4" s="3282" t="s">
        <v>2468</v>
      </c>
      <c r="AB4" s="3283" t="s">
        <v>2469</v>
      </c>
      <c r="AC4" s="3282" t="s">
        <v>2470</v>
      </c>
    </row>
    <row r="5" spans="1:29" ht="15">
      <c r="A5" s="364"/>
      <c r="B5" s="365"/>
      <c r="C5" s="3302" t="s">
        <v>2363</v>
      </c>
      <c r="D5" s="3303"/>
      <c r="E5" s="3309" t="s">
        <v>2364</v>
      </c>
      <c r="F5" s="3310"/>
      <c r="G5" s="3302" t="s">
        <v>2365</v>
      </c>
      <c r="H5" s="3303"/>
      <c r="I5" s="3302" t="s">
        <v>2366</v>
      </c>
      <c r="J5" s="3303"/>
      <c r="K5" s="567"/>
      <c r="L5" s="1044"/>
      <c r="M5" s="1045"/>
      <c r="N5" s="1045"/>
      <c r="O5" s="1045"/>
      <c r="P5" s="3290"/>
      <c r="Q5" s="3291"/>
      <c r="R5" s="3296"/>
      <c r="S5" s="3297"/>
      <c r="T5" s="3296"/>
      <c r="U5" s="3297"/>
      <c r="V5" s="3281"/>
      <c r="W5" s="3281"/>
      <c r="X5" s="1540"/>
      <c r="Y5" s="3296"/>
      <c r="Z5" s="3297"/>
      <c r="AA5" s="3283"/>
      <c r="AB5" s="3283"/>
      <c r="AC5" s="3283"/>
    </row>
    <row r="6" spans="1:29" ht="15.75" thickBot="1">
      <c r="A6" s="366"/>
      <c r="B6" s="367"/>
      <c r="C6" s="3300" t="s">
        <v>2367</v>
      </c>
      <c r="D6" s="3301"/>
      <c r="E6" s="3307" t="s">
        <v>2367</v>
      </c>
      <c r="F6" s="3308"/>
      <c r="G6" s="3300" t="s">
        <v>2367</v>
      </c>
      <c r="H6" s="3301"/>
      <c r="I6" s="3300" t="s">
        <v>2367</v>
      </c>
      <c r="J6" s="3301"/>
      <c r="K6" s="567" t="s">
        <v>2368</v>
      </c>
      <c r="L6" s="1044"/>
      <c r="M6" s="1045"/>
      <c r="N6" s="1045"/>
      <c r="O6" s="1045"/>
      <c r="P6" s="3292"/>
      <c r="Q6" s="3293"/>
      <c r="R6" s="3296"/>
      <c r="S6" s="3297"/>
      <c r="T6" s="3298"/>
      <c r="U6" s="3299"/>
      <c r="V6" s="3281"/>
      <c r="W6" s="3281"/>
      <c r="X6" s="1540"/>
      <c r="Y6" s="3298"/>
      <c r="Z6" s="3299"/>
      <c r="AA6" s="3284"/>
      <c r="AB6" s="3284"/>
      <c r="AC6" s="3284"/>
    </row>
    <row r="7" spans="1:29" s="113" customFormat="1" ht="15.75" thickBot="1">
      <c r="A7" s="368" t="s">
        <v>2369</v>
      </c>
      <c r="B7" s="369"/>
      <c r="C7" s="370">
        <f>'数据-取费表'!B2</f>
        <v>44294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4" t="s">
        <v>2370</v>
      </c>
      <c r="Q7" s="3306"/>
      <c r="R7" s="710" t="s">
        <v>17</v>
      </c>
      <c r="S7" s="711">
        <f t="shared" ref="S7:S15" si="0">F7</f>
        <v>0</v>
      </c>
      <c r="T7" s="710" t="s">
        <v>17</v>
      </c>
      <c r="U7" s="711">
        <f t="shared" ref="U7:U15" si="1">H7</f>
        <v>0</v>
      </c>
      <c r="V7" s="710" t="s">
        <v>17</v>
      </c>
      <c r="W7" s="711">
        <f t="shared" ref="W7:W15" si="2">J7</f>
        <v>0</v>
      </c>
      <c r="X7" s="712"/>
      <c r="Y7" s="3304" t="s">
        <v>2370</v>
      </c>
      <c r="Z7" s="3305"/>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4" t="s">
        <v>2373</v>
      </c>
      <c r="Q8" s="3305"/>
      <c r="R8" s="710" t="s">
        <v>17</v>
      </c>
      <c r="S8" s="711">
        <f t="shared" si="0"/>
        <v>0</v>
      </c>
      <c r="T8" s="710" t="s">
        <v>17</v>
      </c>
      <c r="U8" s="711">
        <f t="shared" si="1"/>
        <v>0</v>
      </c>
      <c r="V8" s="710" t="s">
        <v>17</v>
      </c>
      <c r="W8" s="711">
        <f t="shared" si="2"/>
        <v>0</v>
      </c>
      <c r="X8" s="712"/>
      <c r="Y8" s="3304" t="s">
        <v>2373</v>
      </c>
      <c r="Z8" s="3305"/>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5" t="s">
        <v>2376</v>
      </c>
      <c r="Q9" s="1528" t="str">
        <f t="shared" ref="Q9:Q15" si="6">B9</f>
        <v>用途</v>
      </c>
      <c r="R9" s="710" t="s">
        <v>17</v>
      </c>
      <c r="S9" s="711">
        <f t="shared" si="0"/>
        <v>100</v>
      </c>
      <c r="T9" s="710" t="s">
        <v>17</v>
      </c>
      <c r="U9" s="711">
        <f t="shared" si="1"/>
        <v>100</v>
      </c>
      <c r="V9" s="710" t="s">
        <v>17</v>
      </c>
      <c r="W9" s="711">
        <f t="shared" si="2"/>
        <v>100</v>
      </c>
      <c r="X9" s="712"/>
      <c r="Y9" s="316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5"/>
      <c r="Q10" s="1528" t="str">
        <f t="shared" si="6"/>
        <v>土地使用年限（年）</v>
      </c>
      <c r="R10" s="710" t="s">
        <v>17</v>
      </c>
      <c r="S10" s="711">
        <f t="shared" si="0"/>
        <v>100</v>
      </c>
      <c r="T10" s="710" t="s">
        <v>17</v>
      </c>
      <c r="U10" s="711">
        <f t="shared" si="1"/>
        <v>100</v>
      </c>
      <c r="V10" s="710" t="s">
        <v>17</v>
      </c>
      <c r="W10" s="711">
        <f t="shared" si="2"/>
        <v>100</v>
      </c>
      <c r="X10" s="712"/>
      <c r="Y10" s="316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5"/>
      <c r="Q11" s="1528" t="str">
        <f t="shared" si="6"/>
        <v>容积率</v>
      </c>
      <c r="R11" s="710" t="s">
        <v>17</v>
      </c>
      <c r="S11" s="711" t="e">
        <f t="shared" si="0"/>
        <v>#N/A</v>
      </c>
      <c r="T11" s="710" t="s">
        <v>17</v>
      </c>
      <c r="U11" s="711" t="e">
        <f t="shared" si="1"/>
        <v>#N/A</v>
      </c>
      <c r="V11" s="710" t="s">
        <v>17</v>
      </c>
      <c r="W11" s="711" t="e">
        <f t="shared" si="2"/>
        <v>#N/A</v>
      </c>
      <c r="X11" s="712"/>
      <c r="Y11" s="316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75"/>
      <c r="Q12" s="1528">
        <f t="shared" si="6"/>
        <v>111</v>
      </c>
      <c r="R12" s="710" t="s">
        <v>17</v>
      </c>
      <c r="S12" s="711">
        <f t="shared" si="0"/>
        <v>100</v>
      </c>
      <c r="T12" s="710" t="s">
        <v>17</v>
      </c>
      <c r="U12" s="711">
        <f t="shared" si="1"/>
        <v>100</v>
      </c>
      <c r="V12" s="710" t="s">
        <v>17</v>
      </c>
      <c r="W12" s="711">
        <f t="shared" si="2"/>
        <v>100</v>
      </c>
      <c r="X12" s="712"/>
      <c r="Y12" s="316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75"/>
      <c r="Q13" s="1528">
        <f t="shared" si="6"/>
        <v>111</v>
      </c>
      <c r="R13" s="710" t="s">
        <v>17</v>
      </c>
      <c r="S13" s="711">
        <f t="shared" si="0"/>
        <v>100</v>
      </c>
      <c r="T13" s="710" t="s">
        <v>17</v>
      </c>
      <c r="U13" s="711">
        <f t="shared" si="1"/>
        <v>100</v>
      </c>
      <c r="V13" s="710" t="s">
        <v>17</v>
      </c>
      <c r="W13" s="711">
        <f t="shared" si="2"/>
        <v>100</v>
      </c>
      <c r="X13" s="712"/>
      <c r="Y13" s="316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75"/>
      <c r="Q14" s="1528">
        <f t="shared" si="6"/>
        <v>111</v>
      </c>
      <c r="R14" s="710" t="s">
        <v>17</v>
      </c>
      <c r="S14" s="711">
        <f t="shared" si="0"/>
        <v>100</v>
      </c>
      <c r="T14" s="710" t="s">
        <v>17</v>
      </c>
      <c r="U14" s="711">
        <f t="shared" si="1"/>
        <v>100</v>
      </c>
      <c r="V14" s="710" t="s">
        <v>17</v>
      </c>
      <c r="W14" s="711">
        <f t="shared" si="2"/>
        <v>100</v>
      </c>
      <c r="X14" s="712"/>
      <c r="Y14" s="3169"/>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7" t="s">
        <v>2381</v>
      </c>
      <c r="Q15" s="1537" t="str">
        <f t="shared" si="6"/>
        <v>产业集聚程度</v>
      </c>
      <c r="R15" s="714" t="s">
        <v>17</v>
      </c>
      <c r="S15" s="715">
        <f t="shared" si="0"/>
        <v>100</v>
      </c>
      <c r="T15" s="714" t="s">
        <v>17</v>
      </c>
      <c r="U15" s="715">
        <f t="shared" si="1"/>
        <v>100</v>
      </c>
      <c r="V15" s="714" t="s">
        <v>17</v>
      </c>
      <c r="W15" s="715">
        <f t="shared" si="2"/>
        <v>100</v>
      </c>
      <c r="X15" s="1540"/>
      <c r="Y15" s="3277"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78"/>
      <c r="Q16" s="1537"/>
      <c r="R16" s="714"/>
      <c r="S16" s="715"/>
      <c r="T16" s="714"/>
      <c r="U16" s="715"/>
      <c r="V16" s="714"/>
      <c r="W16" s="715"/>
      <c r="X16" s="1540"/>
      <c r="Y16" s="3278"/>
      <c r="Z16" s="1541"/>
      <c r="AA16" s="1538">
        <v>1</v>
      </c>
      <c r="AB16" s="1538">
        <v>1</v>
      </c>
      <c r="AC16" s="1538">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8"/>
      <c r="Q17" s="1537" t="str">
        <f>B17</f>
        <v>交通便捷度</v>
      </c>
      <c r="R17" s="714" t="s">
        <v>17</v>
      </c>
      <c r="S17" s="715">
        <f>F17</f>
        <v>100</v>
      </c>
      <c r="T17" s="714" t="s">
        <v>17</v>
      </c>
      <c r="U17" s="715">
        <f>H17</f>
        <v>100</v>
      </c>
      <c r="V17" s="714" t="s">
        <v>17</v>
      </c>
      <c r="W17" s="715">
        <f>J17</f>
        <v>100</v>
      </c>
      <c r="X17" s="1540"/>
      <c r="Y17" s="3278"/>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278"/>
      <c r="Q18" s="1537"/>
      <c r="R18" s="714"/>
      <c r="S18" s="715"/>
      <c r="T18" s="714"/>
      <c r="U18" s="715"/>
      <c r="V18" s="714"/>
      <c r="W18" s="715"/>
      <c r="X18" s="1540"/>
      <c r="Y18" s="3278"/>
      <c r="Z18" s="1541"/>
      <c r="AA18" s="1538">
        <v>1</v>
      </c>
      <c r="AB18" s="1538">
        <v>1</v>
      </c>
      <c r="AC18" s="1538">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8"/>
      <c r="Q19" s="1537" t="str">
        <f>B19</f>
        <v>公共配套设施</v>
      </c>
      <c r="R19" s="714" t="s">
        <v>17</v>
      </c>
      <c r="S19" s="715">
        <f>F19</f>
        <v>100</v>
      </c>
      <c r="T19" s="714" t="s">
        <v>17</v>
      </c>
      <c r="U19" s="715">
        <f>H19</f>
        <v>100</v>
      </c>
      <c r="V19" s="714" t="s">
        <v>17</v>
      </c>
      <c r="W19" s="715">
        <f>J19</f>
        <v>100</v>
      </c>
      <c r="X19" s="1540"/>
      <c r="Y19" s="3278"/>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278"/>
      <c r="Q20" s="1537"/>
      <c r="R20" s="714"/>
      <c r="S20" s="715"/>
      <c r="T20" s="714"/>
      <c r="U20" s="715"/>
      <c r="V20" s="714"/>
      <c r="W20" s="715"/>
      <c r="X20" s="1540"/>
      <c r="Y20" s="3278"/>
      <c r="Z20" s="1541"/>
      <c r="AA20" s="1538">
        <v>1</v>
      </c>
      <c r="AB20" s="1538">
        <v>1</v>
      </c>
      <c r="AC20" s="1538">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8"/>
      <c r="Q21" s="1537" t="str">
        <f>B21</f>
        <v>基础设施水平</v>
      </c>
      <c r="R21" s="714" t="s">
        <v>17</v>
      </c>
      <c r="S21" s="715">
        <f>F21</f>
        <v>100</v>
      </c>
      <c r="T21" s="714" t="s">
        <v>17</v>
      </c>
      <c r="U21" s="715">
        <f>H21</f>
        <v>100</v>
      </c>
      <c r="V21" s="714" t="s">
        <v>17</v>
      </c>
      <c r="W21" s="715">
        <f>J21</f>
        <v>100</v>
      </c>
      <c r="X21" s="1540"/>
      <c r="Y21" s="3278"/>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278"/>
      <c r="Q22" s="1537"/>
      <c r="R22" s="714"/>
      <c r="S22" s="715"/>
      <c r="T22" s="714"/>
      <c r="U22" s="715"/>
      <c r="V22" s="714"/>
      <c r="W22" s="715"/>
      <c r="X22" s="1540"/>
      <c r="Y22" s="3278"/>
      <c r="Z22" s="1541"/>
      <c r="AA22" s="1538">
        <v>1</v>
      </c>
      <c r="AB22" s="1538">
        <v>1</v>
      </c>
      <c r="AC22" s="1538">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8"/>
      <c r="Q23" s="1537" t="str">
        <f>B23</f>
        <v>环境质量</v>
      </c>
      <c r="R23" s="714" t="s">
        <v>17</v>
      </c>
      <c r="S23" s="715">
        <f>F23</f>
        <v>100</v>
      </c>
      <c r="T23" s="714" t="s">
        <v>17</v>
      </c>
      <c r="U23" s="715">
        <f>H23</f>
        <v>100</v>
      </c>
      <c r="V23" s="714" t="s">
        <v>17</v>
      </c>
      <c r="W23" s="715">
        <f>J23</f>
        <v>100</v>
      </c>
      <c r="X23" s="1540"/>
      <c r="Y23" s="3278"/>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278"/>
      <c r="Q24" s="1537"/>
      <c r="R24" s="714"/>
      <c r="S24" s="715"/>
      <c r="T24" s="714"/>
      <c r="U24" s="715"/>
      <c r="V24" s="714"/>
      <c r="W24" s="715"/>
      <c r="X24" s="1540"/>
      <c r="Y24" s="3278"/>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8"/>
      <c r="Q25" s="1537">
        <f>B25</f>
        <v>111</v>
      </c>
      <c r="R25" s="714" t="s">
        <v>17</v>
      </c>
      <c r="S25" s="715">
        <f>F25</f>
        <v>100</v>
      </c>
      <c r="T25" s="714" t="s">
        <v>17</v>
      </c>
      <c r="U25" s="715">
        <f>H25</f>
        <v>100</v>
      </c>
      <c r="V25" s="714" t="s">
        <v>17</v>
      </c>
      <c r="W25" s="715">
        <f>J25</f>
        <v>100</v>
      </c>
      <c r="X25" s="1540"/>
      <c r="Y25" s="3278"/>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8"/>
      <c r="Q26" s="1537">
        <f t="shared" ref="Q26:Q40" si="11">B26</f>
        <v>111</v>
      </c>
      <c r="R26" s="714" t="s">
        <v>17</v>
      </c>
      <c r="S26" s="715">
        <f>F26</f>
        <v>100</v>
      </c>
      <c r="T26" s="714" t="s">
        <v>17</v>
      </c>
      <c r="U26" s="715">
        <f>H26</f>
        <v>100</v>
      </c>
      <c r="V26" s="714" t="s">
        <v>17</v>
      </c>
      <c r="W26" s="715">
        <f>J26</f>
        <v>100</v>
      </c>
      <c r="X26" s="1540"/>
      <c r="Y26" s="3278"/>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8"/>
      <c r="Q27" s="1528">
        <f t="shared" si="11"/>
        <v>111</v>
      </c>
      <c r="R27" s="710" t="s">
        <v>17</v>
      </c>
      <c r="S27" s="711">
        <f>F27</f>
        <v>100</v>
      </c>
      <c r="T27" s="710" t="s">
        <v>17</v>
      </c>
      <c r="U27" s="711">
        <f>H27</f>
        <v>100</v>
      </c>
      <c r="V27" s="710" t="s">
        <v>17</v>
      </c>
      <c r="W27" s="711">
        <f>J27</f>
        <v>100</v>
      </c>
      <c r="X27" s="712"/>
      <c r="Y27" s="3278"/>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8"/>
      <c r="Q28" s="1537">
        <f t="shared" si="11"/>
        <v>111</v>
      </c>
      <c r="R28" s="714" t="s">
        <v>17</v>
      </c>
      <c r="S28" s="715">
        <f t="shared" ref="S28:S40" si="12">F28</f>
        <v>100</v>
      </c>
      <c r="T28" s="714" t="s">
        <v>17</v>
      </c>
      <c r="U28" s="715">
        <f t="shared" ref="U28:U40" si="13">H28</f>
        <v>100</v>
      </c>
      <c r="V28" s="714" t="s">
        <v>17</v>
      </c>
      <c r="W28" s="715">
        <f t="shared" ref="W28:W40" si="14">J28</f>
        <v>100</v>
      </c>
      <c r="X28" s="1540"/>
      <c r="Y28" s="3278"/>
      <c r="Z28" s="1541">
        <f t="shared" ref="Z28:Z40" si="15">Q28</f>
        <v>111</v>
      </c>
      <c r="AA28" s="1538">
        <f t="shared" si="3"/>
        <v>1</v>
      </c>
      <c r="AB28" s="1538">
        <f t="shared" si="4"/>
        <v>1</v>
      </c>
      <c r="AC28" s="1538">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279" t="s">
        <v>2386</v>
      </c>
      <c r="Q29" s="1537" t="str">
        <f t="shared" si="11"/>
        <v>建筑类型</v>
      </c>
      <c r="R29" s="714" t="s">
        <v>17</v>
      </c>
      <c r="S29" s="715">
        <f t="shared" si="12"/>
        <v>100</v>
      </c>
      <c r="T29" s="714" t="s">
        <v>17</v>
      </c>
      <c r="U29" s="715">
        <f t="shared" si="13"/>
        <v>100</v>
      </c>
      <c r="V29" s="714" t="s">
        <v>17</v>
      </c>
      <c r="W29" s="715">
        <f t="shared" si="14"/>
        <v>100</v>
      </c>
      <c r="X29" s="1540"/>
      <c r="Y29" s="3280"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0"/>
      <c r="Q30" s="716" t="str">
        <f t="shared" si="11"/>
        <v>项目建筑规模</v>
      </c>
      <c r="R30" s="717" t="s">
        <v>17</v>
      </c>
      <c r="S30" s="718" t="e">
        <f t="shared" si="12"/>
        <v>#N/A</v>
      </c>
      <c r="T30" s="717" t="s">
        <v>17</v>
      </c>
      <c r="U30" s="718" t="e">
        <f t="shared" si="13"/>
        <v>#N/A</v>
      </c>
      <c r="V30" s="717" t="s">
        <v>17</v>
      </c>
      <c r="W30" s="718" t="e">
        <f t="shared" si="14"/>
        <v>#N/A</v>
      </c>
      <c r="X30" s="719"/>
      <c r="Y30" s="3280"/>
      <c r="Z30" s="720"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0"/>
      <c r="Q31" s="1537" t="str">
        <f t="shared" si="11"/>
        <v>建筑结构</v>
      </c>
      <c r="R31" s="714" t="s">
        <v>17</v>
      </c>
      <c r="S31" s="715">
        <f t="shared" si="12"/>
        <v>100</v>
      </c>
      <c r="T31" s="714" t="s">
        <v>17</v>
      </c>
      <c r="U31" s="715">
        <f t="shared" si="13"/>
        <v>100</v>
      </c>
      <c r="V31" s="714" t="s">
        <v>17</v>
      </c>
      <c r="W31" s="715">
        <f t="shared" si="14"/>
        <v>100</v>
      </c>
      <c r="X31" s="1540"/>
      <c r="Y31" s="3280"/>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0"/>
      <c r="Q32" s="1537" t="str">
        <f t="shared" si="11"/>
        <v>公共部分装修</v>
      </c>
      <c r="R32" s="714" t="s">
        <v>17</v>
      </c>
      <c r="S32" s="715">
        <f t="shared" si="12"/>
        <v>100</v>
      </c>
      <c r="T32" s="714" t="s">
        <v>17</v>
      </c>
      <c r="U32" s="715">
        <f t="shared" si="13"/>
        <v>100</v>
      </c>
      <c r="V32" s="714" t="s">
        <v>17</v>
      </c>
      <c r="W32" s="715">
        <f t="shared" si="14"/>
        <v>100</v>
      </c>
      <c r="X32" s="1540"/>
      <c r="Y32" s="3280"/>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0"/>
      <c r="Q33" s="1537" t="str">
        <f t="shared" si="11"/>
        <v>成新度</v>
      </c>
      <c r="R33" s="714" t="s">
        <v>17</v>
      </c>
      <c r="S33" s="715" t="e">
        <f t="shared" si="12"/>
        <v>#N/A</v>
      </c>
      <c r="T33" s="714" t="s">
        <v>17</v>
      </c>
      <c r="U33" s="715" t="e">
        <f t="shared" si="13"/>
        <v>#N/A</v>
      </c>
      <c r="V33" s="714" t="s">
        <v>17</v>
      </c>
      <c r="W33" s="715" t="e">
        <f t="shared" si="14"/>
        <v>#N/A</v>
      </c>
      <c r="X33" s="1540"/>
      <c r="Y33" s="3280"/>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0"/>
      <c r="Q34" s="1528" t="str">
        <f t="shared" si="11"/>
        <v>物业管理</v>
      </c>
      <c r="R34" s="710" t="s">
        <v>17</v>
      </c>
      <c r="S34" s="711">
        <f t="shared" si="12"/>
        <v>100</v>
      </c>
      <c r="T34" s="710" t="s">
        <v>17</v>
      </c>
      <c r="U34" s="711">
        <f t="shared" si="13"/>
        <v>100</v>
      </c>
      <c r="V34" s="710" t="s">
        <v>17</v>
      </c>
      <c r="W34" s="711">
        <f t="shared" si="14"/>
        <v>100</v>
      </c>
      <c r="X34" s="712"/>
      <c r="Y34" s="328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0" t="s">
        <v>2386</v>
      </c>
      <c r="Q35" s="1537" t="str">
        <f t="shared" si="11"/>
        <v>市政基础设施</v>
      </c>
      <c r="R35" s="714" t="s">
        <v>17</v>
      </c>
      <c r="S35" s="715">
        <f t="shared" si="12"/>
        <v>100</v>
      </c>
      <c r="T35" s="714" t="s">
        <v>17</v>
      </c>
      <c r="U35" s="715">
        <f t="shared" si="13"/>
        <v>100</v>
      </c>
      <c r="V35" s="714" t="s">
        <v>17</v>
      </c>
      <c r="W35" s="715">
        <f t="shared" si="14"/>
        <v>100</v>
      </c>
      <c r="X35" s="1540"/>
      <c r="Y35" s="3280"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0"/>
      <c r="Q36" s="1537" t="str">
        <f t="shared" si="11"/>
        <v>内部装修</v>
      </c>
      <c r="R36" s="714" t="s">
        <v>17</v>
      </c>
      <c r="S36" s="715">
        <f t="shared" si="12"/>
        <v>100</v>
      </c>
      <c r="T36" s="714" t="s">
        <v>17</v>
      </c>
      <c r="U36" s="715">
        <f t="shared" si="13"/>
        <v>100</v>
      </c>
      <c r="V36" s="714" t="s">
        <v>17</v>
      </c>
      <c r="W36" s="715">
        <f t="shared" si="14"/>
        <v>100</v>
      </c>
      <c r="X36" s="1540"/>
      <c r="Y36" s="3280"/>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0"/>
      <c r="Q37" s="1537" t="str">
        <f t="shared" si="11"/>
        <v>内部装修状况</v>
      </c>
      <c r="R37" s="714" t="s">
        <v>17</v>
      </c>
      <c r="S37" s="715">
        <f t="shared" si="12"/>
        <v>100</v>
      </c>
      <c r="T37" s="714" t="s">
        <v>17</v>
      </c>
      <c r="U37" s="715">
        <f t="shared" si="13"/>
        <v>100</v>
      </c>
      <c r="V37" s="714" t="s">
        <v>17</v>
      </c>
      <c r="W37" s="715">
        <f t="shared" si="14"/>
        <v>100</v>
      </c>
      <c r="X37" s="1540"/>
      <c r="Y37" s="3280"/>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0"/>
      <c r="Q38" s="716">
        <f t="shared" si="11"/>
        <v>111</v>
      </c>
      <c r="R38" s="717" t="s">
        <v>17</v>
      </c>
      <c r="S38" s="718">
        <f t="shared" si="12"/>
        <v>100</v>
      </c>
      <c r="T38" s="717" t="s">
        <v>17</v>
      </c>
      <c r="U38" s="718">
        <f t="shared" si="13"/>
        <v>100</v>
      </c>
      <c r="V38" s="717" t="s">
        <v>17</v>
      </c>
      <c r="W38" s="718">
        <f t="shared" si="14"/>
        <v>100</v>
      </c>
      <c r="X38" s="719"/>
      <c r="Y38" s="3280"/>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0"/>
      <c r="Q39" s="1537">
        <f t="shared" si="11"/>
        <v>111</v>
      </c>
      <c r="R39" s="714" t="s">
        <v>17</v>
      </c>
      <c r="S39" s="715">
        <f t="shared" si="12"/>
        <v>100</v>
      </c>
      <c r="T39" s="714" t="s">
        <v>17</v>
      </c>
      <c r="U39" s="715">
        <f t="shared" si="13"/>
        <v>100</v>
      </c>
      <c r="V39" s="714" t="s">
        <v>17</v>
      </c>
      <c r="W39" s="715">
        <f t="shared" si="14"/>
        <v>100</v>
      </c>
      <c r="X39" s="1540"/>
      <c r="Y39" s="3280"/>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8"/>
      <c r="Q40" s="1537">
        <f t="shared" si="11"/>
        <v>111</v>
      </c>
      <c r="R40" s="714" t="s">
        <v>17</v>
      </c>
      <c r="S40" s="715">
        <f t="shared" si="12"/>
        <v>100</v>
      </c>
      <c r="T40" s="714" t="s">
        <v>17</v>
      </c>
      <c r="U40" s="715">
        <f t="shared" si="13"/>
        <v>100</v>
      </c>
      <c r="V40" s="714" t="s">
        <v>17</v>
      </c>
      <c r="W40" s="715">
        <f t="shared" si="14"/>
        <v>100</v>
      </c>
      <c r="X40" s="1540"/>
      <c r="Y40" s="3348"/>
      <c r="Z40" s="1541">
        <f t="shared" si="15"/>
        <v>111</v>
      </c>
      <c r="AA40" s="1538">
        <f t="shared" si="3"/>
        <v>1</v>
      </c>
      <c r="AB40" s="1538">
        <f t="shared" si="4"/>
        <v>1</v>
      </c>
      <c r="AC40" s="1538">
        <f t="shared" si="5"/>
        <v>1</v>
      </c>
    </row>
    <row r="41" spans="1:29" ht="15">
      <c r="A41" s="438" t="s">
        <v>2398</v>
      </c>
      <c r="B41" s="439"/>
      <c r="C41" s="1316" t="s">
        <v>1</v>
      </c>
      <c r="D41" s="1317"/>
      <c r="E41" s="1318"/>
      <c r="F41" s="1319"/>
      <c r="G41" s="1320"/>
      <c r="H41" s="1321"/>
      <c r="I41" s="1318"/>
      <c r="J41" s="1321"/>
      <c r="K41" s="723"/>
      <c r="L41" s="1057"/>
      <c r="M41" s="1058"/>
      <c r="N41" s="1045"/>
      <c r="O41" s="1058"/>
      <c r="P41" s="3275" t="str">
        <f>A41</f>
        <v>成交单价（元/平方米）</v>
      </c>
      <c r="Q41" s="3275"/>
      <c r="R41" s="3344">
        <f>E41</f>
        <v>0</v>
      </c>
      <c r="S41" s="3344"/>
      <c r="T41" s="3344">
        <f>G41</f>
        <v>0</v>
      </c>
      <c r="U41" s="3344"/>
      <c r="V41" s="3344">
        <f>I41</f>
        <v>0</v>
      </c>
      <c r="W41" s="3344"/>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275" t="str">
        <f>A42</f>
        <v>比较价值（元/平方米）</v>
      </c>
      <c r="Q42" s="3275"/>
      <c r="R42" s="3344" t="e">
        <f>IF(F1="售价",ROUND(PRODUCT(R41,AA7:AA40),0),ROUND(PRODUCT(R41,AA7:AA40),1))</f>
        <v>#DIV/0!</v>
      </c>
      <c r="S42" s="3344"/>
      <c r="T42" s="3344" t="e">
        <f>IF(F1="售价",ROUND(PRODUCT(T41,AB7:AB40),0),ROUND(PRODUCT(T41,AB7:AB40),1))</f>
        <v>#DIV/0!</v>
      </c>
      <c r="U42" s="3344"/>
      <c r="V42" s="3344" t="e">
        <f>IF(F1="售价",ROUND(PRODUCT(V41,AC7:AC40),0),ROUND(PRODUCT(V41,AC7:AC40),1))</f>
        <v>#DIV/0!</v>
      </c>
      <c r="W42" s="3344"/>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69" t="str">
        <f>A43</f>
        <v>估价对象XX用房的比较价值（楼面单价，元/平方米）</v>
      </c>
      <c r="Q43" s="3270"/>
      <c r="R43" s="3343" t="e">
        <f>IF(F1="售价",ROUND(IF(D42="简单平均",AVERAGE(R42:V42),R42*F42+T42*H42+V42*J42),0),ROUND(IF(D42="简单平均",AVERAGE(R42:V42),R42*F42+T42*H42+V42*J42),1))</f>
        <v>#DIV/0!</v>
      </c>
      <c r="S43" s="3343"/>
      <c r="T43" s="3343"/>
      <c r="U43" s="3343"/>
      <c r="V43" s="3343"/>
      <c r="W43" s="3343"/>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72" t="s">
        <v>2467</v>
      </c>
      <c r="D4" s="3285"/>
      <c r="E4" s="3286" t="s">
        <v>2468</v>
      </c>
      <c r="F4" s="3287"/>
      <c r="G4" s="3272" t="s">
        <v>2469</v>
      </c>
      <c r="H4" s="3285"/>
      <c r="I4" s="3272" t="s">
        <v>2470</v>
      </c>
      <c r="J4" s="3285"/>
      <c r="K4" s="567" t="s">
        <v>2471</v>
      </c>
      <c r="L4" s="2944"/>
      <c r="M4" s="2945"/>
      <c r="N4" s="2945"/>
      <c r="O4" s="2945"/>
      <c r="P4" s="3288" t="s">
        <v>2472</v>
      </c>
      <c r="Q4" s="3289"/>
      <c r="R4" s="3294" t="s">
        <v>2468</v>
      </c>
      <c r="S4" s="3295"/>
      <c r="T4" s="3294" t="s">
        <v>2469</v>
      </c>
      <c r="U4" s="3295"/>
      <c r="V4" s="3281" t="s">
        <v>2470</v>
      </c>
      <c r="W4" s="3281"/>
      <c r="X4" s="1540"/>
      <c r="Y4" s="3294" t="s">
        <v>2472</v>
      </c>
      <c r="Z4" s="3295"/>
      <c r="AA4" s="3282" t="s">
        <v>2468</v>
      </c>
      <c r="AB4" s="3283" t="s">
        <v>2469</v>
      </c>
      <c r="AC4" s="3282" t="s">
        <v>2470</v>
      </c>
    </row>
    <row r="5" spans="1:29" ht="15">
      <c r="A5" s="364"/>
      <c r="B5" s="365"/>
      <c r="C5" s="3302" t="s">
        <v>2363</v>
      </c>
      <c r="D5" s="3303"/>
      <c r="E5" s="3309" t="s">
        <v>2364</v>
      </c>
      <c r="F5" s="3310"/>
      <c r="G5" s="3302" t="s">
        <v>2365</v>
      </c>
      <c r="H5" s="3303"/>
      <c r="I5" s="3302" t="s">
        <v>2366</v>
      </c>
      <c r="J5" s="3303"/>
      <c r="K5" s="567"/>
      <c r="L5" s="2944"/>
      <c r="M5" s="2945"/>
      <c r="N5" s="2945"/>
      <c r="O5" s="2945"/>
      <c r="P5" s="3290"/>
      <c r="Q5" s="3291"/>
      <c r="R5" s="3296"/>
      <c r="S5" s="3297"/>
      <c r="T5" s="3296"/>
      <c r="U5" s="3297"/>
      <c r="V5" s="3281"/>
      <c r="W5" s="3281"/>
      <c r="X5" s="1540"/>
      <c r="Y5" s="3296"/>
      <c r="Z5" s="3297"/>
      <c r="AA5" s="3283"/>
      <c r="AB5" s="3283"/>
      <c r="AC5" s="3283"/>
    </row>
    <row r="6" spans="1:29" ht="15.75" thickBot="1">
      <c r="A6" s="366"/>
      <c r="B6" s="367"/>
      <c r="C6" s="3300" t="s">
        <v>2367</v>
      </c>
      <c r="D6" s="3301"/>
      <c r="E6" s="3307" t="s">
        <v>2367</v>
      </c>
      <c r="F6" s="3308"/>
      <c r="G6" s="3300" t="s">
        <v>2367</v>
      </c>
      <c r="H6" s="3301"/>
      <c r="I6" s="3300" t="s">
        <v>2367</v>
      </c>
      <c r="J6" s="3301"/>
      <c r="K6" s="567" t="s">
        <v>2368</v>
      </c>
      <c r="L6" s="2944"/>
      <c r="M6" s="2945"/>
      <c r="N6" s="2945"/>
      <c r="O6" s="2945"/>
      <c r="P6" s="3292"/>
      <c r="Q6" s="3293"/>
      <c r="R6" s="3296"/>
      <c r="S6" s="3297"/>
      <c r="T6" s="3298"/>
      <c r="U6" s="3299"/>
      <c r="V6" s="3281"/>
      <c r="W6" s="3281"/>
      <c r="X6" s="1540"/>
      <c r="Y6" s="3298"/>
      <c r="Z6" s="3299"/>
      <c r="AA6" s="3284"/>
      <c r="AB6" s="3284"/>
      <c r="AC6" s="3284"/>
    </row>
    <row r="7" spans="1:29" s="113" customFormat="1" ht="15.75" thickBot="1">
      <c r="A7" s="368" t="s">
        <v>2369</v>
      </c>
      <c r="B7" s="369"/>
      <c r="C7" s="370">
        <f>'数据-取费表'!B2</f>
        <v>44294</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04" t="s">
        <v>2370</v>
      </c>
      <c r="Q7" s="3306"/>
      <c r="R7" s="710" t="s">
        <v>17</v>
      </c>
      <c r="S7" s="711">
        <f t="shared" ref="S7:S14" si="0">F7</f>
        <v>0</v>
      </c>
      <c r="T7" s="710" t="s">
        <v>17</v>
      </c>
      <c r="U7" s="711">
        <f t="shared" ref="U7:U14" si="1">H7</f>
        <v>0</v>
      </c>
      <c r="V7" s="710" t="s">
        <v>17</v>
      </c>
      <c r="W7" s="711">
        <f t="shared" ref="W7:W14" si="2">J7</f>
        <v>0</v>
      </c>
      <c r="X7" s="712"/>
      <c r="Y7" s="3304" t="s">
        <v>2370</v>
      </c>
      <c r="Z7" s="3305"/>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04" t="s">
        <v>2373</v>
      </c>
      <c r="Q8" s="3305"/>
      <c r="R8" s="710" t="s">
        <v>17</v>
      </c>
      <c r="S8" s="711">
        <f t="shared" si="0"/>
        <v>0</v>
      </c>
      <c r="T8" s="710" t="s">
        <v>17</v>
      </c>
      <c r="U8" s="711">
        <f t="shared" si="1"/>
        <v>0</v>
      </c>
      <c r="V8" s="710" t="s">
        <v>17</v>
      </c>
      <c r="W8" s="711">
        <f t="shared" si="2"/>
        <v>0</v>
      </c>
      <c r="X8" s="712"/>
      <c r="Y8" s="3304" t="s">
        <v>2373</v>
      </c>
      <c r="Z8" s="3305"/>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75" t="s">
        <v>2376</v>
      </c>
      <c r="Q9" s="1528" t="str">
        <f t="shared" ref="Q9:Q14" si="6">B9</f>
        <v>用途</v>
      </c>
      <c r="R9" s="710" t="s">
        <v>17</v>
      </c>
      <c r="S9" s="711">
        <f t="shared" si="0"/>
        <v>100</v>
      </c>
      <c r="T9" s="710" t="s">
        <v>17</v>
      </c>
      <c r="U9" s="711">
        <f t="shared" si="1"/>
        <v>100</v>
      </c>
      <c r="V9" s="710" t="s">
        <v>17</v>
      </c>
      <c r="W9" s="711">
        <f t="shared" si="2"/>
        <v>100</v>
      </c>
      <c r="X9" s="712"/>
      <c r="Y9" s="3169"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75"/>
      <c r="Q10" s="1528" t="str">
        <f t="shared" si="6"/>
        <v>土地使用年限（年）</v>
      </c>
      <c r="R10" s="710" t="s">
        <v>17</v>
      </c>
      <c r="S10" s="711">
        <f t="shared" si="0"/>
        <v>100</v>
      </c>
      <c r="T10" s="710" t="s">
        <v>17</v>
      </c>
      <c r="U10" s="711">
        <f t="shared" si="1"/>
        <v>100</v>
      </c>
      <c r="V10" s="710" t="s">
        <v>17</v>
      </c>
      <c r="W10" s="711">
        <f t="shared" si="2"/>
        <v>100</v>
      </c>
      <c r="X10" s="712"/>
      <c r="Y10" s="316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75"/>
      <c r="Q11" s="1528">
        <f t="shared" si="6"/>
        <v>111</v>
      </c>
      <c r="R11" s="710" t="s">
        <v>17</v>
      </c>
      <c r="S11" s="711">
        <f t="shared" si="0"/>
        <v>100</v>
      </c>
      <c r="T11" s="710" t="s">
        <v>17</v>
      </c>
      <c r="U11" s="711">
        <f t="shared" si="1"/>
        <v>100</v>
      </c>
      <c r="V11" s="710" t="s">
        <v>17</v>
      </c>
      <c r="W11" s="711">
        <f t="shared" si="2"/>
        <v>100</v>
      </c>
      <c r="X11" s="712"/>
      <c r="Y11" s="316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75"/>
      <c r="Q12" s="1528">
        <f t="shared" si="6"/>
        <v>111</v>
      </c>
      <c r="R12" s="710" t="s">
        <v>17</v>
      </c>
      <c r="S12" s="711">
        <f t="shared" si="0"/>
        <v>100</v>
      </c>
      <c r="T12" s="710" t="s">
        <v>17</v>
      </c>
      <c r="U12" s="711">
        <f t="shared" si="1"/>
        <v>100</v>
      </c>
      <c r="V12" s="710" t="s">
        <v>17</v>
      </c>
      <c r="W12" s="711">
        <f t="shared" si="2"/>
        <v>100</v>
      </c>
      <c r="X12" s="712"/>
      <c r="Y12" s="316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75"/>
      <c r="Q13" s="1528">
        <f t="shared" si="6"/>
        <v>111</v>
      </c>
      <c r="R13" s="710" t="s">
        <v>17</v>
      </c>
      <c r="S13" s="711">
        <f t="shared" si="0"/>
        <v>100</v>
      </c>
      <c r="T13" s="710" t="s">
        <v>17</v>
      </c>
      <c r="U13" s="711">
        <f t="shared" si="1"/>
        <v>100</v>
      </c>
      <c r="V13" s="710" t="s">
        <v>17</v>
      </c>
      <c r="W13" s="711">
        <f t="shared" si="2"/>
        <v>100</v>
      </c>
      <c r="X13" s="712"/>
      <c r="Y13" s="3169"/>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277" t="s">
        <v>2381</v>
      </c>
      <c r="Q14" s="1537" t="str">
        <f t="shared" si="6"/>
        <v>交通便捷度</v>
      </c>
      <c r="R14" s="714" t="s">
        <v>17</v>
      </c>
      <c r="S14" s="715">
        <f t="shared" si="0"/>
        <v>100</v>
      </c>
      <c r="T14" s="714" t="s">
        <v>17</v>
      </c>
      <c r="U14" s="715">
        <f t="shared" si="1"/>
        <v>100</v>
      </c>
      <c r="V14" s="714" t="s">
        <v>17</v>
      </c>
      <c r="W14" s="715">
        <f t="shared" si="2"/>
        <v>100</v>
      </c>
      <c r="X14" s="1540"/>
      <c r="Y14" s="3277"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1"/>
      <c r="M15" s="2945"/>
      <c r="N15" s="2945"/>
      <c r="O15" s="2945"/>
      <c r="P15" s="3278"/>
      <c r="Q15" s="1537"/>
      <c r="R15" s="714"/>
      <c r="S15" s="715"/>
      <c r="T15" s="714"/>
      <c r="U15" s="715"/>
      <c r="V15" s="714"/>
      <c r="W15" s="715"/>
      <c r="X15" s="1540"/>
      <c r="Y15" s="3278"/>
      <c r="Z15" s="1541"/>
      <c r="AA15" s="1538">
        <v>1</v>
      </c>
      <c r="AB15" s="1538">
        <v>1</v>
      </c>
      <c r="AC15" s="1538">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278"/>
      <c r="Q16" s="1537" t="str">
        <f>B16</f>
        <v>公共配套设施</v>
      </c>
      <c r="R16" s="714" t="s">
        <v>17</v>
      </c>
      <c r="S16" s="715">
        <f>F16</f>
        <v>100</v>
      </c>
      <c r="T16" s="714" t="s">
        <v>17</v>
      </c>
      <c r="U16" s="715">
        <f>H16</f>
        <v>100</v>
      </c>
      <c r="V16" s="714" t="s">
        <v>17</v>
      </c>
      <c r="W16" s="715">
        <f>J16</f>
        <v>100</v>
      </c>
      <c r="X16" s="1540"/>
      <c r="Y16" s="3278"/>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51"/>
      <c r="M17" s="2945"/>
      <c r="N17" s="2945"/>
      <c r="O17" s="2945"/>
      <c r="P17" s="3278"/>
      <c r="Q17" s="1537"/>
      <c r="R17" s="714"/>
      <c r="S17" s="715"/>
      <c r="T17" s="714"/>
      <c r="U17" s="715"/>
      <c r="V17" s="714"/>
      <c r="W17" s="715"/>
      <c r="X17" s="1540"/>
      <c r="Y17" s="3278"/>
      <c r="Z17" s="1541"/>
      <c r="AA17" s="1538">
        <v>1</v>
      </c>
      <c r="AB17" s="1538">
        <v>1</v>
      </c>
      <c r="AC17" s="1538">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278"/>
      <c r="Q18" s="1537" t="str">
        <f>B18</f>
        <v>基础设施水平</v>
      </c>
      <c r="R18" s="714" t="s">
        <v>17</v>
      </c>
      <c r="S18" s="715">
        <f>F18</f>
        <v>100</v>
      </c>
      <c r="T18" s="714" t="s">
        <v>17</v>
      </c>
      <c r="U18" s="715">
        <f>H18</f>
        <v>100</v>
      </c>
      <c r="V18" s="714" t="s">
        <v>17</v>
      </c>
      <c r="W18" s="715">
        <f>J18</f>
        <v>100</v>
      </c>
      <c r="X18" s="1540"/>
      <c r="Y18" s="3278"/>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51"/>
      <c r="M19" s="2945"/>
      <c r="N19" s="2945"/>
      <c r="O19" s="2945"/>
      <c r="P19" s="3278"/>
      <c r="Q19" s="1537"/>
      <c r="R19" s="714"/>
      <c r="S19" s="715"/>
      <c r="T19" s="714"/>
      <c r="U19" s="715"/>
      <c r="V19" s="714"/>
      <c r="W19" s="715"/>
      <c r="X19" s="1540"/>
      <c r="Y19" s="3278"/>
      <c r="Z19" s="1541"/>
      <c r="AA19" s="1538">
        <v>1</v>
      </c>
      <c r="AB19" s="1538">
        <v>1</v>
      </c>
      <c r="AC19" s="1538">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278"/>
      <c r="Q20" s="1537" t="str">
        <f>B20</f>
        <v>自然及人文环境</v>
      </c>
      <c r="R20" s="714" t="s">
        <v>17</v>
      </c>
      <c r="S20" s="715">
        <f>F20</f>
        <v>100</v>
      </c>
      <c r="T20" s="714" t="s">
        <v>17</v>
      </c>
      <c r="U20" s="715">
        <f>H20</f>
        <v>100</v>
      </c>
      <c r="V20" s="714" t="s">
        <v>17</v>
      </c>
      <c r="W20" s="715">
        <f>J20</f>
        <v>100</v>
      </c>
      <c r="X20" s="1540"/>
      <c r="Y20" s="3278"/>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1"/>
      <c r="M21" s="2945"/>
      <c r="N21" s="2945"/>
      <c r="O21" s="2945"/>
      <c r="P21" s="3278"/>
      <c r="Q21" s="1537"/>
      <c r="R21" s="714"/>
      <c r="S21" s="715"/>
      <c r="T21" s="714"/>
      <c r="U21" s="715"/>
      <c r="V21" s="714"/>
      <c r="W21" s="715"/>
      <c r="X21" s="1540"/>
      <c r="Y21" s="3278"/>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278"/>
      <c r="Q22" s="1537" t="str">
        <f>B22</f>
        <v>楼层</v>
      </c>
      <c r="R22" s="714" t="s">
        <v>17</v>
      </c>
      <c r="S22" s="715">
        <f>F22</f>
        <v>100</v>
      </c>
      <c r="T22" s="714" t="s">
        <v>17</v>
      </c>
      <c r="U22" s="715">
        <f>H22</f>
        <v>100</v>
      </c>
      <c r="V22" s="714" t="s">
        <v>17</v>
      </c>
      <c r="W22" s="715">
        <f>J22</f>
        <v>100</v>
      </c>
      <c r="X22" s="1540"/>
      <c r="Y22" s="3278"/>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278"/>
      <c r="Q23" s="1537">
        <f>B23</f>
        <v>111</v>
      </c>
      <c r="R23" s="714" t="s">
        <v>17</v>
      </c>
      <c r="S23" s="715">
        <f>F23</f>
        <v>100</v>
      </c>
      <c r="T23" s="714" t="s">
        <v>17</v>
      </c>
      <c r="U23" s="715">
        <f>H23</f>
        <v>100</v>
      </c>
      <c r="V23" s="714" t="s">
        <v>17</v>
      </c>
      <c r="W23" s="715">
        <f>J23</f>
        <v>100</v>
      </c>
      <c r="X23" s="1540"/>
      <c r="Y23" s="3278"/>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278"/>
      <c r="Q24" s="1537">
        <f t="shared" ref="Q24:Q36" si="11">B24</f>
        <v>111</v>
      </c>
      <c r="R24" s="714" t="s">
        <v>17</v>
      </c>
      <c r="S24" s="715">
        <f>F24</f>
        <v>100</v>
      </c>
      <c r="T24" s="714" t="s">
        <v>17</v>
      </c>
      <c r="U24" s="715">
        <f>H24</f>
        <v>100</v>
      </c>
      <c r="V24" s="714" t="s">
        <v>17</v>
      </c>
      <c r="W24" s="715">
        <f>J24</f>
        <v>100</v>
      </c>
      <c r="X24" s="1540"/>
      <c r="Y24" s="3278"/>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278"/>
      <c r="Q25" s="1528">
        <f t="shared" si="11"/>
        <v>111</v>
      </c>
      <c r="R25" s="710" t="s">
        <v>17</v>
      </c>
      <c r="S25" s="711">
        <f>F25</f>
        <v>100</v>
      </c>
      <c r="T25" s="710" t="s">
        <v>17</v>
      </c>
      <c r="U25" s="711">
        <f>H25</f>
        <v>100</v>
      </c>
      <c r="V25" s="710" t="s">
        <v>17</v>
      </c>
      <c r="W25" s="711">
        <f>J25</f>
        <v>100</v>
      </c>
      <c r="X25" s="712"/>
      <c r="Y25" s="3278"/>
      <c r="Z25" s="55">
        <f>Q25</f>
        <v>111</v>
      </c>
      <c r="AA25" s="1538">
        <f>D25/F25</f>
        <v>1</v>
      </c>
      <c r="AB25" s="1538">
        <f>D25/H25</f>
        <v>1</v>
      </c>
      <c r="AC25" s="1538">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279"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80"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280"/>
      <c r="Q27" s="716" t="str">
        <f t="shared" si="11"/>
        <v>项目停车位配比</v>
      </c>
      <c r="R27" s="717" t="s">
        <v>17</v>
      </c>
      <c r="S27" s="718">
        <f t="shared" si="12"/>
        <v>100</v>
      </c>
      <c r="T27" s="717" t="s">
        <v>17</v>
      </c>
      <c r="U27" s="718">
        <f t="shared" si="13"/>
        <v>100</v>
      </c>
      <c r="V27" s="717" t="s">
        <v>17</v>
      </c>
      <c r="W27" s="718">
        <f t="shared" si="14"/>
        <v>100</v>
      </c>
      <c r="X27" s="719"/>
      <c r="Y27" s="3280"/>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280"/>
      <c r="Q28" s="1537" t="str">
        <f t="shared" si="11"/>
        <v>公共部分装修</v>
      </c>
      <c r="R28" s="714" t="s">
        <v>17</v>
      </c>
      <c r="S28" s="715">
        <f t="shared" si="12"/>
        <v>100</v>
      </c>
      <c r="T28" s="714" t="s">
        <v>17</v>
      </c>
      <c r="U28" s="715">
        <f t="shared" si="13"/>
        <v>100</v>
      </c>
      <c r="V28" s="714" t="s">
        <v>17</v>
      </c>
      <c r="W28" s="715">
        <f t="shared" si="14"/>
        <v>100</v>
      </c>
      <c r="X28" s="1540"/>
      <c r="Y28" s="3280"/>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280"/>
      <c r="Q29" s="1537" t="str">
        <f t="shared" si="11"/>
        <v>成新率</v>
      </c>
      <c r="R29" s="714" t="s">
        <v>17</v>
      </c>
      <c r="S29" s="715" t="e">
        <f t="shared" si="12"/>
        <v>#N/A</v>
      </c>
      <c r="T29" s="714" t="s">
        <v>17</v>
      </c>
      <c r="U29" s="715" t="e">
        <f t="shared" si="13"/>
        <v>#N/A</v>
      </c>
      <c r="V29" s="714" t="s">
        <v>17</v>
      </c>
      <c r="W29" s="715" t="e">
        <f t="shared" si="14"/>
        <v>#N/A</v>
      </c>
      <c r="X29" s="1540"/>
      <c r="Y29" s="3280"/>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280"/>
      <c r="Q30" s="1537" t="str">
        <f t="shared" si="11"/>
        <v>物业等级</v>
      </c>
      <c r="R30" s="714" t="s">
        <v>17</v>
      </c>
      <c r="S30" s="715">
        <f t="shared" si="12"/>
        <v>100</v>
      </c>
      <c r="T30" s="714" t="s">
        <v>17</v>
      </c>
      <c r="U30" s="715">
        <f t="shared" si="13"/>
        <v>100</v>
      </c>
      <c r="V30" s="714" t="s">
        <v>17</v>
      </c>
      <c r="W30" s="715">
        <f t="shared" si="14"/>
        <v>100</v>
      </c>
      <c r="X30" s="1540"/>
      <c r="Y30" s="3280"/>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280"/>
      <c r="Q31" s="1528" t="str">
        <f t="shared" si="11"/>
        <v>停车位面积</v>
      </c>
      <c r="R31" s="710" t="s">
        <v>17</v>
      </c>
      <c r="S31" s="711" t="e">
        <f t="shared" si="12"/>
        <v>#N/A</v>
      </c>
      <c r="T31" s="710" t="s">
        <v>17</v>
      </c>
      <c r="U31" s="711" t="e">
        <f t="shared" si="13"/>
        <v>#N/A</v>
      </c>
      <c r="V31" s="710" t="s">
        <v>17</v>
      </c>
      <c r="W31" s="711" t="e">
        <f t="shared" si="14"/>
        <v>#N/A</v>
      </c>
      <c r="X31" s="712"/>
      <c r="Y31" s="328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280" t="s">
        <v>2386</v>
      </c>
      <c r="Q32" s="1537" t="str">
        <f t="shared" si="11"/>
        <v>车位类型</v>
      </c>
      <c r="R32" s="714" t="s">
        <v>17</v>
      </c>
      <c r="S32" s="715">
        <f t="shared" si="12"/>
        <v>100</v>
      </c>
      <c r="T32" s="714" t="s">
        <v>17</v>
      </c>
      <c r="U32" s="715">
        <f t="shared" si="13"/>
        <v>100</v>
      </c>
      <c r="V32" s="714" t="s">
        <v>17</v>
      </c>
      <c r="W32" s="715">
        <f t="shared" si="14"/>
        <v>100</v>
      </c>
      <c r="X32" s="1540"/>
      <c r="Y32" s="3280"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280"/>
      <c r="Q33" s="1537" t="str">
        <f t="shared" si="11"/>
        <v>是否直接入户</v>
      </c>
      <c r="R33" s="714" t="s">
        <v>17</v>
      </c>
      <c r="S33" s="715">
        <f t="shared" si="12"/>
        <v>100</v>
      </c>
      <c r="T33" s="714" t="s">
        <v>17</v>
      </c>
      <c r="U33" s="715">
        <f t="shared" si="13"/>
        <v>100</v>
      </c>
      <c r="V33" s="714" t="s">
        <v>17</v>
      </c>
      <c r="W33" s="715">
        <f t="shared" si="14"/>
        <v>100</v>
      </c>
      <c r="X33" s="1540"/>
      <c r="Y33" s="3280"/>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280"/>
      <c r="Q34" s="1537">
        <f t="shared" si="11"/>
        <v>111</v>
      </c>
      <c r="R34" s="714" t="s">
        <v>17</v>
      </c>
      <c r="S34" s="715">
        <f t="shared" si="12"/>
        <v>100</v>
      </c>
      <c r="T34" s="714" t="s">
        <v>17</v>
      </c>
      <c r="U34" s="715">
        <f t="shared" si="13"/>
        <v>100</v>
      </c>
      <c r="V34" s="714" t="s">
        <v>17</v>
      </c>
      <c r="W34" s="715">
        <f t="shared" si="14"/>
        <v>100</v>
      </c>
      <c r="X34" s="1540"/>
      <c r="Y34" s="3280"/>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280"/>
      <c r="Q35" s="716">
        <f t="shared" si="11"/>
        <v>111</v>
      </c>
      <c r="R35" s="717" t="s">
        <v>17</v>
      </c>
      <c r="S35" s="718">
        <f t="shared" si="12"/>
        <v>100</v>
      </c>
      <c r="T35" s="717" t="s">
        <v>17</v>
      </c>
      <c r="U35" s="718">
        <f t="shared" si="13"/>
        <v>100</v>
      </c>
      <c r="V35" s="717" t="s">
        <v>17</v>
      </c>
      <c r="W35" s="718">
        <f t="shared" si="14"/>
        <v>100</v>
      </c>
      <c r="X35" s="719"/>
      <c r="Y35" s="3280"/>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280"/>
      <c r="Q36" s="1537">
        <f t="shared" si="11"/>
        <v>111</v>
      </c>
      <c r="R36" s="714" t="s">
        <v>17</v>
      </c>
      <c r="S36" s="715">
        <f t="shared" si="12"/>
        <v>100</v>
      </c>
      <c r="T36" s="714" t="s">
        <v>17</v>
      </c>
      <c r="U36" s="715">
        <f t="shared" si="13"/>
        <v>100</v>
      </c>
      <c r="V36" s="714" t="s">
        <v>17</v>
      </c>
      <c r="W36" s="715">
        <f t="shared" si="14"/>
        <v>100</v>
      </c>
      <c r="X36" s="1540"/>
      <c r="Y36" s="3280"/>
      <c r="Z36" s="1541">
        <f t="shared" si="15"/>
        <v>111</v>
      </c>
      <c r="AA36" s="1538">
        <f t="shared" si="3"/>
        <v>1</v>
      </c>
      <c r="AB36" s="1538">
        <f t="shared" si="4"/>
        <v>1</v>
      </c>
      <c r="AC36" s="1538">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275" t="str">
        <f>A37</f>
        <v>成交单价</v>
      </c>
      <c r="Q37" s="3275"/>
      <c r="R37" s="3344">
        <f>E37</f>
        <v>0</v>
      </c>
      <c r="S37" s="3344"/>
      <c r="T37" s="3344">
        <f>G37</f>
        <v>0</v>
      </c>
      <c r="U37" s="3344"/>
      <c r="V37" s="3344">
        <f>I37</f>
        <v>0</v>
      </c>
      <c r="W37" s="3344"/>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275" t="str">
        <f>A38</f>
        <v>比较价值（元/平方米）</v>
      </c>
      <c r="Q38" s="3275"/>
      <c r="R38" s="3344" t="e">
        <f>IF(F1="售价",ROUND(PRODUCT(R37,AA7:AA36),0),ROUND(PRODUCT(R37,AA7:AA36),1))</f>
        <v>#DIV/0!</v>
      </c>
      <c r="S38" s="3344"/>
      <c r="T38" s="3344" t="e">
        <f>IF(F1="售价",ROUND(PRODUCT(T37,AB7:AB36),0),ROUND(PRODUCT(T37,AB7:AB36),1))</f>
        <v>#DIV/0!</v>
      </c>
      <c r="U38" s="3344"/>
      <c r="V38" s="3344" t="e">
        <f>IF(F1="售价",ROUND(PRODUCT(V37,AC7:AC36),0),ROUND(PRODUCT(V37,AC7:AC36),1))</f>
        <v>#DIV/0!</v>
      </c>
      <c r="W38" s="3344"/>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269" t="str">
        <f>A39</f>
        <v>估价对象XX用房的比较价值（楼面单价，元/平方米）</v>
      </c>
      <c r="Q39" s="3270"/>
      <c r="R39" s="3366" t="e">
        <f>IF(F1="售价",ROUND(IF(D38="简单平均",AVERAGE(R38:W38),R38*F38+T38*H38+V38*J38),0),ROUND(IF(D38="简单平均",AVERAGE(R38:V38),R38*F38+T38*H38+V38*J38),1))</f>
        <v>#DIV/0!</v>
      </c>
      <c r="S39" s="3366"/>
      <c r="T39" s="3366"/>
      <c r="U39" s="3366"/>
      <c r="V39" s="3366"/>
      <c r="W39" s="3366"/>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72" t="s">
        <v>2467</v>
      </c>
      <c r="D4" s="3285"/>
      <c r="E4" s="3286" t="s">
        <v>2468</v>
      </c>
      <c r="F4" s="3287"/>
      <c r="G4" s="3272" t="s">
        <v>2469</v>
      </c>
      <c r="H4" s="3285"/>
      <c r="I4" s="3272" t="s">
        <v>2470</v>
      </c>
      <c r="J4" s="3285"/>
      <c r="K4" s="567" t="s">
        <v>2471</v>
      </c>
      <c r="L4" s="2944"/>
      <c r="M4" s="2945"/>
      <c r="N4" s="2945"/>
      <c r="O4" s="2945"/>
      <c r="P4" s="3288" t="s">
        <v>2472</v>
      </c>
      <c r="Q4" s="3289"/>
      <c r="R4" s="3294" t="s">
        <v>2468</v>
      </c>
      <c r="S4" s="3295"/>
      <c r="T4" s="3294" t="s">
        <v>2469</v>
      </c>
      <c r="U4" s="3295"/>
      <c r="V4" s="3281" t="s">
        <v>2470</v>
      </c>
      <c r="W4" s="3281"/>
      <c r="X4" s="1540"/>
      <c r="Y4" s="3294" t="s">
        <v>2472</v>
      </c>
      <c r="Z4" s="3295"/>
      <c r="AA4" s="3282" t="s">
        <v>2468</v>
      </c>
      <c r="AB4" s="3283" t="s">
        <v>2469</v>
      </c>
      <c r="AC4" s="3282" t="s">
        <v>2470</v>
      </c>
    </row>
    <row r="5" spans="1:29" ht="15">
      <c r="A5" s="364"/>
      <c r="B5" s="365"/>
      <c r="C5" s="3302" t="s">
        <v>2363</v>
      </c>
      <c r="D5" s="3303"/>
      <c r="E5" s="3309" t="s">
        <v>2364</v>
      </c>
      <c r="F5" s="3310"/>
      <c r="G5" s="3302" t="s">
        <v>2365</v>
      </c>
      <c r="H5" s="3303"/>
      <c r="I5" s="3302" t="s">
        <v>2366</v>
      </c>
      <c r="J5" s="3303"/>
      <c r="K5" s="567"/>
      <c r="L5" s="2944"/>
      <c r="M5" s="2945"/>
      <c r="N5" s="2945"/>
      <c r="O5" s="2945"/>
      <c r="P5" s="3290"/>
      <c r="Q5" s="3291"/>
      <c r="R5" s="3296"/>
      <c r="S5" s="3297"/>
      <c r="T5" s="3296"/>
      <c r="U5" s="3297"/>
      <c r="V5" s="3281"/>
      <c r="W5" s="3281"/>
      <c r="X5" s="1540"/>
      <c r="Y5" s="3296"/>
      <c r="Z5" s="3297"/>
      <c r="AA5" s="3283"/>
      <c r="AB5" s="3283"/>
      <c r="AC5" s="3283"/>
    </row>
    <row r="6" spans="1:29" ht="15.75" thickBot="1">
      <c r="A6" s="366"/>
      <c r="B6" s="367"/>
      <c r="C6" s="3300" t="s">
        <v>2367</v>
      </c>
      <c r="D6" s="3301"/>
      <c r="E6" s="3307" t="s">
        <v>2367</v>
      </c>
      <c r="F6" s="3308"/>
      <c r="G6" s="3300" t="s">
        <v>2367</v>
      </c>
      <c r="H6" s="3301"/>
      <c r="I6" s="3300" t="s">
        <v>2367</v>
      </c>
      <c r="J6" s="3301"/>
      <c r="K6" s="567" t="s">
        <v>2368</v>
      </c>
      <c r="L6" s="2944"/>
      <c r="M6" s="2945"/>
      <c r="N6" s="2945"/>
      <c r="O6" s="2945"/>
      <c r="P6" s="3292"/>
      <c r="Q6" s="3293"/>
      <c r="R6" s="3296"/>
      <c r="S6" s="3297"/>
      <c r="T6" s="3298"/>
      <c r="U6" s="3299"/>
      <c r="V6" s="3281"/>
      <c r="W6" s="3281"/>
      <c r="X6" s="1540"/>
      <c r="Y6" s="3298"/>
      <c r="Z6" s="3299"/>
      <c r="AA6" s="3284"/>
      <c r="AB6" s="3284"/>
      <c r="AC6" s="3284"/>
    </row>
    <row r="7" spans="1:29" s="113" customFormat="1" ht="15.75" thickBot="1">
      <c r="A7" s="368" t="s">
        <v>2369</v>
      </c>
      <c r="B7" s="369"/>
      <c r="C7" s="370">
        <f>'数据-取费表'!B2</f>
        <v>44294</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04" t="s">
        <v>2370</v>
      </c>
      <c r="Q7" s="3306"/>
      <c r="R7" s="710" t="s">
        <v>17</v>
      </c>
      <c r="S7" s="711">
        <f t="shared" ref="S7:S14" si="0">F7</f>
        <v>0</v>
      </c>
      <c r="T7" s="710" t="s">
        <v>17</v>
      </c>
      <c r="U7" s="711">
        <f t="shared" ref="U7:U14" si="1">H7</f>
        <v>0</v>
      </c>
      <c r="V7" s="710" t="s">
        <v>17</v>
      </c>
      <c r="W7" s="711">
        <f t="shared" ref="W7:W14" si="2">J7</f>
        <v>0</v>
      </c>
      <c r="X7" s="712"/>
      <c r="Y7" s="3304" t="s">
        <v>2370</v>
      </c>
      <c r="Z7" s="3305"/>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04" t="s">
        <v>2373</v>
      </c>
      <c r="Q8" s="3305"/>
      <c r="R8" s="710" t="s">
        <v>17</v>
      </c>
      <c r="S8" s="711">
        <f t="shared" si="0"/>
        <v>0</v>
      </c>
      <c r="T8" s="710" t="s">
        <v>17</v>
      </c>
      <c r="U8" s="711">
        <f t="shared" si="1"/>
        <v>0</v>
      </c>
      <c r="V8" s="710" t="s">
        <v>17</v>
      </c>
      <c r="W8" s="711">
        <f t="shared" si="2"/>
        <v>0</v>
      </c>
      <c r="X8" s="712"/>
      <c r="Y8" s="3304" t="s">
        <v>2373</v>
      </c>
      <c r="Z8" s="3305"/>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75" t="s">
        <v>2376</v>
      </c>
      <c r="Q9" s="1528" t="str">
        <f t="shared" ref="Q9:Q14" si="6">B9</f>
        <v>用途</v>
      </c>
      <c r="R9" s="710" t="s">
        <v>17</v>
      </c>
      <c r="S9" s="711">
        <f t="shared" si="0"/>
        <v>100</v>
      </c>
      <c r="T9" s="710" t="s">
        <v>17</v>
      </c>
      <c r="U9" s="711">
        <f t="shared" si="1"/>
        <v>100</v>
      </c>
      <c r="V9" s="710" t="s">
        <v>17</v>
      </c>
      <c r="W9" s="711">
        <f t="shared" si="2"/>
        <v>100</v>
      </c>
      <c r="X9" s="712"/>
      <c r="Y9" s="3169"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75"/>
      <c r="Q10" s="1528" t="str">
        <f t="shared" si="6"/>
        <v>土地使用年限（年）</v>
      </c>
      <c r="R10" s="710" t="s">
        <v>17</v>
      </c>
      <c r="S10" s="711">
        <f t="shared" si="0"/>
        <v>100</v>
      </c>
      <c r="T10" s="710" t="s">
        <v>17</v>
      </c>
      <c r="U10" s="711">
        <f t="shared" si="1"/>
        <v>100</v>
      </c>
      <c r="V10" s="710" t="s">
        <v>17</v>
      </c>
      <c r="W10" s="711">
        <f t="shared" si="2"/>
        <v>100</v>
      </c>
      <c r="X10" s="712"/>
      <c r="Y10" s="316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75"/>
      <c r="Q11" s="1528">
        <f t="shared" si="6"/>
        <v>111</v>
      </c>
      <c r="R11" s="710" t="s">
        <v>17</v>
      </c>
      <c r="S11" s="711">
        <f t="shared" si="0"/>
        <v>100</v>
      </c>
      <c r="T11" s="710" t="s">
        <v>17</v>
      </c>
      <c r="U11" s="711">
        <f t="shared" si="1"/>
        <v>100</v>
      </c>
      <c r="V11" s="710" t="s">
        <v>17</v>
      </c>
      <c r="W11" s="711">
        <f t="shared" si="2"/>
        <v>100</v>
      </c>
      <c r="X11" s="712"/>
      <c r="Y11" s="316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75"/>
      <c r="Q12" s="1528">
        <f t="shared" si="6"/>
        <v>111</v>
      </c>
      <c r="R12" s="710" t="s">
        <v>17</v>
      </c>
      <c r="S12" s="711">
        <f t="shared" si="0"/>
        <v>100</v>
      </c>
      <c r="T12" s="710" t="s">
        <v>17</v>
      </c>
      <c r="U12" s="711">
        <f t="shared" si="1"/>
        <v>100</v>
      </c>
      <c r="V12" s="710" t="s">
        <v>17</v>
      </c>
      <c r="W12" s="711">
        <f t="shared" si="2"/>
        <v>100</v>
      </c>
      <c r="X12" s="712"/>
      <c r="Y12" s="316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75"/>
      <c r="Q13" s="1528">
        <f t="shared" si="6"/>
        <v>111</v>
      </c>
      <c r="R13" s="710" t="s">
        <v>17</v>
      </c>
      <c r="S13" s="711">
        <f t="shared" si="0"/>
        <v>100</v>
      </c>
      <c r="T13" s="710" t="s">
        <v>17</v>
      </c>
      <c r="U13" s="711">
        <f t="shared" si="1"/>
        <v>100</v>
      </c>
      <c r="V13" s="710" t="s">
        <v>17</v>
      </c>
      <c r="W13" s="711">
        <f t="shared" si="2"/>
        <v>100</v>
      </c>
      <c r="X13" s="712"/>
      <c r="Y13" s="3169"/>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277" t="s">
        <v>2381</v>
      </c>
      <c r="Q14" s="1537" t="str">
        <f t="shared" si="6"/>
        <v>交通便捷度</v>
      </c>
      <c r="R14" s="714" t="s">
        <v>17</v>
      </c>
      <c r="S14" s="715">
        <f t="shared" si="0"/>
        <v>100</v>
      </c>
      <c r="T14" s="714" t="s">
        <v>17</v>
      </c>
      <c r="U14" s="715">
        <f t="shared" si="1"/>
        <v>100</v>
      </c>
      <c r="V14" s="714" t="s">
        <v>17</v>
      </c>
      <c r="W14" s="715">
        <f t="shared" si="2"/>
        <v>100</v>
      </c>
      <c r="X14" s="1540"/>
      <c r="Y14" s="3277"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1"/>
      <c r="M15" s="2945"/>
      <c r="N15" s="2945"/>
      <c r="O15" s="3003"/>
      <c r="P15" s="3278"/>
      <c r="Q15" s="1537"/>
      <c r="R15" s="714"/>
      <c r="S15" s="715"/>
      <c r="T15" s="714"/>
      <c r="U15" s="715"/>
      <c r="V15" s="714"/>
      <c r="W15" s="715"/>
      <c r="X15" s="1540"/>
      <c r="Y15" s="3278"/>
      <c r="Z15" s="1541"/>
      <c r="AA15" s="1538">
        <v>1</v>
      </c>
      <c r="AB15" s="1538">
        <v>1</v>
      </c>
      <c r="AC15" s="1538">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278"/>
      <c r="Q16" s="1537" t="str">
        <f>B16</f>
        <v>公共配套设施</v>
      </c>
      <c r="R16" s="714" t="s">
        <v>17</v>
      </c>
      <c r="S16" s="715">
        <f>F16</f>
        <v>100</v>
      </c>
      <c r="T16" s="714" t="s">
        <v>17</v>
      </c>
      <c r="U16" s="715">
        <f>H16</f>
        <v>100</v>
      </c>
      <c r="V16" s="714" t="s">
        <v>17</v>
      </c>
      <c r="W16" s="715">
        <f>J16</f>
        <v>100</v>
      </c>
      <c r="X16" s="1540"/>
      <c r="Y16" s="3278"/>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51"/>
      <c r="M17" s="2945"/>
      <c r="N17" s="2945"/>
      <c r="O17" s="3003"/>
      <c r="P17" s="3278"/>
      <c r="Q17" s="1537"/>
      <c r="R17" s="714"/>
      <c r="S17" s="715"/>
      <c r="T17" s="714"/>
      <c r="U17" s="715"/>
      <c r="V17" s="714"/>
      <c r="W17" s="715"/>
      <c r="X17" s="1540"/>
      <c r="Y17" s="3278"/>
      <c r="Z17" s="1541"/>
      <c r="AA17" s="1538">
        <v>1</v>
      </c>
      <c r="AB17" s="1538">
        <v>1</v>
      </c>
      <c r="AC17" s="1538">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278"/>
      <c r="Q18" s="1537" t="str">
        <f>B18</f>
        <v>基础设施水平</v>
      </c>
      <c r="R18" s="714" t="s">
        <v>17</v>
      </c>
      <c r="S18" s="715">
        <f>F18</f>
        <v>100</v>
      </c>
      <c r="T18" s="714" t="s">
        <v>17</v>
      </c>
      <c r="U18" s="715">
        <f>H18</f>
        <v>100</v>
      </c>
      <c r="V18" s="714" t="s">
        <v>17</v>
      </c>
      <c r="W18" s="715">
        <f>J18</f>
        <v>100</v>
      </c>
      <c r="X18" s="1540"/>
      <c r="Y18" s="3278"/>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51"/>
      <c r="M19" s="2945"/>
      <c r="N19" s="2945"/>
      <c r="O19" s="3003"/>
      <c r="P19" s="3278"/>
      <c r="Q19" s="1537"/>
      <c r="R19" s="714"/>
      <c r="S19" s="715"/>
      <c r="T19" s="714"/>
      <c r="U19" s="715"/>
      <c r="V19" s="714"/>
      <c r="W19" s="715"/>
      <c r="X19" s="1540"/>
      <c r="Y19" s="3278"/>
      <c r="Z19" s="1541"/>
      <c r="AA19" s="1538">
        <v>1</v>
      </c>
      <c r="AB19" s="1538">
        <v>1</v>
      </c>
      <c r="AC19" s="1538">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278"/>
      <c r="Q20" s="1537" t="str">
        <f>B20</f>
        <v>自然及人文环境</v>
      </c>
      <c r="R20" s="714" t="s">
        <v>17</v>
      </c>
      <c r="S20" s="715">
        <f>F20</f>
        <v>100</v>
      </c>
      <c r="T20" s="714" t="s">
        <v>17</v>
      </c>
      <c r="U20" s="715">
        <f>H20</f>
        <v>100</v>
      </c>
      <c r="V20" s="714" t="s">
        <v>17</v>
      </c>
      <c r="W20" s="715">
        <f>J20</f>
        <v>100</v>
      </c>
      <c r="X20" s="1540"/>
      <c r="Y20" s="3278"/>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1"/>
      <c r="M21" s="2945"/>
      <c r="N21" s="2945"/>
      <c r="O21" s="3003"/>
      <c r="P21" s="3278"/>
      <c r="Q21" s="1537"/>
      <c r="R21" s="714"/>
      <c r="S21" s="715"/>
      <c r="T21" s="714"/>
      <c r="U21" s="715"/>
      <c r="V21" s="714"/>
      <c r="W21" s="715"/>
      <c r="X21" s="1540"/>
      <c r="Y21" s="3278"/>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278"/>
      <c r="Q22" s="1537" t="str">
        <f>B22</f>
        <v>楼层</v>
      </c>
      <c r="R22" s="714" t="s">
        <v>17</v>
      </c>
      <c r="S22" s="715">
        <f>F22</f>
        <v>100</v>
      </c>
      <c r="T22" s="714" t="s">
        <v>17</v>
      </c>
      <c r="U22" s="715">
        <f>H22</f>
        <v>100</v>
      </c>
      <c r="V22" s="714" t="s">
        <v>17</v>
      </c>
      <c r="W22" s="715">
        <f>J22</f>
        <v>100</v>
      </c>
      <c r="X22" s="1540"/>
      <c r="Y22" s="3278"/>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278"/>
      <c r="Q23" s="1537">
        <f>B23</f>
        <v>111</v>
      </c>
      <c r="R23" s="714" t="s">
        <v>17</v>
      </c>
      <c r="S23" s="715">
        <f>F23</f>
        <v>100</v>
      </c>
      <c r="T23" s="714" t="s">
        <v>17</v>
      </c>
      <c r="U23" s="715">
        <f>H23</f>
        <v>100</v>
      </c>
      <c r="V23" s="714" t="s">
        <v>17</v>
      </c>
      <c r="W23" s="715">
        <f>J23</f>
        <v>100</v>
      </c>
      <c r="X23" s="1540"/>
      <c r="Y23" s="3278"/>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278"/>
      <c r="Q24" s="1537">
        <f t="shared" ref="Q24:Q34" si="11">B24</f>
        <v>111</v>
      </c>
      <c r="R24" s="714" t="s">
        <v>17</v>
      </c>
      <c r="S24" s="715">
        <f>F24</f>
        <v>100</v>
      </c>
      <c r="T24" s="714" t="s">
        <v>17</v>
      </c>
      <c r="U24" s="715">
        <f>H24</f>
        <v>100</v>
      </c>
      <c r="V24" s="714" t="s">
        <v>17</v>
      </c>
      <c r="W24" s="715">
        <f>J24</f>
        <v>100</v>
      </c>
      <c r="X24" s="1540"/>
      <c r="Y24" s="3278"/>
      <c r="Z24" s="1541">
        <f>Q24</f>
        <v>111</v>
      </c>
      <c r="AA24" s="1538">
        <f t="shared" si="3"/>
        <v>1</v>
      </c>
      <c r="AB24" s="1538">
        <f t="shared" si="4"/>
        <v>1</v>
      </c>
      <c r="AC24" s="1538">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278"/>
      <c r="Q25" s="1528">
        <f t="shared" si="11"/>
        <v>111</v>
      </c>
      <c r="R25" s="710" t="s">
        <v>17</v>
      </c>
      <c r="S25" s="711">
        <f>F25</f>
        <v>100</v>
      </c>
      <c r="T25" s="710" t="s">
        <v>17</v>
      </c>
      <c r="U25" s="711">
        <f>H25</f>
        <v>100</v>
      </c>
      <c r="V25" s="710" t="s">
        <v>17</v>
      </c>
      <c r="W25" s="711">
        <f>J25</f>
        <v>100</v>
      </c>
      <c r="X25" s="712"/>
      <c r="Y25" s="3278"/>
      <c r="Z25" s="55">
        <f>Q25</f>
        <v>111</v>
      </c>
      <c r="AA25" s="1538">
        <f>D25/F25</f>
        <v>1</v>
      </c>
      <c r="AB25" s="1538">
        <f>D25/H25</f>
        <v>1</v>
      </c>
      <c r="AC25" s="1538">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279"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80"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280"/>
      <c r="Q27" s="716" t="str">
        <f t="shared" si="11"/>
        <v>成新率</v>
      </c>
      <c r="R27" s="717" t="s">
        <v>17</v>
      </c>
      <c r="S27" s="718" t="e">
        <f t="shared" si="12"/>
        <v>#N/A</v>
      </c>
      <c r="T27" s="717" t="s">
        <v>17</v>
      </c>
      <c r="U27" s="718" t="e">
        <f t="shared" si="13"/>
        <v>#N/A</v>
      </c>
      <c r="V27" s="717" t="s">
        <v>17</v>
      </c>
      <c r="W27" s="718" t="e">
        <f t="shared" si="14"/>
        <v>#N/A</v>
      </c>
      <c r="X27" s="719"/>
      <c r="Y27" s="3280"/>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280"/>
      <c r="Q28" s="1537" t="str">
        <f t="shared" si="11"/>
        <v>物业等级</v>
      </c>
      <c r="R28" s="714" t="s">
        <v>17</v>
      </c>
      <c r="S28" s="715">
        <f t="shared" si="12"/>
        <v>100</v>
      </c>
      <c r="T28" s="714" t="s">
        <v>17</v>
      </c>
      <c r="U28" s="715">
        <f t="shared" si="13"/>
        <v>100</v>
      </c>
      <c r="V28" s="714" t="s">
        <v>17</v>
      </c>
      <c r="W28" s="715">
        <f t="shared" si="14"/>
        <v>100</v>
      </c>
      <c r="X28" s="1540"/>
      <c r="Y28" s="3280"/>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280"/>
      <c r="Q29" s="1537" t="str">
        <f t="shared" si="11"/>
        <v>有无电梯</v>
      </c>
      <c r="R29" s="714" t="s">
        <v>17</v>
      </c>
      <c r="S29" s="715">
        <f t="shared" si="12"/>
        <v>100</v>
      </c>
      <c r="T29" s="714" t="s">
        <v>17</v>
      </c>
      <c r="U29" s="715">
        <f t="shared" si="13"/>
        <v>100</v>
      </c>
      <c r="V29" s="714" t="s">
        <v>17</v>
      </c>
      <c r="W29" s="715">
        <f t="shared" si="14"/>
        <v>100</v>
      </c>
      <c r="X29" s="1540"/>
      <c r="Y29" s="3280"/>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280"/>
      <c r="Q30" s="1537" t="str">
        <f t="shared" si="11"/>
        <v>建筑面积</v>
      </c>
      <c r="R30" s="714" t="s">
        <v>17</v>
      </c>
      <c r="S30" s="715" t="e">
        <f t="shared" si="12"/>
        <v>#N/A</v>
      </c>
      <c r="T30" s="714" t="s">
        <v>17</v>
      </c>
      <c r="U30" s="715" t="e">
        <f t="shared" si="13"/>
        <v>#N/A</v>
      </c>
      <c r="V30" s="714" t="s">
        <v>17</v>
      </c>
      <c r="W30" s="715" t="e">
        <f t="shared" si="14"/>
        <v>#N/A</v>
      </c>
      <c r="X30" s="1540"/>
      <c r="Y30" s="3280"/>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280"/>
      <c r="Q31" s="1528" t="str">
        <f t="shared" si="11"/>
        <v>是否封闭</v>
      </c>
      <c r="R31" s="710" t="s">
        <v>17</v>
      </c>
      <c r="S31" s="711">
        <f t="shared" si="12"/>
        <v>100</v>
      </c>
      <c r="T31" s="710" t="s">
        <v>17</v>
      </c>
      <c r="U31" s="711">
        <f t="shared" si="13"/>
        <v>100</v>
      </c>
      <c r="V31" s="710" t="s">
        <v>17</v>
      </c>
      <c r="W31" s="711">
        <f t="shared" si="14"/>
        <v>100</v>
      </c>
      <c r="X31" s="712"/>
      <c r="Y31" s="328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280" t="s">
        <v>2386</v>
      </c>
      <c r="Q32" s="1537">
        <f t="shared" si="11"/>
        <v>111</v>
      </c>
      <c r="R32" s="714" t="s">
        <v>17</v>
      </c>
      <c r="S32" s="715">
        <f t="shared" si="12"/>
        <v>100</v>
      </c>
      <c r="T32" s="714" t="s">
        <v>17</v>
      </c>
      <c r="U32" s="715">
        <f t="shared" si="13"/>
        <v>100</v>
      </c>
      <c r="V32" s="714" t="s">
        <v>17</v>
      </c>
      <c r="W32" s="715">
        <f t="shared" si="14"/>
        <v>100</v>
      </c>
      <c r="X32" s="1540"/>
      <c r="Y32" s="3280" t="s">
        <v>2386</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280"/>
      <c r="Q33" s="1537">
        <f t="shared" si="11"/>
        <v>111</v>
      </c>
      <c r="R33" s="714" t="s">
        <v>17</v>
      </c>
      <c r="S33" s="715">
        <f t="shared" si="12"/>
        <v>100</v>
      </c>
      <c r="T33" s="714" t="s">
        <v>17</v>
      </c>
      <c r="U33" s="715">
        <f t="shared" si="13"/>
        <v>100</v>
      </c>
      <c r="V33" s="714" t="s">
        <v>17</v>
      </c>
      <c r="W33" s="715">
        <f t="shared" si="14"/>
        <v>100</v>
      </c>
      <c r="X33" s="1540"/>
      <c r="Y33" s="3280"/>
      <c r="Z33" s="1541">
        <f t="shared" si="15"/>
        <v>111</v>
      </c>
      <c r="AA33" s="1538">
        <f t="shared" si="3"/>
        <v>1</v>
      </c>
      <c r="AB33" s="1538">
        <f t="shared" si="4"/>
        <v>1</v>
      </c>
      <c r="AC33" s="1538">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280"/>
      <c r="Q34" s="1537">
        <f t="shared" si="11"/>
        <v>111</v>
      </c>
      <c r="R34" s="714" t="s">
        <v>17</v>
      </c>
      <c r="S34" s="715">
        <f t="shared" si="12"/>
        <v>100</v>
      </c>
      <c r="T34" s="714" t="s">
        <v>17</v>
      </c>
      <c r="U34" s="715">
        <f t="shared" si="13"/>
        <v>100</v>
      </c>
      <c r="V34" s="714" t="s">
        <v>17</v>
      </c>
      <c r="W34" s="715">
        <f t="shared" si="14"/>
        <v>100</v>
      </c>
      <c r="X34" s="1540"/>
      <c r="Y34" s="3280"/>
      <c r="Z34" s="1541">
        <f t="shared" si="15"/>
        <v>111</v>
      </c>
      <c r="AA34" s="1538">
        <f t="shared" si="3"/>
        <v>1</v>
      </c>
      <c r="AB34" s="1538">
        <f t="shared" si="4"/>
        <v>1</v>
      </c>
      <c r="AC34" s="1538">
        <f t="shared" si="5"/>
        <v>1</v>
      </c>
    </row>
    <row r="35" spans="1:30" ht="15">
      <c r="A35" s="438" t="s">
        <v>2398</v>
      </c>
      <c r="B35" s="439"/>
      <c r="C35" s="1316" t="s">
        <v>1</v>
      </c>
      <c r="D35" s="1317"/>
      <c r="E35" s="1318"/>
      <c r="F35" s="1319"/>
      <c r="G35" s="1320"/>
      <c r="H35" s="1321"/>
      <c r="I35" s="1318"/>
      <c r="J35" s="1321"/>
      <c r="K35" s="723"/>
      <c r="L35" s="2953"/>
      <c r="M35" s="2954"/>
      <c r="N35" s="2945"/>
      <c r="O35" s="2954"/>
      <c r="P35" s="3275" t="str">
        <f>A35</f>
        <v>成交单价（元/平方米）</v>
      </c>
      <c r="Q35" s="3275"/>
      <c r="R35" s="3344">
        <f>E35</f>
        <v>0</v>
      </c>
      <c r="S35" s="3344"/>
      <c r="T35" s="3344">
        <f>G35</f>
        <v>0</v>
      </c>
      <c r="U35" s="3344"/>
      <c r="V35" s="3344">
        <f>I35</f>
        <v>0</v>
      </c>
      <c r="W35" s="3344"/>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275" t="str">
        <f>A36</f>
        <v>比较价值（元/平方米）</v>
      </c>
      <c r="Q36" s="3275"/>
      <c r="R36" s="3344" t="e">
        <f>IF(F1="售价",ROUND(PRODUCT(R35,AA7:AA34),0),ROUND(PRODUCT(R35,AA7:AA34),1))</f>
        <v>#DIV/0!</v>
      </c>
      <c r="S36" s="3344"/>
      <c r="T36" s="3344" t="e">
        <f>IF(F1="售价",ROUND(PRODUCT(T35,AB7:AB34),0),ROUND(PRODUCT(T35,AB7:AB34),1))</f>
        <v>#DIV/0!</v>
      </c>
      <c r="U36" s="3344"/>
      <c r="V36" s="3344" t="e">
        <f>IF(F1="售价",ROUND(PRODUCT(V35,AC7:AC34),0),ROUND(PRODUCT(V35,AC7:AC34),1))</f>
        <v>#DIV/0!</v>
      </c>
      <c r="W36" s="3344"/>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269" t="str">
        <f>A37</f>
        <v>估价对象XX用房的比较价值（楼面单价，元/平方米）</v>
      </c>
      <c r="Q37" s="3270"/>
      <c r="R37" s="3366" t="e">
        <f>IF(F1="售价",ROUND(IF(D36="简单平均",AVERAGE(R36:W36),R36*F36+T36*H36+V36*J36),0),ROUND(IF(D36="简单平均",AVERAGE(R36:V36),R36*F36+T36*H36+V36*J36),1))</f>
        <v>#DIV/0!</v>
      </c>
      <c r="S37" s="3366"/>
      <c r="T37" s="3366"/>
      <c r="U37" s="3366"/>
      <c r="V37" s="3366"/>
      <c r="W37" s="3366"/>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0</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5" t="s">
        <v>2633</v>
      </c>
      <c r="D2" s="2186" t="s">
        <v>2634</v>
      </c>
      <c r="E2" s="2187"/>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5" t="s">
        <v>2639</v>
      </c>
      <c r="D3" s="2186" t="s">
        <v>2640</v>
      </c>
      <c r="E3" s="2191"/>
      <c r="F3" s="2192" t="s">
        <v>2641</v>
      </c>
      <c r="G3" s="855">
        <f>IF(F3="宗地容积率",'数据-汇总表'!I4,IF(F3="估价对象容积率",'数据-汇总表'!I6,'数据-汇总表'!I7))</f>
        <v>1</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70"/>
      <c r="B4" s="3371"/>
      <c r="C4" s="3371"/>
      <c r="D4" s="3372"/>
      <c r="E4" s="3372"/>
      <c r="F4" s="3372"/>
      <c r="G4" s="3372"/>
      <c r="H4" s="3372"/>
      <c r="I4" s="3372"/>
      <c r="J4" s="3373"/>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t="e">
        <f>ROUND(IF(E2="商业",C6*C7+C16,(IF(E2="住宅",C6*C12+C16,C6+C16))),0)</f>
        <v>#DIV/0!</v>
      </c>
      <c r="D5" s="1524" t="e">
        <f>ROUND(C6+C16,0)</f>
        <v>#DIV/0!</v>
      </c>
      <c r="E5" s="1524"/>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0</v>
      </c>
      <c r="D6" s="2205" t="s">
        <v>2650</v>
      </c>
      <c r="E6" s="2206"/>
      <c r="F6" s="2206"/>
      <c r="G6" s="2207"/>
      <c r="H6" s="2207"/>
      <c r="I6" s="2207"/>
      <c r="J6" s="2208"/>
      <c r="K6" s="1569"/>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74" t="str">
        <f>IF(E2="商业",IF(C8="不临58条商业街","",2),"")</f>
        <v/>
      </c>
      <c r="B7" s="2209" t="s">
        <v>2652</v>
      </c>
      <c r="C7" s="858" t="e">
        <f>IF(C8="不临58条商业街",1,ROUND(1+(1.6*E8+1.2*E9+0.8*E10+0.4*E11)*C9,4))</f>
        <v>#DIV/0!</v>
      </c>
      <c r="D7" s="2210" t="s">
        <v>2653</v>
      </c>
      <c r="E7" s="882"/>
      <c r="F7" s="2211"/>
      <c r="G7" s="2212"/>
      <c r="H7" s="2212"/>
      <c r="I7" s="2212"/>
      <c r="J7" s="2213"/>
      <c r="K7" s="1569"/>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3" t="s">
        <v>2655</v>
      </c>
      <c r="X7" s="1376">
        <f>G2</f>
        <v>0</v>
      </c>
      <c r="Y7" s="1376" t="s">
        <v>2656</v>
      </c>
      <c r="Z7" s="1377">
        <f>G3</f>
        <v>1</v>
      </c>
      <c r="AA7" s="1378"/>
      <c r="AB7" s="1378"/>
      <c r="AC7" s="1379"/>
      <c r="AD7" s="1380"/>
      <c r="AE7" s="1380"/>
      <c r="AF7" s="1380"/>
      <c r="AG7" s="1380"/>
      <c r="AH7" s="1380"/>
      <c r="AI7" s="1380"/>
      <c r="AJ7" s="1381"/>
    </row>
    <row r="8" spans="1:36" ht="15">
      <c r="A8" s="3375"/>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67" t="s">
        <v>2660</v>
      </c>
      <c r="X8" s="3368"/>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75"/>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69" t="s">
        <v>2676</v>
      </c>
      <c r="X9" s="1383" t="s">
        <v>2677</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5"/>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6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5"/>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69" t="s">
        <v>2684</v>
      </c>
      <c r="X11" s="1386" t="s">
        <v>2685</v>
      </c>
      <c r="Y11" s="1387">
        <f>$G$3</f>
        <v>1</v>
      </c>
      <c r="Z11" s="1387">
        <f t="shared" ref="Z11:AJ11" si="3">$G$3</f>
        <v>1</v>
      </c>
      <c r="AA11" s="1387">
        <f t="shared" si="3"/>
        <v>1</v>
      </c>
      <c r="AB11" s="1387">
        <f t="shared" si="3"/>
        <v>1</v>
      </c>
      <c r="AC11" s="1387">
        <f t="shared" si="3"/>
        <v>1</v>
      </c>
      <c r="AD11" s="1387">
        <f t="shared" si="3"/>
        <v>1</v>
      </c>
      <c r="AE11" s="1387">
        <f t="shared" si="3"/>
        <v>1</v>
      </c>
      <c r="AF11" s="1387">
        <f t="shared" si="3"/>
        <v>1</v>
      </c>
      <c r="AG11" s="1387">
        <f t="shared" si="3"/>
        <v>1</v>
      </c>
      <c r="AH11" s="1387">
        <f t="shared" si="3"/>
        <v>1</v>
      </c>
      <c r="AI11" s="1387">
        <f t="shared" si="3"/>
        <v>1</v>
      </c>
      <c r="AJ11" s="1387">
        <f t="shared" si="3"/>
        <v>1</v>
      </c>
    </row>
    <row r="12" spans="1:36" ht="25.5" thickBot="1">
      <c r="A12" s="3374"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69"/>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6"/>
      <c r="B13" s="2228" t="s">
        <v>2691</v>
      </c>
      <c r="C13" s="2229" t="s">
        <v>2692</v>
      </c>
      <c r="D13" s="1535" t="s">
        <v>2693</v>
      </c>
      <c r="E13" s="1535" t="s">
        <v>2694</v>
      </c>
      <c r="F13" s="30" t="s">
        <v>2695</v>
      </c>
      <c r="G13" s="2230" t="s">
        <v>2696</v>
      </c>
      <c r="H13" s="2230" t="s">
        <v>2696</v>
      </c>
      <c r="I13" s="2230" t="s">
        <v>2696</v>
      </c>
      <c r="J13" s="2231" t="s">
        <v>2696</v>
      </c>
      <c r="K13" s="1280"/>
      <c r="L13" s="1280"/>
      <c r="M13" s="1280"/>
      <c r="N13" s="1280"/>
      <c r="O13" s="1280"/>
      <c r="P13" s="1280"/>
      <c r="Q13" s="1280"/>
      <c r="R13" s="1374">
        <v>12</v>
      </c>
      <c r="S13" s="1375"/>
      <c r="T13" s="1374" t="e">
        <f t="shared" si="0"/>
        <v>#DIV/0!</v>
      </c>
      <c r="U13" s="1375"/>
      <c r="V13" s="1374" t="e">
        <f t="shared" si="1"/>
        <v>#DIV/0!</v>
      </c>
      <c r="W13" s="3369"/>
      <c r="X13" s="1388"/>
      <c r="Y13" s="1385">
        <f>(-0.163*(Y12^2)-0.59*Y12+7617)*(10^(-4))/Y11</f>
        <v>0.76170000000000004</v>
      </c>
      <c r="Z13" s="1385">
        <f t="shared" ref="Z13:AJ13" si="5">(-0.163*(Z12^2)-0.59*Z12+7617)*(10^(-4))/Z11</f>
        <v>0.76170000000000004</v>
      </c>
      <c r="AA13" s="1385">
        <f t="shared" si="5"/>
        <v>0.76170000000000004</v>
      </c>
      <c r="AB13" s="1385">
        <f t="shared" si="5"/>
        <v>0.76170000000000004</v>
      </c>
      <c r="AC13" s="1385">
        <f t="shared" si="5"/>
        <v>0.76170000000000004</v>
      </c>
      <c r="AD13" s="1385">
        <f t="shared" si="5"/>
        <v>0.76170000000000004</v>
      </c>
      <c r="AE13" s="1385">
        <f t="shared" si="5"/>
        <v>0.76170000000000004</v>
      </c>
      <c r="AF13" s="1385">
        <f t="shared" si="5"/>
        <v>0.76170000000000004</v>
      </c>
      <c r="AG13" s="1385">
        <f t="shared" si="5"/>
        <v>0.76170000000000004</v>
      </c>
      <c r="AH13" s="1385">
        <f t="shared" si="5"/>
        <v>0.76170000000000004</v>
      </c>
      <c r="AI13" s="1385">
        <f t="shared" si="5"/>
        <v>0.76170000000000004</v>
      </c>
      <c r="AJ13" s="1385">
        <f t="shared" si="5"/>
        <v>0.76170000000000004</v>
      </c>
    </row>
    <row r="14" spans="1:36" ht="15">
      <c r="A14" s="3376"/>
      <c r="B14" s="2232"/>
      <c r="C14" s="2233"/>
      <c r="D14" s="2234"/>
      <c r="E14" s="2234"/>
      <c r="F14" s="2235"/>
      <c r="G14" s="2236" t="s">
        <v>2697</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377"/>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374" t="s">
        <v>2703</v>
      </c>
      <c r="B16" s="2209" t="s">
        <v>2704</v>
      </c>
      <c r="C16" s="2371" t="e">
        <f>ROUND(IF(F17="与级别开发程度一致",0,(G17-E17)/C17),0)</f>
        <v>#DIV/0!</v>
      </c>
      <c r="D16" s="3390" t="s">
        <v>2708</v>
      </c>
      <c r="E16" s="3391"/>
      <c r="F16" s="3390" t="s">
        <v>2705</v>
      </c>
      <c r="G16" s="3391"/>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378"/>
      <c r="B17" s="2382" t="s">
        <v>2707</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2711</v>
      </c>
      <c r="C19" s="863" t="e">
        <f>ROUND(IF(H19="按公示增长率计算",SUMPRODUCT((地价!A3:A33=YEAR(G19)&amp;"-"&amp;ROUNDUP(MONTH(G19)/3,0))*(地价!X2:AB2=E2)*(地价!X3:AB33)),IF(H19="地价指数",M20/M19,(1+I19)^O19)),4)</f>
        <v>#VALUE!</v>
      </c>
      <c r="D19" s="2251" t="s">
        <v>2712</v>
      </c>
      <c r="E19" s="864">
        <v>41640</v>
      </c>
      <c r="F19" s="2251" t="s">
        <v>2713</v>
      </c>
      <c r="G19" s="865">
        <f>'数据-取费表'!B2</f>
        <v>44294</v>
      </c>
      <c r="H19" s="2252"/>
      <c r="I19" s="866" t="str">
        <f>IF(H19="季度增幅（自定义）",SUMIF(N21:N24,E2,O21:O24),"")</f>
        <v/>
      </c>
      <c r="J19" s="2249"/>
      <c r="K19" s="1287"/>
      <c r="L19" s="2253" t="s">
        <v>2714</v>
      </c>
      <c r="M19" s="1497">
        <f>ROUND(SUMIF(地价!B2:F2,E2,地价!B33:F33),0)</f>
        <v>0</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t="e">
        <f>ROUND(POWER(1+G20,J20-I20)*(POWER(1+G20,I20)-1)/(POWER(1+G20,J20)-1),4)</f>
        <v>#DIV/0!</v>
      </c>
      <c r="D20" s="2258" t="s">
        <v>2717</v>
      </c>
      <c r="E20" s="1506">
        <f ca="1">存贷款利率!D4/100</f>
        <v>3.85E-2</v>
      </c>
      <c r="F20" s="2258" t="s">
        <v>2709</v>
      </c>
      <c r="G20" s="873">
        <f>SUMIF(M26:P26,E2,M28:P28)</f>
        <v>0</v>
      </c>
      <c r="H20" s="2258" t="s">
        <v>2718</v>
      </c>
      <c r="I20" s="874" t="e">
        <f>SUMIF('数据-取费表'!C6:C15,E2,'数据-取费表'!F6:F15)/COUNTIF('数据-取费表'!C6:C15,E2)</f>
        <v>#DIV/0!</v>
      </c>
      <c r="J20" s="875">
        <f>IF(E2="住宅",70,IF(E2="商业",40,50))</f>
        <v>50</v>
      </c>
      <c r="K20" s="1287"/>
      <c r="L20" s="2259" t="s">
        <v>2719</v>
      </c>
      <c r="M20" s="1498">
        <f>ROUND(SUMPRODUCT((地价!A4:A33=YEAR(G19)&amp;"-"&amp;ROUNDUP(MONTH(G19)/3,0))*(地价!B2:F2=E2)*(地价!B4:F33)),0)</f>
        <v>0</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2723</v>
      </c>
      <c r="C21" s="876">
        <f>IF(B21="容积率修正",IF(G3&lt;=10,D22,J22),C23)</f>
        <v>0</v>
      </c>
      <c r="D21" s="2265"/>
      <c r="E21" s="2265"/>
      <c r="F21" s="2265"/>
      <c r="G21" s="2265"/>
      <c r="H21" s="2265"/>
      <c r="I21" s="2265"/>
      <c r="J21" s="2266"/>
      <c r="K21" s="1287"/>
      <c r="L21" s="3019"/>
      <c r="M21" s="3019"/>
      <c r="N21" s="2267" t="s">
        <v>2724</v>
      </c>
      <c r="O21" s="1335"/>
      <c r="P21" s="1336">
        <f>SUMPRODUCT((地价!A3:A33=YEAR(G19)&amp;"-"&amp;ROUNDUP(MONTH(G19)/3,0))*(地价!AD2:AH2=N21)*(地价!AD3:AH33))</f>
        <v>0</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7" t="s">
        <v>2727</v>
      </c>
      <c r="D22" s="1537" t="b">
        <f>IF(E22=G22,F22,IF(G3&lt;=10,ROUND(F22+(H22-F22)*(G3-E22)/(G22-E22),4),"——"))</f>
        <v>0</v>
      </c>
      <c r="E22" s="855">
        <f>ROUNDDOWN(G3,1)</f>
        <v>1</v>
      </c>
      <c r="F22" s="15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7" t="s">
        <v>155</v>
      </c>
      <c r="J22" s="877" t="str">
        <f>IF(G3&gt;10,D113,"——")</f>
        <v>——</v>
      </c>
      <c r="K22" s="1287"/>
      <c r="L22" s="3019"/>
      <c r="M22" s="3019"/>
      <c r="N22" s="2267" t="s">
        <v>2728</v>
      </c>
      <c r="O22" s="1335"/>
      <c r="P22" s="1336">
        <f>SUMPRODUCT((地价!A3:A33=YEAR(G19)&amp;"-"&amp;ROUNDUP(MONTH(G19)/3,0))*(地价!AD2:AH2=N22)*(地价!AD3:AH33))</f>
        <v>0</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SUMPRODUCT((地价!A3:A33=YEAR(G19)&amp;"-"&amp;ROUNDUP(MONTH(G19)/3,0))*(地价!AD2:AH2=N23)*(地价!AD3:AH33))</f>
        <v>0</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v>
      </c>
      <c r="D24" s="2248"/>
      <c r="E24" s="2275"/>
      <c r="F24" s="2275"/>
      <c r="G24" s="2275"/>
      <c r="H24" s="2275"/>
      <c r="I24" s="2275"/>
      <c r="J24" s="2276"/>
      <c r="K24" s="1287"/>
      <c r="L24" s="3019"/>
      <c r="M24" s="3019"/>
      <c r="N24" s="2277" t="s">
        <v>2733</v>
      </c>
      <c r="O24" s="1337"/>
      <c r="P24" s="1338">
        <f>SUMPRODUCT((地价!A3:A33=YEAR(G19)&amp;"-"&amp;ROUNDUP(MONTH(G19)/3,0))*(地价!AD2:AH2=N24)*(地价!AD3:AH33))</f>
        <v>0</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SUMPRODUCT((地价!A3:A33=YEAR(G19)&amp;"-"&amp;ROUNDUP(MONTH(G19)/3,0))*(地价!AD2:AH2=N25)*(地价!AD3:AH33))</f>
        <v>0</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t="e">
        <f>IF(B21="容积率修正",E29+SUM(E33:E39),SUM(V2:V16)+SUM(E33:E39))</f>
        <v>#DIV/0!</v>
      </c>
      <c r="D26" s="2281"/>
      <c r="E26" s="2237"/>
      <c r="F26" s="2282"/>
      <c r="G26" s="2237"/>
      <c r="H26" s="2237"/>
      <c r="I26" s="2237"/>
      <c r="J26" s="2283"/>
      <c r="K26" s="1280"/>
      <c r="L26" s="3017" t="s">
        <v>2634</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t="e">
        <f>E30+SUM(I33:I39)</f>
        <v>#DIV/0!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t="e">
        <f>ROUND(C5*C18*C19*C20*C21*C24,0)</f>
        <v>#DIV/0!</v>
      </c>
      <c r="D29" s="2296"/>
      <c r="E29" s="879" t="e">
        <f>ROUND(C29*D29/10000,0)</f>
        <v>#DIV/0!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t="e">
        <f>ROUND(IF(E2="工业",C29*M39,C29*M38),0)</f>
        <v>#DIV/0!</v>
      </c>
      <c r="D30" s="2302"/>
      <c r="E30" s="879" t="e">
        <f>ROUND(C30*D30/10000,0)</f>
        <v>#DIV/0!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7"/>
      <c r="B33" s="2312" t="s">
        <v>2750</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92"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8"/>
      <c r="B34" s="2229" t="s">
        <v>2751</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8"/>
      <c r="B35" s="2229" t="s">
        <v>2752</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8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9"/>
      <c r="B36" s="2229" t="s">
        <v>2753</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89"/>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6"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t="e">
        <f>ROUND(POWER(1+E41,H41-G41)*(POWER(1+E41,G41)-1)/(POWER(1+E41,H41)-1),4)</f>
        <v>#DIV/0!</v>
      </c>
      <c r="D41" s="176" t="s">
        <v>2709</v>
      </c>
      <c r="E41" s="2369">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6" t="s">
        <v>2762</v>
      </c>
      <c r="C47" s="1536" t="s">
        <v>2763</v>
      </c>
      <c r="D47" s="1536" t="s">
        <v>2764</v>
      </c>
      <c r="E47" s="758" t="s">
        <v>2765</v>
      </c>
      <c r="F47" s="2330" t="s">
        <v>2766</v>
      </c>
      <c r="G47" s="1536" t="s">
        <v>754</v>
      </c>
      <c r="H47" s="2331" t="s">
        <v>2767</v>
      </c>
      <c r="I47" s="1536"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2777</v>
      </c>
      <c r="B54" s="1495"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6"/>
      <c r="C58" s="1536" t="s">
        <v>2763</v>
      </c>
      <c r="D58" s="1536" t="s">
        <v>2764</v>
      </c>
      <c r="E58" s="758" t="s">
        <v>2765</v>
      </c>
      <c r="F58" s="2330" t="s">
        <v>2781</v>
      </c>
      <c r="G58" s="1536" t="s">
        <v>754</v>
      </c>
      <c r="H58" s="2331" t="s">
        <v>2767</v>
      </c>
      <c r="I58" s="1536"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5"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5"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6"/>
      <c r="C69" s="1536" t="s">
        <v>2763</v>
      </c>
      <c r="D69" s="1536" t="s">
        <v>2764</v>
      </c>
      <c r="E69" s="758" t="s">
        <v>2765</v>
      </c>
      <c r="F69" s="2330" t="s">
        <v>2781</v>
      </c>
      <c r="G69" s="1536" t="s">
        <v>754</v>
      </c>
      <c r="H69" s="2331" t="s">
        <v>2767</v>
      </c>
      <c r="I69" s="1536"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5"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5"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6"/>
      <c r="C80" s="1536" t="s">
        <v>2763</v>
      </c>
      <c r="D80" s="1536" t="s">
        <v>2764</v>
      </c>
      <c r="E80" s="758" t="s">
        <v>2765</v>
      </c>
      <c r="F80" s="2330" t="s">
        <v>2781</v>
      </c>
      <c r="G80" s="1536" t="s">
        <v>754</v>
      </c>
      <c r="H80" s="2331" t="s">
        <v>2767</v>
      </c>
      <c r="I80" s="1536"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5"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5"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79" t="s">
        <v>2791</v>
      </c>
      <c r="B90" s="3379"/>
      <c r="C90" s="3379"/>
      <c r="D90" s="3379"/>
      <c r="E90" s="3379"/>
      <c r="F90" s="3379"/>
      <c r="G90" s="3379"/>
      <c r="H90" s="3379"/>
      <c r="I90" s="3379"/>
      <c r="J90" s="3379"/>
      <c r="K90" s="2343"/>
      <c r="L90" s="2343"/>
      <c r="M90" s="2343"/>
      <c r="N90" s="2343"/>
    </row>
    <row r="91" spans="1:37">
      <c r="A91" s="3381" t="s">
        <v>2792</v>
      </c>
      <c r="B91" s="3381" t="s">
        <v>2793</v>
      </c>
      <c r="C91" s="2297" t="s">
        <v>2794</v>
      </c>
      <c r="D91" s="2298"/>
      <c r="E91" s="2298"/>
      <c r="F91" s="2298"/>
      <c r="G91" s="2298"/>
      <c r="H91" s="2298"/>
      <c r="I91" s="2298"/>
      <c r="J91" s="2344"/>
      <c r="K91" s="2345"/>
      <c r="L91" s="2345"/>
      <c r="M91" s="2345"/>
      <c r="N91" s="2345"/>
    </row>
    <row r="92" spans="1:37">
      <c r="A92" s="3381"/>
      <c r="B92" s="3381"/>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82"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3"/>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84"/>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82" t="s">
        <v>2796</v>
      </c>
      <c r="B101" s="2350" t="s">
        <v>2797</v>
      </c>
      <c r="C101" s="2351">
        <f>$G$3</f>
        <v>1</v>
      </c>
      <c r="D101" s="2351">
        <f t="shared" ref="D101:N101" si="31">$G$3</f>
        <v>1</v>
      </c>
      <c r="E101" s="2351">
        <f t="shared" si="31"/>
        <v>1</v>
      </c>
      <c r="F101" s="2351">
        <f t="shared" si="31"/>
        <v>1</v>
      </c>
      <c r="G101" s="2351">
        <f t="shared" si="31"/>
        <v>1</v>
      </c>
      <c r="H101" s="2351">
        <f t="shared" si="31"/>
        <v>1</v>
      </c>
      <c r="I101" s="2351">
        <f t="shared" si="31"/>
        <v>1</v>
      </c>
      <c r="J101" s="2351">
        <f t="shared" si="31"/>
        <v>1</v>
      </c>
      <c r="K101" s="2351">
        <f t="shared" si="31"/>
        <v>1</v>
      </c>
      <c r="L101" s="2351">
        <f t="shared" si="31"/>
        <v>1</v>
      </c>
      <c r="M101" s="2351">
        <f t="shared" si="31"/>
        <v>1</v>
      </c>
      <c r="N101" s="2351">
        <f t="shared" si="31"/>
        <v>1</v>
      </c>
    </row>
    <row r="102" spans="1:14">
      <c r="A102" s="3383"/>
      <c r="B102" s="2346">
        <v>1</v>
      </c>
      <c r="C102" s="2347">
        <f>1.9362/C101</f>
        <v>1.9361999999999999</v>
      </c>
      <c r="D102" s="2347">
        <f>1.9362/D101</f>
        <v>1.9361999999999999</v>
      </c>
      <c r="E102" s="2347">
        <f>1.8629/E101</f>
        <v>1.8629</v>
      </c>
      <c r="F102" s="2347">
        <f>1.8629/F101</f>
        <v>1.8629</v>
      </c>
      <c r="G102" s="2347">
        <f>1.8629/G101</f>
        <v>1.8629</v>
      </c>
      <c r="H102" s="2347">
        <f>1.8629/H101</f>
        <v>1.8629</v>
      </c>
      <c r="I102" s="2347">
        <f>1.8629/I101</f>
        <v>1.8629</v>
      </c>
      <c r="J102" s="2347">
        <f>1.942/J101</f>
        <v>1.9419999999999999</v>
      </c>
      <c r="K102" s="2347">
        <f>1.942/K101</f>
        <v>1.9419999999999999</v>
      </c>
      <c r="L102" s="2347">
        <f>1.942/L101</f>
        <v>1.9419999999999999</v>
      </c>
      <c r="M102" s="2347">
        <f>1.942/M101</f>
        <v>1.9419999999999999</v>
      </c>
      <c r="N102" s="2347">
        <f>1.942/N101</f>
        <v>1.9419999999999999</v>
      </c>
    </row>
    <row r="103" spans="1:14">
      <c r="A103" s="3383"/>
      <c r="B103" s="2346">
        <v>2</v>
      </c>
      <c r="C103" s="2347">
        <f>1.4198/C101</f>
        <v>1.4198</v>
      </c>
      <c r="D103" s="2347">
        <f>1.4198/D101</f>
        <v>1.4198</v>
      </c>
      <c r="E103" s="2347">
        <f>1.3372/E101</f>
        <v>1.3371999999999999</v>
      </c>
      <c r="F103" s="2347">
        <f>1.3372/F101</f>
        <v>1.3371999999999999</v>
      </c>
      <c r="G103" s="2347">
        <f>1.3372/G101</f>
        <v>1.3371999999999999</v>
      </c>
      <c r="H103" s="2347">
        <f>1.3372/H101</f>
        <v>1.3371999999999999</v>
      </c>
      <c r="I103" s="2347">
        <f>1.3372/I101</f>
        <v>1.3371999999999999</v>
      </c>
      <c r="J103" s="2347">
        <f>1.2799/J101</f>
        <v>1.2799</v>
      </c>
      <c r="K103" s="2347">
        <f>1.2799/K101</f>
        <v>1.2799</v>
      </c>
      <c r="L103" s="2347">
        <f>1.2799/L101</f>
        <v>1.2799</v>
      </c>
      <c r="M103" s="2347">
        <f>1.2799/M101</f>
        <v>1.2799</v>
      </c>
      <c r="N103" s="2347">
        <f>1.2799/N101</f>
        <v>1.2799</v>
      </c>
    </row>
    <row r="104" spans="1:14">
      <c r="A104" s="3383"/>
      <c r="B104" s="2346">
        <v>3</v>
      </c>
      <c r="C104" s="2347">
        <f>1.1594/C101</f>
        <v>1.1594</v>
      </c>
      <c r="D104" s="2347">
        <f>1.1594/D101</f>
        <v>1.1594</v>
      </c>
      <c r="E104" s="2347">
        <f>1.0788/E101</f>
        <v>1.0788</v>
      </c>
      <c r="F104" s="2347">
        <f>1.0788/F101</f>
        <v>1.0788</v>
      </c>
      <c r="G104" s="2347">
        <f>1.0788/G101</f>
        <v>1.0788</v>
      </c>
      <c r="H104" s="2347">
        <f>1.0788/H101</f>
        <v>1.0788</v>
      </c>
      <c r="I104" s="2347">
        <f>1.0788/I101</f>
        <v>1.0788</v>
      </c>
      <c r="J104" s="2347">
        <f>1.0072/J101</f>
        <v>1.0072000000000001</v>
      </c>
      <c r="K104" s="2347">
        <f>1.0072/K101</f>
        <v>1.0072000000000001</v>
      </c>
      <c r="L104" s="2347">
        <f>1.0072/L101</f>
        <v>1.0072000000000001</v>
      </c>
      <c r="M104" s="2347">
        <f>1.0072/M101</f>
        <v>1.0072000000000001</v>
      </c>
      <c r="N104" s="2347">
        <f>1.0072/N101</f>
        <v>1.0072000000000001</v>
      </c>
    </row>
    <row r="105" spans="1:14">
      <c r="A105" s="3383"/>
      <c r="B105" s="2346">
        <v>4</v>
      </c>
      <c r="C105" s="2347">
        <f>0.9622/C101</f>
        <v>0.96220000000000006</v>
      </c>
      <c r="D105" s="2347">
        <f>0.9622/D101</f>
        <v>0.96220000000000006</v>
      </c>
      <c r="E105" s="2347">
        <f>0.8656/E101</f>
        <v>0.86560000000000004</v>
      </c>
      <c r="F105" s="2347">
        <f>0.8656/F101</f>
        <v>0.86560000000000004</v>
      </c>
      <c r="G105" s="2347">
        <f>0.8656/G101</f>
        <v>0.86560000000000004</v>
      </c>
      <c r="H105" s="2347">
        <f>0.8656/H101</f>
        <v>0.86560000000000004</v>
      </c>
      <c r="I105" s="2347">
        <f>0.8656/I101</f>
        <v>0.86560000000000004</v>
      </c>
      <c r="J105" s="2347">
        <f>0.7525/J101</f>
        <v>0.75249999999999995</v>
      </c>
      <c r="K105" s="2347">
        <f>0.7525/K101</f>
        <v>0.75249999999999995</v>
      </c>
      <c r="L105" s="2347">
        <f>0.7525/L101</f>
        <v>0.75249999999999995</v>
      </c>
      <c r="M105" s="2347">
        <f>0.7525/M101</f>
        <v>0.75249999999999995</v>
      </c>
      <c r="N105" s="2347">
        <f>0.7525/N101</f>
        <v>0.75249999999999995</v>
      </c>
    </row>
    <row r="106" spans="1:14">
      <c r="A106" s="3383"/>
      <c r="B106" s="2346">
        <v>5</v>
      </c>
      <c r="C106" s="2347">
        <f>0.8417/C101</f>
        <v>0.8417</v>
      </c>
      <c r="D106" s="2347">
        <f>0.8417/D101</f>
        <v>0.8417</v>
      </c>
      <c r="E106" s="2347">
        <f>0.7371/E101</f>
        <v>0.73709999999999998</v>
      </c>
      <c r="F106" s="2347">
        <f>0.7371/F101</f>
        <v>0.73709999999999998</v>
      </c>
      <c r="G106" s="2347">
        <f>0.7371/G101</f>
        <v>0.73709999999999998</v>
      </c>
      <c r="H106" s="2347">
        <f>0.7371/H101</f>
        <v>0.73709999999999998</v>
      </c>
      <c r="I106" s="2347">
        <f>0.7371/I101</f>
        <v>0.73709999999999998</v>
      </c>
      <c r="J106" s="2347">
        <f>0.5659/J101</f>
        <v>0.56589999999999996</v>
      </c>
      <c r="K106" s="2347">
        <f>0.5659/K101</f>
        <v>0.56589999999999996</v>
      </c>
      <c r="L106" s="2347">
        <f>0.5659/L101</f>
        <v>0.56589999999999996</v>
      </c>
      <c r="M106" s="2347">
        <f>0.5659/M101</f>
        <v>0.56589999999999996</v>
      </c>
      <c r="N106" s="2347">
        <f>0.5659/N101</f>
        <v>0.56589999999999996</v>
      </c>
    </row>
    <row r="107" spans="1:14">
      <c r="A107" s="3383"/>
      <c r="B107" s="2346">
        <v>6</v>
      </c>
      <c r="C107" s="2347">
        <f>0.7608/C101</f>
        <v>0.76080000000000003</v>
      </c>
      <c r="D107" s="2347">
        <f>0.7608/D101</f>
        <v>0.76080000000000003</v>
      </c>
      <c r="E107" s="2347">
        <f>0.6482/E101</f>
        <v>0.6482</v>
      </c>
      <c r="F107" s="2347">
        <f>0.6482/F101</f>
        <v>0.6482</v>
      </c>
      <c r="G107" s="2347">
        <f>0.6482/G101</f>
        <v>0.6482</v>
      </c>
      <c r="H107" s="2347">
        <f>0.6482/H101</f>
        <v>0.6482</v>
      </c>
      <c r="I107" s="2347">
        <f>0.6482/I101</f>
        <v>0.6482</v>
      </c>
      <c r="J107" s="2347">
        <f>0.4525/J101</f>
        <v>0.45250000000000001</v>
      </c>
      <c r="K107" s="2347">
        <f>0.4525/K101</f>
        <v>0.45250000000000001</v>
      </c>
      <c r="L107" s="2347">
        <f>0.4525/L101</f>
        <v>0.45250000000000001</v>
      </c>
      <c r="M107" s="2347">
        <f>0.4525/M101</f>
        <v>0.45250000000000001</v>
      </c>
      <c r="N107" s="2347">
        <f>0.4525/N101</f>
        <v>0.45250000000000001</v>
      </c>
    </row>
    <row r="108" spans="1:14">
      <c r="A108" s="3383"/>
      <c r="B108" s="3385"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84"/>
      <c r="B109" s="3386"/>
      <c r="C109" s="2349">
        <f>(-0.163*(C108^2)-0.59*C108+7617)*(10^(-4))/C101</f>
        <v>0.76170000000000004</v>
      </c>
      <c r="D109" s="2349">
        <f>(-0.163*(D108^2)-0.59*D108+7617)*(10^(-4))/D101</f>
        <v>0.76170000000000004</v>
      </c>
      <c r="E109" s="2349">
        <f>(-0.161*(E108^2)-7.509*E108+6533)*(10^(-4))/E101</f>
        <v>0.65329999999999999</v>
      </c>
      <c r="F109" s="2349">
        <f>(-0.161*(F108^2)-7.509*F108+6533)*(10^(-4))/F101</f>
        <v>0.65329999999999999</v>
      </c>
      <c r="G109" s="2349">
        <f>(-0.161*(G108^2)-7.509*G108+6533)*(10^(-4))/G101</f>
        <v>0.65329999999999999</v>
      </c>
      <c r="H109" s="2349">
        <f>(-0.161*(H108^2)-7.509*H108+6533)*(10^(-4))/H101</f>
        <v>0.65329999999999999</v>
      </c>
      <c r="I109" s="2349">
        <f>(-0.161*(I108^2)-7.509*I108+6533)*(10^(-4))/I101</f>
        <v>0.65329999999999999</v>
      </c>
      <c r="J109" s="2349">
        <f>(-0.214*(J108^2)-21.991*J108+4665)*(10^(-4))/J101</f>
        <v>0.46650000000000003</v>
      </c>
      <c r="K109" s="2349">
        <f>(-0.214*(K108^2)-21.991*K108+4665)*(10^(-4))/K101</f>
        <v>0.46650000000000003</v>
      </c>
      <c r="L109" s="2349">
        <f>(-0.214*(L108^2)-21.991*L108+4665)*(10^(-4))/L101</f>
        <v>0.46650000000000003</v>
      </c>
      <c r="M109" s="2349">
        <f>(-0.214*(M108^2)-21.991*M108+4665)*(10^(-4))/M101</f>
        <v>0.46650000000000003</v>
      </c>
      <c r="N109" s="2349">
        <f>(-0.214*(N108^2)-21.991*N108+4665)*(10^(-4))/N101</f>
        <v>0.46650000000000003</v>
      </c>
    </row>
    <row r="110" spans="1:14">
      <c r="A110" s="3380" t="s">
        <v>2799</v>
      </c>
      <c r="B110" s="3380"/>
      <c r="C110" s="3380"/>
      <c r="D110" s="3380"/>
      <c r="E110" s="3380"/>
      <c r="F110" s="3380"/>
      <c r="G110" s="3380"/>
      <c r="H110" s="3380"/>
      <c r="I110" s="3380"/>
      <c r="J110" s="3380"/>
      <c r="K110" s="2352"/>
      <c r="L110" s="2352"/>
      <c r="M110" s="2352"/>
      <c r="N110" s="2352"/>
    </row>
    <row r="112" spans="1:14" ht="13.5" thickBot="1"/>
    <row r="113" spans="1:13" ht="25.5" thickBot="1">
      <c r="A113" s="842" t="s">
        <v>2800</v>
      </c>
      <c r="B113" s="1197">
        <f>G3</f>
        <v>1</v>
      </c>
      <c r="C113" s="843" t="s">
        <v>2801</v>
      </c>
      <c r="D113" s="844">
        <f>SUMPRODUCT((A115:A118=F113)*(B114:M114=H113)*B115:M118)</f>
        <v>0</v>
      </c>
      <c r="E113" s="2188" t="s">
        <v>2634</v>
      </c>
      <c r="F113" s="2354">
        <f>E2</f>
        <v>0</v>
      </c>
      <c r="G113" s="2188" t="s">
        <v>2635</v>
      </c>
      <c r="H113" s="2354">
        <f>G2</f>
        <v>0</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0.92410000000000003</v>
      </c>
      <c r="C115" s="849">
        <f>B115</f>
        <v>0.92410000000000003</v>
      </c>
      <c r="D115" s="849">
        <f>ROUND(0.8331-0.0109*B113,4)</f>
        <v>0.82220000000000004</v>
      </c>
      <c r="E115" s="849">
        <f>D115</f>
        <v>0.82220000000000004</v>
      </c>
      <c r="F115" s="849">
        <f>E115</f>
        <v>0.82220000000000004</v>
      </c>
      <c r="G115" s="849">
        <f>F115</f>
        <v>0.82220000000000004</v>
      </c>
      <c r="H115" s="849">
        <f>G115</f>
        <v>0.82220000000000004</v>
      </c>
      <c r="I115" s="849">
        <f>ROUND(0.689-0.0155*B113,4)</f>
        <v>0.67349999999999999</v>
      </c>
      <c r="J115" s="849">
        <f t="shared" ref="J115:M118" si="33">I115</f>
        <v>0.67349999999999999</v>
      </c>
      <c r="K115" s="849">
        <f t="shared" si="33"/>
        <v>0.67349999999999999</v>
      </c>
      <c r="L115" s="849">
        <f t="shared" si="33"/>
        <v>0.67349999999999999</v>
      </c>
      <c r="M115" s="850">
        <f t="shared" si="33"/>
        <v>0.67349999999999999</v>
      </c>
    </row>
    <row r="116" spans="1:13">
      <c r="A116" s="848" t="s">
        <v>2700</v>
      </c>
      <c r="B116" s="849">
        <f>ROUND(0.949-0.012*B113,4)</f>
        <v>0.93700000000000006</v>
      </c>
      <c r="C116" s="849">
        <f>B116</f>
        <v>0.93700000000000006</v>
      </c>
      <c r="D116" s="849">
        <f>ROUND(0.8567-0.013*B113,4)</f>
        <v>0.84370000000000001</v>
      </c>
      <c r="E116" s="849">
        <f t="shared" ref="E116:H117" si="34">D116</f>
        <v>0.84370000000000001</v>
      </c>
      <c r="F116" s="849">
        <f t="shared" si="34"/>
        <v>0.84370000000000001</v>
      </c>
      <c r="G116" s="849">
        <f t="shared" si="34"/>
        <v>0.84370000000000001</v>
      </c>
      <c r="H116" s="849">
        <f t="shared" si="34"/>
        <v>0.84370000000000001</v>
      </c>
      <c r="I116" s="849">
        <f>ROUND(0.7694-0.014*B113,4)</f>
        <v>0.75539999999999996</v>
      </c>
      <c r="J116" s="849">
        <f t="shared" si="33"/>
        <v>0.75539999999999996</v>
      </c>
      <c r="K116" s="849">
        <f t="shared" si="33"/>
        <v>0.75539999999999996</v>
      </c>
      <c r="L116" s="849">
        <f t="shared" si="33"/>
        <v>0.75539999999999996</v>
      </c>
      <c r="M116" s="850">
        <f t="shared" si="33"/>
        <v>0.75539999999999996</v>
      </c>
    </row>
    <row r="117" spans="1:13">
      <c r="A117" s="848" t="s">
        <v>2701</v>
      </c>
      <c r="B117" s="849">
        <f>ROUND(0.8808-0.006*B113,4)</f>
        <v>0.87480000000000002</v>
      </c>
      <c r="C117" s="849">
        <f>B117</f>
        <v>0.87480000000000002</v>
      </c>
      <c r="D117" s="849">
        <f>ROUND(0.8748-0.008*B113,4)</f>
        <v>0.86680000000000001</v>
      </c>
      <c r="E117" s="849">
        <f t="shared" si="34"/>
        <v>0.86680000000000001</v>
      </c>
      <c r="F117" s="849">
        <f t="shared" si="34"/>
        <v>0.86680000000000001</v>
      </c>
      <c r="G117" s="849">
        <f t="shared" si="34"/>
        <v>0.86680000000000001</v>
      </c>
      <c r="H117" s="849">
        <f t="shared" si="34"/>
        <v>0.86680000000000001</v>
      </c>
      <c r="I117" s="849">
        <f>ROUND(0.7412-0.0095*B113,4)</f>
        <v>0.73170000000000002</v>
      </c>
      <c r="J117" s="849">
        <f t="shared" si="33"/>
        <v>0.73170000000000002</v>
      </c>
      <c r="K117" s="849">
        <f t="shared" si="33"/>
        <v>0.73170000000000002</v>
      </c>
      <c r="L117" s="849">
        <f t="shared" si="33"/>
        <v>0.73170000000000002</v>
      </c>
      <c r="M117" s="850">
        <f t="shared" si="33"/>
        <v>0.73170000000000002</v>
      </c>
    </row>
    <row r="118" spans="1:13" ht="13.5" thickBot="1">
      <c r="A118" s="670" t="s">
        <v>2702</v>
      </c>
      <c r="B118" s="851">
        <f>ROUND(0.7275-0.01*B113,4)</f>
        <v>0.71750000000000003</v>
      </c>
      <c r="C118" s="851">
        <f>B118</f>
        <v>0.71750000000000003</v>
      </c>
      <c r="D118" s="851">
        <f>ROUND(0.7043-0.012*B113,4)</f>
        <v>0.69230000000000003</v>
      </c>
      <c r="E118" s="851">
        <f>D118</f>
        <v>0.69230000000000003</v>
      </c>
      <c r="F118" s="851">
        <f>E118</f>
        <v>0.69230000000000003</v>
      </c>
      <c r="G118" s="851">
        <f>ROUND(0.6299-0.0122*B113,4)</f>
        <v>0.61770000000000003</v>
      </c>
      <c r="H118" s="851">
        <f>G118</f>
        <v>0.61770000000000003</v>
      </c>
      <c r="I118" s="851">
        <f>ROUND(0.5667-0.0136*B113,4)</f>
        <v>0.55310000000000004</v>
      </c>
      <c r="J118" s="851">
        <f t="shared" si="33"/>
        <v>0.55310000000000004</v>
      </c>
      <c r="K118" s="851">
        <f t="shared" si="33"/>
        <v>0.55310000000000004</v>
      </c>
      <c r="L118" s="851">
        <f t="shared" si="33"/>
        <v>0.55310000000000004</v>
      </c>
      <c r="M118" s="852">
        <f t="shared" si="33"/>
        <v>0.55310000000000004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3" t="s">
        <v>183</v>
      </c>
      <c r="B18" s="821" t="s">
        <v>560</v>
      </c>
      <c r="C18" s="822" t="s">
        <v>561</v>
      </c>
      <c r="D18" s="823"/>
      <c r="E18" s="821">
        <v>1</v>
      </c>
      <c r="F18" s="824" t="s">
        <v>562</v>
      </c>
      <c r="G18" s="825"/>
      <c r="H18" s="817"/>
      <c r="I18" s="817"/>
    </row>
    <row r="19" spans="1:9" s="826" customFormat="1" ht="19.5" customHeight="1">
      <c r="A19" s="3393"/>
      <c r="B19" s="3393" t="s">
        <v>563</v>
      </c>
      <c r="C19" s="822" t="s">
        <v>564</v>
      </c>
      <c r="D19" s="823"/>
      <c r="E19" s="821">
        <v>0.9</v>
      </c>
      <c r="F19" s="824" t="s">
        <v>565</v>
      </c>
      <c r="G19" s="825"/>
      <c r="H19" s="817"/>
      <c r="I19" s="817"/>
    </row>
    <row r="20" spans="1:9" s="826" customFormat="1" ht="19.5" customHeight="1">
      <c r="A20" s="3393"/>
      <c r="B20" s="3393"/>
      <c r="C20" s="822" t="s">
        <v>566</v>
      </c>
      <c r="D20" s="823"/>
      <c r="E20" s="821">
        <v>1.1000000000000001</v>
      </c>
      <c r="F20" s="824" t="s">
        <v>567</v>
      </c>
      <c r="G20" s="825"/>
      <c r="H20" s="817"/>
      <c r="I20" s="817"/>
    </row>
    <row r="21" spans="1:9" s="826" customFormat="1" ht="19.5" customHeight="1">
      <c r="A21" s="3393"/>
      <c r="B21" s="3393"/>
      <c r="C21" s="822" t="s">
        <v>568</v>
      </c>
      <c r="D21" s="823"/>
      <c r="E21" s="821">
        <v>0.8</v>
      </c>
      <c r="F21" s="824" t="s">
        <v>569</v>
      </c>
      <c r="G21" s="825"/>
      <c r="H21" s="817"/>
      <c r="I21" s="817"/>
    </row>
    <row r="22" spans="1:9" s="826" customFormat="1" ht="19.5" customHeight="1">
      <c r="A22" s="3393"/>
      <c r="B22" s="3393"/>
      <c r="C22" s="822" t="s">
        <v>570</v>
      </c>
      <c r="D22" s="823"/>
      <c r="E22" s="821">
        <v>0.5</v>
      </c>
      <c r="F22" s="824"/>
      <c r="G22" s="825"/>
      <c r="H22" s="817"/>
      <c r="I22" s="817"/>
    </row>
    <row r="23" spans="1:9" s="826" customFormat="1" ht="19.5" customHeight="1">
      <c r="A23" s="3393" t="s">
        <v>184</v>
      </c>
      <c r="B23" s="821" t="s">
        <v>560</v>
      </c>
      <c r="C23" s="822" t="s">
        <v>571</v>
      </c>
      <c r="D23" s="823"/>
      <c r="E23" s="821">
        <v>1</v>
      </c>
      <c r="F23" s="824" t="s">
        <v>572</v>
      </c>
      <c r="G23" s="825"/>
      <c r="H23" s="817"/>
      <c r="I23" s="817"/>
    </row>
    <row r="24" spans="1:9" s="826" customFormat="1" ht="19.5" customHeight="1">
      <c r="A24" s="3393"/>
      <c r="B24" s="3393" t="s">
        <v>563</v>
      </c>
      <c r="C24" s="822" t="s">
        <v>573</v>
      </c>
      <c r="D24" s="823"/>
      <c r="E24" s="821">
        <v>0.5</v>
      </c>
      <c r="F24" s="824"/>
      <c r="G24" s="825"/>
      <c r="H24" s="817"/>
      <c r="I24" s="817"/>
    </row>
    <row r="25" spans="1:9" s="826" customFormat="1" ht="19.5" customHeight="1">
      <c r="A25" s="3393"/>
      <c r="B25" s="3393"/>
      <c r="C25" s="822" t="s">
        <v>574</v>
      </c>
      <c r="D25" s="823"/>
      <c r="E25" s="821">
        <v>1.1000000000000001</v>
      </c>
      <c r="F25" s="824"/>
      <c r="G25" s="825"/>
      <c r="H25" s="817"/>
      <c r="I25" s="817"/>
    </row>
    <row r="26" spans="1:9" s="826" customFormat="1" ht="19.5" customHeight="1">
      <c r="A26" s="3393"/>
      <c r="B26" s="3393"/>
      <c r="C26" s="822" t="s">
        <v>575</v>
      </c>
      <c r="D26" s="823"/>
      <c r="E26" s="821">
        <v>1.1000000000000001</v>
      </c>
      <c r="F26" s="824"/>
      <c r="G26" s="825"/>
      <c r="H26" s="817"/>
      <c r="I26" s="817"/>
    </row>
    <row r="27" spans="1:9" s="826" customFormat="1" ht="19.5" customHeight="1">
      <c r="A27" s="3393"/>
      <c r="B27" s="3393"/>
      <c r="C27" s="822" t="s">
        <v>576</v>
      </c>
      <c r="D27" s="823"/>
      <c r="E27" s="821">
        <v>0.9</v>
      </c>
      <c r="F27" s="824" t="s">
        <v>577</v>
      </c>
      <c r="G27" s="825"/>
      <c r="H27" s="817"/>
      <c r="I27" s="817"/>
    </row>
    <row r="28" spans="1:9" s="826" customFormat="1" ht="19.5" customHeight="1">
      <c r="A28" s="3393"/>
      <c r="B28" s="3393"/>
      <c r="C28" s="822" t="s">
        <v>578</v>
      </c>
      <c r="D28" s="823"/>
      <c r="E28" s="821">
        <v>0.9</v>
      </c>
      <c r="F28" s="824" t="s">
        <v>579</v>
      </c>
      <c r="G28" s="825"/>
      <c r="H28" s="817"/>
      <c r="I28" s="817"/>
    </row>
    <row r="29" spans="1:9" s="826" customFormat="1" ht="19.5" customHeight="1">
      <c r="A29" s="3393"/>
      <c r="B29" s="3393"/>
      <c r="C29" s="822" t="s">
        <v>580</v>
      </c>
      <c r="D29" s="823"/>
      <c r="E29" s="821">
        <v>0.9</v>
      </c>
      <c r="F29" s="824" t="s">
        <v>581</v>
      </c>
      <c r="G29" s="825"/>
      <c r="H29" s="817"/>
      <c r="I29" s="817"/>
    </row>
    <row r="30" spans="1:9" s="826" customFormat="1" ht="19.5" customHeight="1">
      <c r="A30" s="3393"/>
      <c r="B30" s="3393"/>
      <c r="C30" s="822" t="s">
        <v>582</v>
      </c>
      <c r="D30" s="823"/>
      <c r="E30" s="821">
        <v>0.9</v>
      </c>
      <c r="F30" s="824" t="s">
        <v>583</v>
      </c>
      <c r="G30" s="825"/>
      <c r="H30" s="817"/>
      <c r="I30" s="817"/>
    </row>
    <row r="31" spans="1:9" s="826" customFormat="1" ht="19.5" customHeight="1">
      <c r="A31" s="3393"/>
      <c r="B31" s="3393"/>
      <c r="C31" s="822" t="s">
        <v>584</v>
      </c>
      <c r="D31" s="823"/>
      <c r="E31" s="821">
        <v>0.8</v>
      </c>
      <c r="F31" s="824" t="s">
        <v>585</v>
      </c>
      <c r="G31" s="825"/>
      <c r="H31" s="817"/>
      <c r="I31" s="817"/>
    </row>
    <row r="32" spans="1:9" s="826" customFormat="1" ht="19.5" customHeight="1">
      <c r="A32" s="3393"/>
      <c r="B32" s="3393"/>
      <c r="C32" s="822" t="s">
        <v>586</v>
      </c>
      <c r="D32" s="823"/>
      <c r="E32" s="821">
        <v>0.8</v>
      </c>
      <c r="F32" s="824" t="s">
        <v>587</v>
      </c>
      <c r="G32" s="825"/>
      <c r="H32" s="817"/>
      <c r="I32" s="817"/>
    </row>
    <row r="33" spans="1:9" s="826" customFormat="1" ht="19.5" customHeight="1">
      <c r="A33" s="3393" t="s">
        <v>185</v>
      </c>
      <c r="B33" s="821" t="s">
        <v>560</v>
      </c>
      <c r="C33" s="822" t="s">
        <v>588</v>
      </c>
      <c r="D33" s="823"/>
      <c r="E33" s="821">
        <v>1</v>
      </c>
      <c r="F33" s="824" t="s">
        <v>589</v>
      </c>
      <c r="G33" s="825"/>
      <c r="H33" s="817"/>
      <c r="I33" s="817"/>
    </row>
    <row r="34" spans="1:9" s="826" customFormat="1" ht="19.5" customHeight="1">
      <c r="A34" s="3393"/>
      <c r="B34" s="821" t="s">
        <v>563</v>
      </c>
      <c r="C34" s="822" t="s">
        <v>590</v>
      </c>
      <c r="D34" s="823"/>
      <c r="E34" s="821">
        <v>1.5</v>
      </c>
      <c r="F34" s="824" t="s">
        <v>591</v>
      </c>
      <c r="G34" s="825"/>
      <c r="H34" s="817"/>
      <c r="I34" s="817"/>
    </row>
    <row r="35" spans="1:9" s="826" customFormat="1" ht="19.5" customHeight="1">
      <c r="A35" s="3393" t="s">
        <v>186</v>
      </c>
      <c r="B35" s="821" t="s">
        <v>560</v>
      </c>
      <c r="C35" s="822" t="s">
        <v>592</v>
      </c>
      <c r="D35" s="823"/>
      <c r="E35" s="821">
        <v>1</v>
      </c>
      <c r="F35" s="824" t="s">
        <v>593</v>
      </c>
      <c r="G35" s="825"/>
      <c r="H35" s="817"/>
      <c r="I35" s="817"/>
    </row>
    <row r="36" spans="1:9" s="826" customFormat="1" ht="19.5" customHeight="1">
      <c r="A36" s="3393"/>
      <c r="B36" s="3393" t="s">
        <v>563</v>
      </c>
      <c r="C36" s="822" t="s">
        <v>594</v>
      </c>
      <c r="D36" s="823"/>
      <c r="E36" s="821">
        <v>1</v>
      </c>
      <c r="F36" s="824" t="s">
        <v>595</v>
      </c>
      <c r="G36" s="825"/>
      <c r="H36" s="817"/>
      <c r="I36" s="817"/>
    </row>
    <row r="37" spans="1:9" s="826" customFormat="1" ht="19.5" customHeight="1">
      <c r="A37" s="3393"/>
      <c r="B37" s="3393"/>
      <c r="C37" s="822" t="s">
        <v>596</v>
      </c>
      <c r="D37" s="823"/>
      <c r="E37" s="821">
        <v>1.5</v>
      </c>
      <c r="F37" s="824" t="s">
        <v>597</v>
      </c>
      <c r="G37" s="825"/>
      <c r="H37" s="817"/>
      <c r="I37" s="817"/>
    </row>
    <row r="38" spans="1:9" s="826" customFormat="1" ht="19.5" customHeight="1">
      <c r="A38" s="3393"/>
      <c r="B38" s="3393"/>
      <c r="C38" s="822" t="s">
        <v>598</v>
      </c>
      <c r="D38" s="823"/>
      <c r="E38" s="821">
        <v>1</v>
      </c>
      <c r="F38" s="824" t="s">
        <v>599</v>
      </c>
      <c r="G38" s="825"/>
      <c r="H38" s="817"/>
      <c r="I38" s="817"/>
    </row>
    <row r="39" spans="1:9" s="826" customFormat="1" ht="19.5" customHeight="1">
      <c r="A39" s="3393"/>
      <c r="B39" s="339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3" t="s">
        <v>614</v>
      </c>
      <c r="C61" s="757" t="s">
        <v>615</v>
      </c>
      <c r="D61" s="757" t="s">
        <v>616</v>
      </c>
      <c r="E61" s="834">
        <v>0.5</v>
      </c>
      <c r="F61" s="821">
        <v>80</v>
      </c>
    </row>
    <row r="62" spans="1:8" s="817" customFormat="1" ht="24">
      <c r="A62" s="821">
        <v>2</v>
      </c>
      <c r="B62" s="3393"/>
      <c r="C62" s="757" t="s">
        <v>617</v>
      </c>
      <c r="D62" s="757" t="s">
        <v>618</v>
      </c>
      <c r="E62" s="834">
        <v>0.5</v>
      </c>
      <c r="F62" s="821">
        <v>80</v>
      </c>
    </row>
    <row r="63" spans="1:8" s="817" customFormat="1" ht="36">
      <c r="A63" s="821">
        <v>3</v>
      </c>
      <c r="B63" s="3393"/>
      <c r="C63" s="757" t="s">
        <v>619</v>
      </c>
      <c r="D63" s="757" t="s">
        <v>620</v>
      </c>
      <c r="E63" s="834">
        <v>0.5</v>
      </c>
      <c r="F63" s="821">
        <v>80</v>
      </c>
    </row>
    <row r="64" spans="1:8" s="817" customFormat="1" ht="36">
      <c r="A64" s="821">
        <v>4</v>
      </c>
      <c r="B64" s="3393"/>
      <c r="C64" s="757" t="s">
        <v>621</v>
      </c>
      <c r="D64" s="757" t="s">
        <v>622</v>
      </c>
      <c r="E64" s="834">
        <v>0.4</v>
      </c>
      <c r="F64" s="821">
        <v>60</v>
      </c>
    </row>
    <row r="65" spans="1:6" s="817" customFormat="1" ht="36">
      <c r="A65" s="821">
        <v>5</v>
      </c>
      <c r="B65" s="3393"/>
      <c r="C65" s="757" t="s">
        <v>623</v>
      </c>
      <c r="D65" s="757" t="s">
        <v>624</v>
      </c>
      <c r="E65" s="834">
        <v>0.2</v>
      </c>
      <c r="F65" s="821">
        <v>30</v>
      </c>
    </row>
    <row r="66" spans="1:6" s="817" customFormat="1" ht="36">
      <c r="A66" s="821">
        <v>6</v>
      </c>
      <c r="B66" s="3393"/>
      <c r="C66" s="757" t="s">
        <v>625</v>
      </c>
      <c r="D66" s="757" t="s">
        <v>626</v>
      </c>
      <c r="E66" s="834">
        <v>0.3</v>
      </c>
      <c r="F66" s="821">
        <v>50</v>
      </c>
    </row>
    <row r="67" spans="1:6" s="817" customFormat="1" ht="36">
      <c r="A67" s="821">
        <v>7</v>
      </c>
      <c r="B67" s="3393"/>
      <c r="C67" s="757" t="s">
        <v>627</v>
      </c>
      <c r="D67" s="757" t="s">
        <v>628</v>
      </c>
      <c r="E67" s="834">
        <v>0.2</v>
      </c>
      <c r="F67" s="821">
        <v>30</v>
      </c>
    </row>
    <row r="68" spans="1:6" s="817" customFormat="1" ht="36">
      <c r="A68" s="821">
        <v>8</v>
      </c>
      <c r="B68" s="3393"/>
      <c r="C68" s="757" t="s">
        <v>629</v>
      </c>
      <c r="D68" s="757" t="s">
        <v>630</v>
      </c>
      <c r="E68" s="834">
        <v>0.2</v>
      </c>
      <c r="F68" s="821">
        <v>30</v>
      </c>
    </row>
    <row r="69" spans="1:6" s="817" customFormat="1" ht="36">
      <c r="A69" s="821">
        <v>9</v>
      </c>
      <c r="B69" s="3393"/>
      <c r="C69" s="757" t="s">
        <v>631</v>
      </c>
      <c r="D69" s="757" t="s">
        <v>632</v>
      </c>
      <c r="E69" s="834">
        <v>0.2</v>
      </c>
      <c r="F69" s="821">
        <v>30</v>
      </c>
    </row>
    <row r="70" spans="1:6" s="817" customFormat="1" ht="48">
      <c r="A70" s="821">
        <v>10</v>
      </c>
      <c r="B70" s="3393"/>
      <c r="C70" s="757" t="s">
        <v>633</v>
      </c>
      <c r="D70" s="757" t="s">
        <v>634</v>
      </c>
      <c r="E70" s="834">
        <v>0.2</v>
      </c>
      <c r="F70" s="821">
        <v>30</v>
      </c>
    </row>
    <row r="71" spans="1:6" s="817" customFormat="1" ht="48">
      <c r="A71" s="821">
        <v>11</v>
      </c>
      <c r="B71" s="3393"/>
      <c r="C71" s="757" t="s">
        <v>635</v>
      </c>
      <c r="D71" s="757" t="s">
        <v>636</v>
      </c>
      <c r="E71" s="834">
        <v>0.2</v>
      </c>
      <c r="F71" s="821">
        <v>30</v>
      </c>
    </row>
    <row r="72" spans="1:6" s="817" customFormat="1" ht="36">
      <c r="A72" s="821">
        <v>12</v>
      </c>
      <c r="B72" s="3393"/>
      <c r="C72" s="757" t="s">
        <v>637</v>
      </c>
      <c r="D72" s="757" t="s">
        <v>638</v>
      </c>
      <c r="E72" s="834">
        <v>0.5</v>
      </c>
      <c r="F72" s="821">
        <v>80</v>
      </c>
    </row>
    <row r="73" spans="1:6" s="817" customFormat="1" ht="24">
      <c r="A73" s="821">
        <v>13</v>
      </c>
      <c r="B73" s="3393"/>
      <c r="C73" s="757" t="s">
        <v>639</v>
      </c>
      <c r="D73" s="757" t="s">
        <v>640</v>
      </c>
      <c r="E73" s="834">
        <v>0.4</v>
      </c>
      <c r="F73" s="821">
        <v>60</v>
      </c>
    </row>
    <row r="74" spans="1:6" s="817" customFormat="1" ht="24">
      <c r="A74" s="821">
        <v>14</v>
      </c>
      <c r="B74" s="3393"/>
      <c r="C74" s="757" t="s">
        <v>641</v>
      </c>
      <c r="D74" s="757" t="s">
        <v>642</v>
      </c>
      <c r="E74" s="834">
        <v>0.2</v>
      </c>
      <c r="F74" s="821">
        <v>30</v>
      </c>
    </row>
    <row r="75" spans="1:6" s="817" customFormat="1" ht="24">
      <c r="A75" s="821">
        <v>15</v>
      </c>
      <c r="B75" s="3393"/>
      <c r="C75" s="757" t="s">
        <v>643</v>
      </c>
      <c r="D75" s="757" t="s">
        <v>644</v>
      </c>
      <c r="E75" s="834">
        <v>0.2</v>
      </c>
      <c r="F75" s="821">
        <v>30</v>
      </c>
    </row>
    <row r="76" spans="1:6" s="817" customFormat="1" ht="24">
      <c r="A76" s="821">
        <v>16</v>
      </c>
      <c r="B76" s="3393" t="s">
        <v>645</v>
      </c>
      <c r="C76" s="757" t="s">
        <v>646</v>
      </c>
      <c r="D76" s="757" t="s">
        <v>647</v>
      </c>
      <c r="E76" s="834">
        <v>0.5</v>
      </c>
      <c r="F76" s="821">
        <v>80</v>
      </c>
    </row>
    <row r="77" spans="1:6" s="817" customFormat="1" ht="24">
      <c r="A77" s="821">
        <v>17</v>
      </c>
      <c r="B77" s="3393"/>
      <c r="C77" s="757" t="s">
        <v>648</v>
      </c>
      <c r="D77" s="757" t="s">
        <v>649</v>
      </c>
      <c r="E77" s="834">
        <v>0.5</v>
      </c>
      <c r="F77" s="821">
        <v>80</v>
      </c>
    </row>
    <row r="78" spans="1:6" s="817" customFormat="1" ht="24">
      <c r="A78" s="821">
        <v>18</v>
      </c>
      <c r="B78" s="3393"/>
      <c r="C78" s="757" t="s">
        <v>650</v>
      </c>
      <c r="D78" s="757" t="s">
        <v>651</v>
      </c>
      <c r="E78" s="834">
        <v>0.2</v>
      </c>
      <c r="F78" s="821">
        <v>30</v>
      </c>
    </row>
    <row r="79" spans="1:6" s="817" customFormat="1" ht="24">
      <c r="A79" s="821">
        <v>19</v>
      </c>
      <c r="B79" s="3393"/>
      <c r="C79" s="757" t="s">
        <v>652</v>
      </c>
      <c r="D79" s="757" t="s">
        <v>653</v>
      </c>
      <c r="E79" s="834">
        <v>0.5</v>
      </c>
      <c r="F79" s="821">
        <v>80</v>
      </c>
    </row>
    <row r="80" spans="1:6" s="817" customFormat="1" ht="36">
      <c r="A80" s="821">
        <v>20</v>
      </c>
      <c r="B80" s="3393"/>
      <c r="C80" s="757" t="s">
        <v>654</v>
      </c>
      <c r="D80" s="757" t="s">
        <v>655</v>
      </c>
      <c r="E80" s="834">
        <v>0.2</v>
      </c>
      <c r="F80" s="821">
        <v>30</v>
      </c>
    </row>
    <row r="81" spans="1:6" s="817" customFormat="1" ht="36">
      <c r="A81" s="821">
        <v>21</v>
      </c>
      <c r="B81" s="3393"/>
      <c r="C81" s="757" t="s">
        <v>656</v>
      </c>
      <c r="D81" s="757" t="s">
        <v>657</v>
      </c>
      <c r="E81" s="834">
        <v>0.2</v>
      </c>
      <c r="F81" s="821">
        <v>30</v>
      </c>
    </row>
    <row r="82" spans="1:6" s="817" customFormat="1" ht="48">
      <c r="A82" s="821">
        <v>22</v>
      </c>
      <c r="B82" s="3393"/>
      <c r="C82" s="757" t="s">
        <v>658</v>
      </c>
      <c r="D82" s="757" t="s">
        <v>659</v>
      </c>
      <c r="E82" s="834">
        <v>0.2</v>
      </c>
      <c r="F82" s="821">
        <v>30</v>
      </c>
    </row>
    <row r="83" spans="1:6" s="817" customFormat="1" ht="48">
      <c r="A83" s="821">
        <v>23</v>
      </c>
      <c r="B83" s="3393"/>
      <c r="C83" s="757" t="s">
        <v>660</v>
      </c>
      <c r="D83" s="757" t="s">
        <v>661</v>
      </c>
      <c r="E83" s="834">
        <v>0.2</v>
      </c>
      <c r="F83" s="821">
        <v>30</v>
      </c>
    </row>
    <row r="84" spans="1:6" s="817" customFormat="1" ht="36">
      <c r="A84" s="821">
        <v>24</v>
      </c>
      <c r="B84" s="3393"/>
      <c r="C84" s="757" t="s">
        <v>662</v>
      </c>
      <c r="D84" s="757" t="s">
        <v>663</v>
      </c>
      <c r="E84" s="834">
        <v>0.2</v>
      </c>
      <c r="F84" s="821">
        <v>30</v>
      </c>
    </row>
    <row r="85" spans="1:6" s="817" customFormat="1" ht="36">
      <c r="A85" s="821">
        <v>25</v>
      </c>
      <c r="B85" s="3393"/>
      <c r="C85" s="757" t="s">
        <v>664</v>
      </c>
      <c r="D85" s="757" t="s">
        <v>665</v>
      </c>
      <c r="E85" s="834">
        <v>0.5</v>
      </c>
      <c r="F85" s="821">
        <v>80</v>
      </c>
    </row>
    <row r="86" spans="1:6" s="817" customFormat="1" ht="36">
      <c r="A86" s="821">
        <v>26</v>
      </c>
      <c r="B86" s="3393"/>
      <c r="C86" s="757" t="s">
        <v>666</v>
      </c>
      <c r="D86" s="757" t="s">
        <v>667</v>
      </c>
      <c r="E86" s="834">
        <v>0.2</v>
      </c>
      <c r="F86" s="821">
        <v>30</v>
      </c>
    </row>
    <row r="87" spans="1:6" s="817" customFormat="1" ht="36">
      <c r="A87" s="821">
        <v>27</v>
      </c>
      <c r="B87" s="3393"/>
      <c r="C87" s="757" t="s">
        <v>668</v>
      </c>
      <c r="D87" s="757" t="s">
        <v>669</v>
      </c>
      <c r="E87" s="834">
        <v>0.2</v>
      </c>
      <c r="F87" s="821">
        <v>30</v>
      </c>
    </row>
    <row r="88" spans="1:6" s="817" customFormat="1" ht="36">
      <c r="A88" s="821">
        <v>28</v>
      </c>
      <c r="B88" s="3393"/>
      <c r="C88" s="757" t="s">
        <v>670</v>
      </c>
      <c r="D88" s="757" t="s">
        <v>671</v>
      </c>
      <c r="E88" s="834">
        <v>0.2</v>
      </c>
      <c r="F88" s="821">
        <v>30</v>
      </c>
    </row>
    <row r="89" spans="1:6" s="817" customFormat="1" ht="24">
      <c r="A89" s="821">
        <v>29</v>
      </c>
      <c r="B89" s="3393"/>
      <c r="C89" s="757" t="s">
        <v>672</v>
      </c>
      <c r="D89" s="757" t="s">
        <v>673</v>
      </c>
      <c r="E89" s="834">
        <v>0.2</v>
      </c>
      <c r="F89" s="821">
        <v>30</v>
      </c>
    </row>
    <row r="90" spans="1:6" s="817" customFormat="1" ht="24">
      <c r="A90" s="821">
        <v>30</v>
      </c>
      <c r="B90" s="3393"/>
      <c r="C90" s="757" t="s">
        <v>674</v>
      </c>
      <c r="D90" s="757" t="s">
        <v>675</v>
      </c>
      <c r="E90" s="834">
        <v>0.2</v>
      </c>
      <c r="F90" s="821">
        <v>30</v>
      </c>
    </row>
    <row r="91" spans="1:6" s="817" customFormat="1" ht="36">
      <c r="A91" s="821">
        <v>31</v>
      </c>
      <c r="B91" s="3393"/>
      <c r="C91" s="757" t="s">
        <v>676</v>
      </c>
      <c r="D91" s="757" t="s">
        <v>677</v>
      </c>
      <c r="E91" s="834">
        <v>0.2</v>
      </c>
      <c r="F91" s="821">
        <v>30</v>
      </c>
    </row>
    <row r="92" spans="1:6" s="817" customFormat="1" ht="24">
      <c r="A92" s="821">
        <v>32</v>
      </c>
      <c r="B92" s="3393" t="s">
        <v>678</v>
      </c>
      <c r="C92" s="821" t="s">
        <v>679</v>
      </c>
      <c r="D92" s="757" t="s">
        <v>680</v>
      </c>
      <c r="E92" s="834">
        <v>0.2</v>
      </c>
      <c r="F92" s="821">
        <v>30</v>
      </c>
    </row>
    <row r="93" spans="1:6" s="817" customFormat="1" ht="36">
      <c r="A93" s="821">
        <v>33</v>
      </c>
      <c r="B93" s="3393"/>
      <c r="C93" s="821" t="s">
        <v>681</v>
      </c>
      <c r="D93" s="757" t="s">
        <v>682</v>
      </c>
      <c r="E93" s="834">
        <v>0.2</v>
      </c>
      <c r="F93" s="821">
        <v>30</v>
      </c>
    </row>
    <row r="94" spans="1:6" s="817" customFormat="1" ht="48">
      <c r="A94" s="821">
        <v>34</v>
      </c>
      <c r="B94" s="3393"/>
      <c r="C94" s="821" t="s">
        <v>683</v>
      </c>
      <c r="D94" s="757" t="s">
        <v>684</v>
      </c>
      <c r="E94" s="834">
        <v>0.2</v>
      </c>
      <c r="F94" s="821">
        <v>30</v>
      </c>
    </row>
    <row r="95" spans="1:6" s="817" customFormat="1" ht="36">
      <c r="A95" s="821">
        <v>35</v>
      </c>
      <c r="B95" s="3393"/>
      <c r="C95" s="821" t="s">
        <v>685</v>
      </c>
      <c r="D95" s="757" t="s">
        <v>686</v>
      </c>
      <c r="E95" s="834">
        <v>0.2</v>
      </c>
      <c r="F95" s="821">
        <v>30</v>
      </c>
    </row>
    <row r="96" spans="1:6" s="817" customFormat="1" ht="48">
      <c r="A96" s="821">
        <v>36</v>
      </c>
      <c r="B96" s="3393"/>
      <c r="C96" s="757" t="s">
        <v>687</v>
      </c>
      <c r="D96" s="757" t="s">
        <v>688</v>
      </c>
      <c r="E96" s="834">
        <v>0.2</v>
      </c>
      <c r="F96" s="821">
        <v>30</v>
      </c>
    </row>
    <row r="97" spans="1:6" s="817" customFormat="1" ht="36">
      <c r="A97" s="821">
        <v>37</v>
      </c>
      <c r="B97" s="3393"/>
      <c r="C97" s="821" t="s">
        <v>689</v>
      </c>
      <c r="D97" s="757" t="s">
        <v>690</v>
      </c>
      <c r="E97" s="834">
        <v>0.2</v>
      </c>
      <c r="F97" s="821">
        <v>30</v>
      </c>
    </row>
    <row r="98" spans="1:6" s="817" customFormat="1" ht="36">
      <c r="A98" s="821">
        <v>38</v>
      </c>
      <c r="B98" s="3393"/>
      <c r="C98" s="821" t="s">
        <v>691</v>
      </c>
      <c r="D98" s="757" t="s">
        <v>692</v>
      </c>
      <c r="E98" s="834">
        <v>0.2</v>
      </c>
      <c r="F98" s="821">
        <v>30</v>
      </c>
    </row>
    <row r="99" spans="1:6" s="817" customFormat="1" ht="36">
      <c r="A99" s="821">
        <v>39</v>
      </c>
      <c r="B99" s="3393" t="s">
        <v>693</v>
      </c>
      <c r="C99" s="821" t="s">
        <v>694</v>
      </c>
      <c r="D99" s="757" t="s">
        <v>695</v>
      </c>
      <c r="E99" s="834">
        <v>0.3</v>
      </c>
      <c r="F99" s="821">
        <v>50</v>
      </c>
    </row>
    <row r="100" spans="1:6" s="817" customFormat="1" ht="24">
      <c r="A100" s="821">
        <v>40</v>
      </c>
      <c r="B100" s="3393"/>
      <c r="C100" s="821" t="s">
        <v>696</v>
      </c>
      <c r="D100" s="757" t="s">
        <v>697</v>
      </c>
      <c r="E100" s="834">
        <v>0.2</v>
      </c>
      <c r="F100" s="821">
        <v>30</v>
      </c>
    </row>
    <row r="101" spans="1:6" s="817" customFormat="1" ht="36">
      <c r="A101" s="821">
        <v>41</v>
      </c>
      <c r="B101" s="339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3" t="s">
        <v>708</v>
      </c>
      <c r="C105" s="821" t="s">
        <v>709</v>
      </c>
      <c r="D105" s="757" t="s">
        <v>710</v>
      </c>
      <c r="E105" s="834">
        <v>0.2</v>
      </c>
      <c r="F105" s="821">
        <v>30</v>
      </c>
    </row>
    <row r="106" spans="1:6" s="817" customFormat="1" ht="36">
      <c r="A106" s="821">
        <v>46</v>
      </c>
      <c r="B106" s="3393"/>
      <c r="C106" s="821" t="s">
        <v>711</v>
      </c>
      <c r="D106" s="757" t="s">
        <v>712</v>
      </c>
      <c r="E106" s="834">
        <v>0.2</v>
      </c>
      <c r="F106" s="821">
        <v>30</v>
      </c>
    </row>
    <row r="107" spans="1:6" s="817" customFormat="1" ht="36">
      <c r="A107" s="821">
        <v>47</v>
      </c>
      <c r="B107" s="3393" t="s">
        <v>713</v>
      </c>
      <c r="C107" s="821" t="s">
        <v>714</v>
      </c>
      <c r="D107" s="757" t="s">
        <v>715</v>
      </c>
      <c r="E107" s="834">
        <v>0.3</v>
      </c>
      <c r="F107" s="821">
        <v>50</v>
      </c>
    </row>
    <row r="108" spans="1:6" s="817" customFormat="1" ht="36">
      <c r="A108" s="821">
        <v>48</v>
      </c>
      <c r="B108" s="339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3" t="s">
        <v>724</v>
      </c>
      <c r="C111" s="821" t="s">
        <v>725</v>
      </c>
      <c r="D111" s="757" t="s">
        <v>726</v>
      </c>
      <c r="E111" s="834">
        <v>0.2</v>
      </c>
      <c r="F111" s="821">
        <v>30</v>
      </c>
    </row>
    <row r="112" spans="1:6" s="817" customFormat="1" ht="24">
      <c r="A112" s="821">
        <v>52</v>
      </c>
      <c r="B112" s="3393"/>
      <c r="C112" s="821" t="s">
        <v>727</v>
      </c>
      <c r="D112" s="757" t="s">
        <v>728</v>
      </c>
      <c r="E112" s="834">
        <v>0.2</v>
      </c>
      <c r="F112" s="821">
        <v>30</v>
      </c>
    </row>
    <row r="113" spans="1:6" s="817" customFormat="1" ht="24">
      <c r="A113" s="821">
        <v>53</v>
      </c>
      <c r="B113" s="339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3" t="s">
        <v>737</v>
      </c>
      <c r="C116" s="821" t="s">
        <v>738</v>
      </c>
      <c r="D116" s="757" t="s">
        <v>739</v>
      </c>
      <c r="E116" s="834">
        <v>0.2</v>
      </c>
      <c r="F116" s="821">
        <v>30</v>
      </c>
    </row>
    <row r="117" spans="1:6" ht="36">
      <c r="A117" s="821">
        <v>57</v>
      </c>
      <c r="B117" s="339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1"/>
      <c r="C2" s="3081"/>
      <c r="D2" s="3081"/>
      <c r="E2" s="3081"/>
    </row>
    <row r="3" spans="1:5" ht="18">
      <c r="A3" s="3082" t="str">
        <f>IF(项目基本情况!B9="房地产市场价值","估价结果一览表（市场价值不需“结果表-1”）","估价结果一览表")</f>
        <v>估价结果一览表</v>
      </c>
      <c r="B3" s="3082"/>
      <c r="C3" s="3082"/>
      <c r="D3" s="3082"/>
      <c r="E3" s="3082"/>
    </row>
    <row r="4" spans="1:5" ht="19.5" thickBot="1">
      <c r="A4" s="1679"/>
      <c r="B4" s="3080" t="s">
        <v>1595</v>
      </c>
      <c r="C4" s="3080"/>
      <c r="D4" s="3080"/>
      <c r="E4" s="1679"/>
    </row>
    <row r="5" spans="1:5" ht="16.5" thickTop="1">
      <c r="A5" s="1677"/>
      <c r="B5" s="3078" t="s">
        <v>1587</v>
      </c>
      <c r="C5" s="1680" t="s">
        <v>1588</v>
      </c>
      <c r="D5" s="959">
        <f ca="1">结果表!H101</f>
        <v>4158</v>
      </c>
      <c r="E5" s="1677"/>
    </row>
    <row r="6" spans="1:5" ht="15.75">
      <c r="A6" s="1677"/>
      <c r="B6" s="3078"/>
      <c r="C6" s="1680" t="s">
        <v>1589</v>
      </c>
      <c r="D6" s="959" t="str">
        <f ca="1">NUMBERSTRING(INT(D5*10000),2)&amp;"元整"</f>
        <v>肆仟壹佰伍拾捌万元整</v>
      </c>
      <c r="E6" s="1677"/>
    </row>
    <row r="7" spans="1:5" ht="15.75">
      <c r="A7" s="1677"/>
      <c r="B7" s="3083"/>
      <c r="C7" s="1681" t="s">
        <v>1590</v>
      </c>
      <c r="D7" s="960">
        <f ca="1">结果表!H102</f>
        <v>1892</v>
      </c>
      <c r="E7" s="1677"/>
    </row>
    <row r="8" spans="1:5" ht="15.75">
      <c r="A8" s="1677"/>
      <c r="B8" s="3084" t="str">
        <f>结果表!E103</f>
        <v>2.估价师知悉的法定优先受偿款</v>
      </c>
      <c r="C8" s="1682" t="s">
        <v>1591</v>
      </c>
      <c r="D8" s="960">
        <f>结果表!H103</f>
        <v>0</v>
      </c>
      <c r="E8" s="1677"/>
    </row>
    <row r="9" spans="1:5" ht="15.75">
      <c r="A9" s="1677"/>
      <c r="B9" s="3086"/>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77" t="str">
        <f>结果表!E107</f>
        <v>3.房地产抵押价值</v>
      </c>
      <c r="C13" s="1685" t="s">
        <v>1588</v>
      </c>
      <c r="D13" s="962">
        <f ca="1">结果表!H107</f>
        <v>4158</v>
      </c>
      <c r="E13" s="1677"/>
    </row>
    <row r="14" spans="1:5" ht="15.75">
      <c r="A14" s="1677"/>
      <c r="B14" s="3078"/>
      <c r="C14" s="1680" t="s">
        <v>1589</v>
      </c>
      <c r="D14" s="959" t="str">
        <f ca="1">NUMBERSTRING(INT(D13*10000),2)&amp;"元整"</f>
        <v>肆仟壹佰伍拾捌万元整</v>
      </c>
      <c r="E14" s="1677"/>
    </row>
    <row r="15" spans="1:5" ht="15">
      <c r="A15" s="1677"/>
      <c r="B15" s="3083"/>
      <c r="C15" s="1681" t="s">
        <v>1599</v>
      </c>
      <c r="D15" s="968">
        <f ca="1">结果表!H108</f>
        <v>1892</v>
      </c>
      <c r="E15" s="1677"/>
    </row>
    <row r="16" spans="1:5" ht="15">
      <c r="A16" s="1677"/>
      <c r="B16" s="3084" t="str">
        <f>结果表!E109</f>
        <v>——</v>
      </c>
      <c r="C16" s="1685" t="s">
        <v>1600</v>
      </c>
      <c r="D16" s="1686" t="str">
        <f>结果表!H109</f>
        <v>——</v>
      </c>
      <c r="E16" s="1677"/>
    </row>
    <row r="17" spans="1:5" ht="15.75">
      <c r="A17" s="1677"/>
      <c r="B17" s="3085"/>
      <c r="C17" s="1680" t="s">
        <v>1601</v>
      </c>
      <c r="D17" s="959" t="e">
        <f>NUMBERSTRING(INT(D16*10000),2)&amp;"元整"</f>
        <v>#VALUE!</v>
      </c>
      <c r="E17" s="1677"/>
    </row>
    <row r="18" spans="1:5" ht="15">
      <c r="A18" s="1677"/>
      <c r="B18" s="3086"/>
      <c r="C18" s="1681" t="s">
        <v>1590</v>
      </c>
      <c r="D18" s="968" t="str">
        <f>结果表!H110</f>
        <v>——</v>
      </c>
      <c r="E18" s="1677"/>
    </row>
    <row r="19" spans="1:5" ht="15.75">
      <c r="A19" s="1677"/>
      <c r="B19" s="3077" t="str">
        <f>结果表!E111</f>
        <v>——</v>
      </c>
      <c r="C19" s="1685" t="s">
        <v>1588</v>
      </c>
      <c r="D19" s="960" t="str">
        <f>结果表!H111</f>
        <v>——</v>
      </c>
      <c r="E19" s="1677"/>
    </row>
    <row r="20" spans="1:5" ht="15.75">
      <c r="A20" s="1677"/>
      <c r="B20" s="3078"/>
      <c r="C20" s="1680" t="s">
        <v>1601</v>
      </c>
      <c r="D20" s="959" t="e">
        <f>NUMBERSTRING(INT(D19*10000),2)&amp;"元整"</f>
        <v>#VALUE!</v>
      </c>
      <c r="E20" s="1677"/>
    </row>
    <row r="21" spans="1:5" ht="15.75" thickBot="1">
      <c r="A21" s="1677"/>
      <c r="B21" s="3079"/>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t="e">
        <f ca="1">SUMIF(B6:B13,"&lt;&gt;#ref!",B6:B13)</f>
        <v>#DIV/0!</v>
      </c>
      <c r="C2" s="2361" t="s">
        <v>2815</v>
      </c>
      <c r="D2" s="2361" t="s">
        <v>2816</v>
      </c>
      <c r="E2" s="2838">
        <f ca="1">SUMIF(E6:E13,"&lt;&gt;#ref!",E6:E13)</f>
        <v>0</v>
      </c>
      <c r="F2" s="3024"/>
      <c r="G2" s="3024"/>
      <c r="H2" s="3024"/>
      <c r="I2" s="3024"/>
      <c r="J2" s="3024"/>
      <c r="K2" s="3024"/>
      <c r="L2" s="3024"/>
      <c r="M2" s="3024"/>
      <c r="N2" s="3024"/>
      <c r="O2" s="3024"/>
      <c r="P2" s="3024"/>
    </row>
    <row r="3" spans="1:16" ht="15.75">
      <c r="A3" s="2361" t="s">
        <v>2817</v>
      </c>
      <c r="B3" s="2828" t="e">
        <f ca="1">ROUND(B2*10000/E2,0)</f>
        <v>#DIV/0!</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t="e">
        <f ca="1">SUMIF(INDIRECT("'"&amp;A6&amp;"'"&amp;"!A:A"),"总价",INDIRECT("'"&amp;A6&amp;"'"&amp;"!B:B"))</f>
        <v>#DIV/0!</v>
      </c>
      <c r="C6" s="2361" t="s">
        <v>2815</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9" t="s">
        <v>1117</v>
      </c>
      <c r="C1" s="3399"/>
      <c r="D1" s="3399"/>
      <c r="E1" s="3399"/>
      <c r="F1" s="3399"/>
      <c r="G1" s="3398" t="s">
        <v>1118</v>
      </c>
      <c r="H1" s="3398"/>
      <c r="I1" s="3398"/>
      <c r="J1" s="3398"/>
      <c r="K1" s="3398"/>
      <c r="L1" s="3398"/>
      <c r="N1" s="3398" t="s">
        <v>1119</v>
      </c>
      <c r="O1" s="3398"/>
      <c r="P1" s="3398"/>
      <c r="Q1" s="3398"/>
      <c r="S1" s="3398" t="s">
        <v>1120</v>
      </c>
      <c r="T1" s="3398"/>
      <c r="U1" s="3398"/>
      <c r="V1" s="3398"/>
      <c r="X1" s="3397" t="s">
        <v>1121</v>
      </c>
      <c r="Y1" s="3398"/>
      <c r="Z1" s="3398"/>
      <c r="AA1" s="3398"/>
      <c r="AB1" s="3398"/>
      <c r="AD1" s="3397" t="s">
        <v>1122</v>
      </c>
      <c r="AE1" s="3398"/>
      <c r="AF1" s="3398"/>
      <c r="AG1" s="3398"/>
      <c r="AH1" s="339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3059</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43">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ROUND(IF(项目基本情况!B5="出让",SUMPRODUCT(PRODUCT(1+N5:N$33)),SUMPRODUCT(PRODUCT(1+N5:N$32))),4)</f>
        <v>1.571</v>
      </c>
      <c r="Y5" s="2421">
        <f>ROUND(IF(项目基本情况!B5="出让",SUMPRODUCT(PRODUCT(1+O5:O$33)),SUMPRODUCT(PRODUCT(1+O5:O$32))),4)</f>
        <v>1.3420000000000001</v>
      </c>
      <c r="Z5" s="2421">
        <f t="shared" ref="Z5" si="11">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 si="12">AE5</f>
        <v>1.0999999999999999E-2</v>
      </c>
      <c r="AG5" s="2422">
        <f>ROUND(AVERAGE(K5:K$33)/100,4)</f>
        <v>1.8499999999999999E-2</v>
      </c>
      <c r="AH5" s="2422">
        <f>ROUND(AVERAGE(L5:L$33)/100,4)</f>
        <v>1.1900000000000001E-2</v>
      </c>
    </row>
    <row r="6" spans="1:34" s="2430" customFormat="1">
      <c r="A6" s="2423" t="s">
        <v>3060</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43">
        <v>2020</v>
      </c>
      <c r="H6" s="2425">
        <v>4</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ref="Z6" si="22">Y6</f>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ref="AF6" si="23">AE6</f>
        <v>1.14E-2</v>
      </c>
      <c r="AG6" s="2429">
        <f>ROUND(AVERAGE(K6:K$33)/100,4)</f>
        <v>1.9199999999999998E-2</v>
      </c>
      <c r="AH6" s="2429">
        <f>ROUND(AVERAGE(L6:L$33)/100,4)</f>
        <v>1.23E-2</v>
      </c>
    </row>
    <row r="7" spans="1:34" s="2430" customFormat="1">
      <c r="A7" s="2423" t="s">
        <v>3058</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40">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2872</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2870</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2869</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2868</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2866</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2864</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2867</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395">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2862</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395"/>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2861</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395"/>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2854</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404"/>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2852</v>
      </c>
      <c r="B18" s="2438">
        <v>439</v>
      </c>
      <c r="C18" s="2438">
        <v>327</v>
      </c>
      <c r="D18" s="2438">
        <f>C18</f>
        <v>327</v>
      </c>
      <c r="E18" s="2438">
        <v>627</v>
      </c>
      <c r="F18" s="2439">
        <v>283</v>
      </c>
      <c r="G18" s="3400">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2853</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395"/>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395"/>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404"/>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400">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395"/>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395"/>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396"/>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394">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395"/>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395"/>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396"/>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394">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395"/>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395"/>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396"/>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401">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402"/>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402"/>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403"/>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394">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395"/>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395"/>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396"/>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394">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395">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395">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396">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394">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395">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395">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396">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394">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395">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395">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396">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394">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395">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395">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396">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394">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395">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395">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396">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394">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395">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395">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396">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394">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395">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395">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396">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394">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395">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395">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396">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394">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395">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395">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396">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394">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395">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395">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396">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8" t="s">
        <v>2825</v>
      </c>
      <c r="D1" s="3409"/>
      <c r="E1" s="3409"/>
      <c r="F1" s="3409"/>
      <c r="G1" s="3409"/>
      <c r="H1" s="3409"/>
      <c r="I1" s="3409"/>
      <c r="J1" s="3409"/>
      <c r="K1" s="3409"/>
      <c r="L1" s="3409"/>
      <c r="M1" s="3409"/>
      <c r="N1" s="3409"/>
      <c r="O1" s="3409"/>
      <c r="P1" s="3409"/>
      <c r="Q1" s="3409"/>
      <c r="R1" s="3409"/>
      <c r="S1" s="3410"/>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2828</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2829</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2830</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5"/>
      <c r="F19" s="1525"/>
      <c r="G19" s="1525"/>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6"/>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05" t="s">
        <v>33</v>
      </c>
      <c r="D22" s="3406"/>
      <c r="E22" s="3406"/>
      <c r="F22" s="3406"/>
      <c r="G22" s="3406"/>
      <c r="H22" s="3406"/>
      <c r="I22" s="3406"/>
      <c r="J22" s="3406"/>
      <c r="K22" s="3406"/>
      <c r="L22" s="3406"/>
      <c r="M22" s="3406"/>
      <c r="N22" s="3406"/>
      <c r="O22" s="3406"/>
      <c r="P22" s="3406"/>
      <c r="Q22" s="3407"/>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28017</v>
      </c>
      <c r="C2" s="2" t="s">
        <v>133</v>
      </c>
      <c r="D2" s="205"/>
      <c r="E2" s="205"/>
      <c r="F2" s="205"/>
      <c r="G2" s="205"/>
    </row>
    <row r="3" spans="1:7" s="206" customFormat="1" ht="18" customHeight="1" thickBot="1">
      <c r="A3" s="209" t="s">
        <v>85</v>
      </c>
      <c r="B3" s="210">
        <f ca="1">ROUND(B2*10000/'数据-汇总表'!E3,0)</f>
        <v>12749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40</v>
      </c>
      <c r="F9" s="227"/>
      <c r="G9" s="232"/>
    </row>
    <row r="10" spans="1:7" s="220" customFormat="1" ht="13.5" customHeight="1">
      <c r="A10" s="887" t="s">
        <v>801</v>
      </c>
      <c r="B10" s="230" t="s">
        <v>94</v>
      </c>
      <c r="C10" s="231">
        <f>ROUND(D10*E10/10000,0)</f>
        <v>88</v>
      </c>
      <c r="D10" s="954">
        <f>'数据-汇总表'!E6</f>
        <v>21976.32</v>
      </c>
      <c r="E10" s="231">
        <f>'数据-取费表'!B28</f>
        <v>40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330</v>
      </c>
      <c r="D19" s="958">
        <f>'数据-汇总表'!E3</f>
        <v>21976.32</v>
      </c>
      <c r="E19" s="217">
        <f>'数据-取费表'!B31</f>
        <v>150</v>
      </c>
      <c r="F19" s="237"/>
      <c r="G19" s="1" t="s">
        <v>1042</v>
      </c>
    </row>
    <row r="20" spans="1:7" s="220" customFormat="1" ht="13.5" customHeight="1">
      <c r="A20" s="885" t="s">
        <v>1025</v>
      </c>
      <c r="B20" s="216" t="s">
        <v>104</v>
      </c>
      <c r="C20" s="238">
        <f>ROUND((C5+C19)*F20,0)</f>
        <v>211</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924</v>
      </c>
      <c r="D22" s="241">
        <f ca="1">C26</f>
        <v>2.0000000000000001E-4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905</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14</v>
      </c>
      <c r="D24" s="244"/>
      <c r="E24" s="244"/>
      <c r="F24" s="245"/>
      <c r="G24" s="246" t="s">
        <v>109</v>
      </c>
    </row>
    <row r="25" spans="1:7" s="220" customFormat="1" ht="24">
      <c r="A25" s="888" t="s">
        <v>793</v>
      </c>
      <c r="B25" s="221" t="s">
        <v>1026</v>
      </c>
      <c r="C25" s="1265">
        <f ca="1">ROUND(IF('数据-取费表'!B22&lt;=1,C20*F22*'数据-取费表'!B23/2,C20*(POWER((1+F22),'数据-取费表'!B23/2)-1)),0)</f>
        <v>5</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4.75">
      <c r="A27" s="885" t="s">
        <v>787</v>
      </c>
      <c r="B27" s="250" t="s">
        <v>112</v>
      </c>
      <c r="C27" s="251">
        <f>C28</f>
        <v>1068</v>
      </c>
      <c r="D27" s="241">
        <f>C29</f>
        <v>5.0000000000000001E-4</v>
      </c>
      <c r="E27" s="242" t="s">
        <v>126</v>
      </c>
      <c r="F27" s="252">
        <f>'数据-取费表'!Q16</f>
        <v>0.05</v>
      </c>
      <c r="G27" s="253" t="s">
        <v>1037</v>
      </c>
    </row>
    <row r="28" spans="1:7" s="220" customFormat="1" ht="13.5" customHeight="1">
      <c r="A28" s="888" t="s">
        <v>794</v>
      </c>
      <c r="B28" s="254" t="s">
        <v>1030</v>
      </c>
      <c r="C28" s="255">
        <f>ROUND((C5+C19+C20)*F27*'数据-取费表'!B21/'数据-取费表'!B20,0)</f>
        <v>1068</v>
      </c>
      <c r="D28" s="241"/>
      <c r="E28" s="242"/>
      <c r="F28" s="252"/>
      <c r="G28" s="253"/>
    </row>
    <row r="29" spans="1:7" s="220" customFormat="1" ht="13.5" customHeight="1">
      <c r="A29" s="888" t="s">
        <v>792</v>
      </c>
      <c r="B29" s="254" t="s">
        <v>1031</v>
      </c>
      <c r="C29" s="244">
        <f>ROUND(C21*F27*'数据-取费表'!B21/'数据-取费表'!B20,4)</f>
        <v>5.0000000000000001E-4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24915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2853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2415</v>
      </c>
      <c r="D34" s="223"/>
      <c r="E34" s="226"/>
      <c r="F34" s="263">
        <f>IF('数据-取费表'!B24=0,1,'数据-取费表'!N16)</f>
        <v>1</v>
      </c>
      <c r="G34" s="225" t="s">
        <v>116</v>
      </c>
    </row>
    <row r="35" spans="1:7" ht="13.5" customHeight="1">
      <c r="A35" s="888" t="s">
        <v>796</v>
      </c>
      <c r="B35" s="221" t="s">
        <v>60</v>
      </c>
      <c r="C35" s="226">
        <f>ROUND(C34*F35,0)</f>
        <v>72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330</v>
      </c>
      <c r="D37" s="223">
        <f>'数据-汇总表'!E3</f>
        <v>21976.32</v>
      </c>
      <c r="E37" s="255">
        <f>'数据-取费表'!B35</f>
        <v>150</v>
      </c>
      <c r="F37" s="265"/>
      <c r="G37" s="267" t="s">
        <v>119</v>
      </c>
    </row>
    <row r="38" spans="1:7" ht="13.5" customHeight="1">
      <c r="A38" s="888" t="s">
        <v>799</v>
      </c>
      <c r="B38" s="221" t="s">
        <v>63</v>
      </c>
      <c r="C38" s="226">
        <f>ROUND(C34*F38,0)</f>
        <v>36</v>
      </c>
      <c r="D38" s="226"/>
      <c r="E38" s="226"/>
      <c r="F38" s="265">
        <f>'数据-取费表'!B36</f>
        <v>1.4999999999999999E-2</v>
      </c>
      <c r="G38" s="225" t="s">
        <v>117</v>
      </c>
    </row>
    <row r="39" spans="1:7" s="220" customFormat="1" ht="13.5" customHeight="1">
      <c r="A39" s="885" t="s">
        <v>783</v>
      </c>
      <c r="B39" s="216" t="s">
        <v>104</v>
      </c>
      <c r="C39" s="238">
        <f>ROUND(C33*F20,0)</f>
        <v>29</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63</v>
      </c>
      <c r="D41" s="241">
        <f ca="1">C44</f>
        <v>2.0000000000000001E-4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62</v>
      </c>
      <c r="D42" s="244"/>
      <c r="E42" s="244"/>
      <c r="F42" s="245"/>
      <c r="G42" s="3265" t="s">
        <v>121</v>
      </c>
    </row>
    <row r="43" spans="1:7" ht="13.5" customHeight="1">
      <c r="A43" s="888" t="s">
        <v>792</v>
      </c>
      <c r="B43" s="221" t="s">
        <v>1032</v>
      </c>
      <c r="C43" s="244">
        <f ca="1">ROUND(IF('数据-取费表'!B22&lt;=1,C39*F22*'数据-取费表'!B21/2,C39*(POWER((1+F22),'数据-取费表'!B21/2)-1)),0)</f>
        <v>1</v>
      </c>
      <c r="D43" s="244"/>
      <c r="E43" s="244"/>
      <c r="F43" s="245"/>
      <c r="G43" s="3266"/>
    </row>
    <row r="44" spans="1:7" ht="13.5" customHeight="1">
      <c r="A44" s="888" t="s">
        <v>793</v>
      </c>
      <c r="B44" s="221" t="s">
        <v>1034</v>
      </c>
      <c r="C44" s="244">
        <f ca="1">ROUND(IF('数据-取费表'!B22&lt;=1,C40*F22*'数据-取费表'!B21/2,C40*(POWER((1+F22),'数据-取费表'!B21/2)-1)),4)</f>
        <v>2.0000000000000001E-4</v>
      </c>
      <c r="D44" s="244"/>
      <c r="E44" s="244"/>
      <c r="F44" s="245"/>
      <c r="G44" s="3267"/>
    </row>
    <row r="45" spans="1:7" s="220" customFormat="1" ht="13.5" customHeight="1">
      <c r="A45" s="885" t="s">
        <v>786</v>
      </c>
      <c r="B45" s="250" t="s">
        <v>112</v>
      </c>
      <c r="C45" s="251">
        <f>C46</f>
        <v>144</v>
      </c>
      <c r="D45" s="241">
        <f>C47</f>
        <v>5.0000000000000001E-4</v>
      </c>
      <c r="E45" s="242" t="s">
        <v>129</v>
      </c>
      <c r="F45" s="252"/>
      <c r="G45" s="253" t="s">
        <v>1040</v>
      </c>
    </row>
    <row r="46" spans="1:7" s="220" customFormat="1" ht="13.5" customHeight="1">
      <c r="A46" s="888" t="s">
        <v>794</v>
      </c>
      <c r="B46" s="254" t="s">
        <v>1033</v>
      </c>
      <c r="C46" s="255">
        <f>ROUND((C33+C39)*F27,0)</f>
        <v>144</v>
      </c>
      <c r="D46" s="269"/>
      <c r="E46" s="242"/>
      <c r="F46" s="252"/>
      <c r="G46" s="253"/>
    </row>
    <row r="47" spans="1:7" s="220" customFormat="1" ht="13.5" customHeight="1">
      <c r="A47" s="888" t="s">
        <v>792</v>
      </c>
      <c r="B47" s="254" t="s">
        <v>1035</v>
      </c>
      <c r="C47" s="244">
        <f>ROUND(C40*F27,4)</f>
        <v>5.0000000000000001E-4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3297</v>
      </c>
      <c r="D49" s="238"/>
      <c r="E49" s="238"/>
      <c r="F49" s="270"/>
      <c r="G49" s="240" t="s">
        <v>1041</v>
      </c>
    </row>
    <row r="50" spans="1:7" s="264" customFormat="1" ht="24">
      <c r="A50" s="885" t="s">
        <v>789</v>
      </c>
      <c r="B50" s="216" t="s">
        <v>124</v>
      </c>
      <c r="C50" s="238"/>
      <c r="D50" s="238"/>
      <c r="E50" s="238"/>
      <c r="F50" s="270">
        <f>IF('数据-取费表'!B24=0,'数据-取费表'!N16,1)</f>
        <v>0.94099999999999995</v>
      </c>
      <c r="G50" s="253" t="s">
        <v>125</v>
      </c>
    </row>
    <row r="51" spans="1:7" ht="16.5" customHeight="1">
      <c r="A51" s="885" t="s">
        <v>790</v>
      </c>
      <c r="B51" s="216" t="s">
        <v>132</v>
      </c>
      <c r="C51" s="238">
        <f ca="1">ROUND(C49*F50,0)</f>
        <v>3102</v>
      </c>
      <c r="D51" s="238"/>
      <c r="E51" s="238"/>
      <c r="F51" s="270"/>
      <c r="G51" s="240" t="s">
        <v>64</v>
      </c>
    </row>
    <row r="52" spans="1:7" s="214" customFormat="1" ht="16.5" thickBot="1">
      <c r="A52" s="271" t="s">
        <v>65</v>
      </c>
      <c r="B52" s="272"/>
      <c r="C52" s="273">
        <f ca="1">C31+C51</f>
        <v>28017</v>
      </c>
      <c r="D52" s="272"/>
      <c r="E52" s="272"/>
      <c r="F52" s="272"/>
      <c r="G52" s="274"/>
    </row>
    <row r="55" spans="1:7" ht="15">
      <c r="B55" s="276" t="s">
        <v>66</v>
      </c>
      <c r="C55" s="277"/>
    </row>
    <row r="56" spans="1:7">
      <c r="B56" s="279" t="s">
        <v>67</v>
      </c>
      <c r="C56" s="280">
        <f ca="1">ROUND(C51/C52,3)</f>
        <v>0.111</v>
      </c>
    </row>
    <row r="57" spans="1:7">
      <c r="B57" s="279" t="s">
        <v>68</v>
      </c>
      <c r="C57" s="281">
        <f ca="1">1-C56</f>
        <v>0.88900000000000001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1" t="s">
        <v>156</v>
      </c>
      <c r="B1" s="3411"/>
      <c r="C1" s="3411"/>
      <c r="D1" s="3411"/>
      <c r="E1" s="3411"/>
      <c r="F1" s="341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2" t="s">
        <v>169</v>
      </c>
      <c r="B2" s="3412"/>
      <c r="C2" s="3412"/>
      <c r="D2" s="3412"/>
      <c r="E2" s="3412"/>
      <c r="F2" s="341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1" t="s">
        <v>839</v>
      </c>
      <c r="B1" s="341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44294</v>
      </c>
      <c r="D1" s="1471" t="s">
        <v>1268</v>
      </c>
      <c r="E1" s="1466">
        <f>'数据-取费表'!B22</f>
        <v>1</v>
      </c>
      <c r="F1" s="1471" t="s">
        <v>1269</v>
      </c>
      <c r="G1" s="1467">
        <f ca="1">INDIRECT("d"&amp;$K$1)/100</f>
        <v>3.85E-2</v>
      </c>
      <c r="H1" s="1471" t="s">
        <v>1299</v>
      </c>
      <c r="I1" s="1467">
        <f ca="1">F4/100</f>
        <v>1.4999999999999999E-2</v>
      </c>
      <c r="J1" s="1472">
        <f>IF(C1&gt;C13,0,MATCH(C1,C$13:C$104,-1))+IF(SUMIF(C13:C104,C1,D13:D104)=0,13,12)</f>
        <v>13</v>
      </c>
      <c r="K1" s="1472">
        <f ca="1">MATCH(E1,C3:C7,1)+IF(SUMIF(C3:C7,E1,D3:D7)=0,2,1)</f>
        <v>4</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6" t="s">
        <v>3061</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52" sqref="B52"/>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96" t="str">
        <f>IF(项目基本情况!B9="房地产市场价值","估价结果一览表","结果表-2")</f>
        <v>结果表-2</v>
      </c>
      <c r="B1" s="3096"/>
      <c r="C1" s="3096"/>
      <c r="D1" s="3096"/>
      <c r="E1" s="3096"/>
      <c r="F1" s="3096"/>
      <c r="G1" s="3096"/>
      <c r="H1" s="3096"/>
      <c r="I1" s="3096"/>
    </row>
    <row r="2" spans="1:9" ht="30" customHeight="1" thickTop="1">
      <c r="A2" s="3097" t="s">
        <v>1606</v>
      </c>
      <c r="B2" s="3097" t="s">
        <v>1607</v>
      </c>
      <c r="C2" s="3097" t="s">
        <v>1608</v>
      </c>
      <c r="D2" s="3097" t="str">
        <f>结果表!D116</f>
        <v>出让国有建设用地使用权价值</v>
      </c>
      <c r="E2" s="3097"/>
      <c r="F2" s="3097" t="str">
        <f>结果表!F116</f>
        <v>在建建筑物价值</v>
      </c>
      <c r="G2" s="3097"/>
      <c r="H2" s="3097" t="str">
        <f>IF(项目基本情况!B9="房地产市场价值","房地产市场价值","房地产价值")</f>
        <v>房地产价值</v>
      </c>
      <c r="I2" s="3097"/>
    </row>
    <row r="3" spans="1:9" ht="15">
      <c r="A3" s="3091"/>
      <c r="B3" s="3091"/>
      <c r="C3" s="3091"/>
      <c r="D3" s="963" t="s">
        <v>1603</v>
      </c>
      <c r="E3" s="963" t="s">
        <v>1609</v>
      </c>
      <c r="F3" s="963" t="s">
        <v>1603</v>
      </c>
      <c r="G3" s="963" t="s">
        <v>1604</v>
      </c>
      <c r="H3" s="963" t="s">
        <v>1603</v>
      </c>
      <c r="I3" s="963" t="s">
        <v>1604</v>
      </c>
    </row>
    <row r="4" spans="1:9" ht="15">
      <c r="A4" s="1691" t="str">
        <f>项目基本情况!S2</f>
        <v>房地产</v>
      </c>
      <c r="B4" s="963">
        <f>项目基本情况!C17</f>
        <v>21976.32</v>
      </c>
      <c r="C4" s="963">
        <f>项目基本情况!C18</f>
        <v>21890.49</v>
      </c>
      <c r="D4" s="963">
        <f ca="1">结果表!D118</f>
        <v>674</v>
      </c>
      <c r="E4" s="963">
        <f ca="1">结果表!E118</f>
        <v>307</v>
      </c>
      <c r="F4" s="963">
        <f ca="1">结果表!F118</f>
        <v>3484</v>
      </c>
      <c r="G4" s="963">
        <f ca="1">结果表!G118</f>
        <v>1585</v>
      </c>
      <c r="H4" s="963">
        <f ca="1">结果表!H118</f>
        <v>4158</v>
      </c>
      <c r="I4" s="963">
        <f ca="1">结果表!I118</f>
        <v>1892</v>
      </c>
    </row>
    <row r="5" spans="1:9" ht="30" customHeight="1">
      <c r="A5" s="3091" t="s">
        <v>1605</v>
      </c>
      <c r="B5" s="3091"/>
      <c r="C5" s="3091"/>
      <c r="D5" s="3092" t="str">
        <f ca="1">结果表!D119</f>
        <v>陆佰柒拾肆万元整</v>
      </c>
      <c r="E5" s="3092"/>
      <c r="F5" s="3092" t="str">
        <f ca="1">结果表!F119</f>
        <v>叁仟肆佰捌拾肆万元整</v>
      </c>
      <c r="G5" s="3092"/>
      <c r="H5" s="3092" t="str">
        <f ca="1">结果表!H119</f>
        <v>肆仟壹佰伍拾捌万元整</v>
      </c>
      <c r="I5" s="3092"/>
    </row>
    <row r="6" spans="1:9" ht="15.75">
      <c r="A6" s="3090" t="str">
        <f>结果表!A120</f>
        <v>估价师知悉的法定优先受偿款</v>
      </c>
      <c r="B6" s="3090"/>
      <c r="C6" s="3090"/>
      <c r="D6" s="3090">
        <f>结果表!D120</f>
        <v>0</v>
      </c>
      <c r="E6" s="3090"/>
      <c r="F6" s="3090"/>
      <c r="G6" s="3090"/>
      <c r="H6" s="3090"/>
      <c r="I6" s="3090"/>
    </row>
    <row r="7" spans="1:9" ht="15">
      <c r="A7" s="3091" t="s">
        <v>1605</v>
      </c>
      <c r="B7" s="3091"/>
      <c r="C7" s="3091"/>
      <c r="D7" s="3093" t="str">
        <f>结果表!D121</f>
        <v>零元整</v>
      </c>
      <c r="E7" s="3094"/>
      <c r="F7" s="3094"/>
      <c r="G7" s="3094"/>
      <c r="H7" s="3094"/>
      <c r="I7" s="3095"/>
    </row>
    <row r="8" spans="1:9" ht="15.75">
      <c r="A8" s="3090" t="str">
        <f>结果表!A122</f>
        <v>房地产抵押价值</v>
      </c>
      <c r="B8" s="3090"/>
      <c r="C8" s="3090"/>
      <c r="D8" s="3090">
        <f ca="1">结果表!D122</f>
        <v>4158</v>
      </c>
      <c r="E8" s="3090"/>
      <c r="F8" s="3090"/>
      <c r="G8" s="3090"/>
      <c r="H8" s="3090"/>
      <c r="I8" s="3090"/>
    </row>
    <row r="9" spans="1:9" ht="15">
      <c r="A9" s="3091" t="s">
        <v>1605</v>
      </c>
      <c r="B9" s="3091"/>
      <c r="C9" s="3091"/>
      <c r="D9" s="3092" t="str">
        <f ca="1">结果表!D123</f>
        <v>肆仟壹佰伍拾捌万元整</v>
      </c>
      <c r="E9" s="3092"/>
      <c r="F9" s="3092"/>
      <c r="G9" s="3092"/>
      <c r="H9" s="3092"/>
      <c r="I9" s="3092"/>
    </row>
    <row r="10" spans="1:9" ht="15.75">
      <c r="A10" s="3090" t="str">
        <f>结果表!A124</f>
        <v/>
      </c>
      <c r="B10" s="3090"/>
      <c r="C10" s="3090"/>
      <c r="D10" s="3090" t="str">
        <f>结果表!D124</f>
        <v>——</v>
      </c>
      <c r="E10" s="3090"/>
      <c r="F10" s="3090"/>
      <c r="G10" s="3090"/>
      <c r="H10" s="3090"/>
      <c r="I10" s="3090"/>
    </row>
    <row r="11" spans="1:9" ht="15">
      <c r="A11" s="3091" t="s">
        <v>1605</v>
      </c>
      <c r="B11" s="3091"/>
      <c r="C11" s="3091"/>
      <c r="D11" s="3092" t="e">
        <f>结果表!D125</f>
        <v>#VALUE!</v>
      </c>
      <c r="E11" s="3092"/>
      <c r="F11" s="3092"/>
      <c r="G11" s="3092"/>
      <c r="H11" s="3092"/>
      <c r="I11" s="3092"/>
    </row>
    <row r="12" spans="1:9" ht="15.75">
      <c r="A12" s="3090" t="str">
        <f>结果表!A126</f>
        <v/>
      </c>
      <c r="B12" s="3090"/>
      <c r="C12" s="3090"/>
      <c r="D12" s="3090" t="str">
        <f>结果表!D126</f>
        <v>——</v>
      </c>
      <c r="E12" s="3090"/>
      <c r="F12" s="3090"/>
      <c r="G12" s="3090"/>
      <c r="H12" s="3090"/>
      <c r="I12" s="3090"/>
    </row>
    <row r="13" spans="1:9" ht="15.75" thickBot="1">
      <c r="A13" s="3087" t="s">
        <v>1605</v>
      </c>
      <c r="B13" s="3087"/>
      <c r="C13" s="3087"/>
      <c r="D13" s="3088" t="e">
        <f>结果表!D127</f>
        <v>#VALUE!</v>
      </c>
      <c r="E13" s="3088"/>
      <c r="F13" s="3088"/>
      <c r="G13" s="3088"/>
      <c r="H13" s="3088"/>
      <c r="I13" s="3088"/>
    </row>
    <row r="14" spans="1:9" ht="15" thickTop="1">
      <c r="A14" s="3089" t="s">
        <v>1610</v>
      </c>
      <c r="B14" s="3089"/>
      <c r="C14" s="3089"/>
      <c r="D14" s="3089"/>
      <c r="E14" s="3089"/>
      <c r="F14" s="3089"/>
      <c r="G14" s="3089"/>
      <c r="H14" s="3089"/>
      <c r="I14" s="3089"/>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04" t="s">
        <v>1627</v>
      </c>
      <c r="B1" s="3104"/>
      <c r="C1" s="3104"/>
      <c r="D1" s="3104"/>
    </row>
    <row r="2" spans="1:4" ht="18">
      <c r="A2" s="3105" t="s">
        <v>1611</v>
      </c>
      <c r="B2" s="3105"/>
      <c r="C2" s="3105"/>
      <c r="D2" s="3105"/>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05" t="s">
        <v>1617</v>
      </c>
      <c r="B6" s="3105"/>
      <c r="C6" s="3105"/>
      <c r="D6" s="3105"/>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06" t="s">
        <v>1620</v>
      </c>
      <c r="B11" s="3098"/>
      <c r="C11" s="3098"/>
      <c r="D11" s="3098"/>
    </row>
    <row r="12" spans="1:4" ht="15.75">
      <c r="A12" s="30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3"/>
      <c r="C12" s="3103"/>
      <c r="D12" s="3103"/>
    </row>
    <row r="13" spans="1:4" ht="30" customHeight="1">
      <c r="A13" s="30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3"/>
      <c r="C13" s="3103"/>
      <c r="D13" s="3103"/>
    </row>
    <row r="14" spans="1:4" ht="15.75" customHeight="1">
      <c r="A14" s="3098" t="str">
        <f>IF(项目基本情况!B8="抵押","4.本次评估估价师所知悉的法定优先受偿款情况说明如下：","——")</f>
        <v>4.本次评估估价师所知悉的法定优先受偿款情况说明如下：</v>
      </c>
      <c r="B14" s="3103"/>
      <c r="C14" s="3103"/>
      <c r="D14" s="3103"/>
    </row>
    <row r="15" spans="1:4" ht="42" customHeight="1">
      <c r="A15" s="30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8"/>
      <c r="C15" s="3098"/>
      <c r="D15" s="3098"/>
    </row>
    <row r="16" spans="1:4" ht="30" customHeight="1">
      <c r="A16" s="3100" t="s">
        <v>1621</v>
      </c>
      <c r="B16" s="3100"/>
      <c r="C16" s="3100"/>
      <c r="D16" s="3100"/>
    </row>
    <row r="17" spans="1:4" ht="144" customHeight="1">
      <c r="A17" s="3100" t="s">
        <v>1622</v>
      </c>
      <c r="B17" s="3100"/>
      <c r="C17" s="3100"/>
      <c r="D17" s="3100"/>
    </row>
    <row r="18" spans="1:4" ht="15.75" customHeight="1">
      <c r="A18" s="3098" t="str">
        <f>IF(项目基本情况!B8="抵押",结果表!K120,"——")</f>
        <v>故，本次评估不存在估价师知悉的法定优先受偿款</v>
      </c>
      <c r="B18" s="3098"/>
      <c r="C18" s="3098"/>
      <c r="D18" s="3098"/>
    </row>
    <row r="19" spans="1:4" ht="46.5" customHeight="1">
      <c r="A19" s="30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8"/>
      <c r="C19" s="3098"/>
      <c r="D19" s="3098"/>
    </row>
    <row r="20" spans="1:4" ht="57.75" customHeight="1">
      <c r="A20" s="30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8"/>
      <c r="C20" s="3098"/>
      <c r="D20" s="3098"/>
    </row>
    <row r="21" spans="1:4" ht="57.75" customHeight="1">
      <c r="A21" s="31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1"/>
      <c r="C21" s="3101"/>
      <c r="D21" s="3101"/>
    </row>
    <row r="22" spans="1:4" ht="18.75" customHeight="1">
      <c r="A22" s="3102" t="s">
        <v>1623</v>
      </c>
      <c r="B22" s="3102"/>
      <c r="C22" s="3102"/>
      <c r="D22" s="3102"/>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099">
        <v>42551</v>
      </c>
      <c r="D31" s="30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12" t="s">
        <v>1634</v>
      </c>
      <c r="B15" s="3107" t="s">
        <v>136</v>
      </c>
      <c r="C15" s="3108"/>
    </row>
    <row r="16" spans="1:7" ht="13.5">
      <c r="A16" s="3113"/>
      <c r="B16" s="3107" t="s">
        <v>69</v>
      </c>
      <c r="C16" s="3108"/>
    </row>
    <row r="17" spans="1:3" ht="13.5">
      <c r="A17" s="3113"/>
      <c r="B17" s="3110" t="s">
        <v>1635</v>
      </c>
      <c r="C17" s="1718" t="s">
        <v>1634</v>
      </c>
    </row>
    <row r="18" spans="1:3" ht="13.5">
      <c r="A18" s="3113"/>
      <c r="B18" s="3110"/>
      <c r="C18" s="1718" t="s">
        <v>1636</v>
      </c>
    </row>
    <row r="19" spans="1:3" ht="13.5">
      <c r="A19" s="3113"/>
      <c r="B19" s="3110"/>
      <c r="C19" s="1718" t="s">
        <v>1637</v>
      </c>
    </row>
    <row r="20" spans="1:3" ht="13.5">
      <c r="A20" s="3114"/>
      <c r="B20" s="3109" t="s">
        <v>1638</v>
      </c>
      <c r="C20" s="3108"/>
    </row>
    <row r="21" spans="1:3" ht="13.5">
      <c r="A21" s="1719" t="s">
        <v>1639</v>
      </c>
      <c r="B21" s="1720"/>
      <c r="C21" s="1721"/>
    </row>
    <row r="22" spans="1:3" ht="13.5">
      <c r="A22" s="3111" t="s">
        <v>1640</v>
      </c>
      <c r="B22" s="3109" t="s">
        <v>1641</v>
      </c>
      <c r="C22" s="3108"/>
    </row>
    <row r="23" spans="1:3" ht="13.5">
      <c r="A23" s="3111"/>
      <c r="B23" s="3109" t="s">
        <v>1642</v>
      </c>
      <c r="C23" s="3108"/>
    </row>
    <row r="24" spans="1:3" ht="13.5">
      <c r="A24" s="3111"/>
      <c r="B24" s="3109" t="s">
        <v>1643</v>
      </c>
      <c r="C24" s="3108"/>
    </row>
    <row r="25" spans="1:3" ht="13.5">
      <c r="A25" s="3111"/>
      <c r="B25" s="3110" t="s">
        <v>1644</v>
      </c>
      <c r="C25" s="1718" t="s">
        <v>1645</v>
      </c>
    </row>
    <row r="26" spans="1:3" ht="13.5">
      <c r="A26" s="3111"/>
      <c r="B26" s="3110"/>
      <c r="C26" s="1718" t="s">
        <v>1646</v>
      </c>
    </row>
    <row r="27" spans="1:3" ht="13.5">
      <c r="A27" s="3111"/>
      <c r="B27" s="3110"/>
      <c r="C27" s="1718" t="s">
        <v>1647</v>
      </c>
    </row>
    <row r="28" spans="1:3" ht="13.5">
      <c r="A28" s="3111"/>
      <c r="B28" s="3110"/>
      <c r="C28" s="1718" t="s">
        <v>1648</v>
      </c>
    </row>
    <row r="29" spans="1:3" ht="13.5">
      <c r="A29" s="3111"/>
      <c r="B29" s="3110"/>
      <c r="C29" s="1718" t="s">
        <v>1649</v>
      </c>
    </row>
    <row r="30" spans="1:3" ht="13.5">
      <c r="A30" s="3111"/>
      <c r="B30" s="3110"/>
      <c r="C30" s="1718" t="s">
        <v>1650</v>
      </c>
    </row>
    <row r="31" spans="1:3" ht="13.5">
      <c r="A31" s="3111"/>
      <c r="B31" s="3110"/>
      <c r="C31" s="1718" t="s">
        <v>1651</v>
      </c>
    </row>
    <row r="32" spans="1:3" ht="13.5">
      <c r="A32" s="3111"/>
      <c r="B32" s="3110"/>
      <c r="C32" s="1718" t="s">
        <v>1652</v>
      </c>
    </row>
    <row r="33" spans="1:3" ht="13.5">
      <c r="A33" s="3111"/>
      <c r="B33" s="3110"/>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44295</v>
      </c>
      <c r="C2" s="2563" t="s">
        <v>2882</v>
      </c>
      <c r="D2" s="2563"/>
      <c r="E2" s="2563"/>
      <c r="F2" s="2559"/>
      <c r="G2" s="2559"/>
      <c r="H2" s="2559"/>
    </row>
    <row r="3" spans="1:8" ht="24" customHeight="1">
      <c r="A3" s="2564" t="s">
        <v>2883</v>
      </c>
      <c r="B3" s="2565" t="s">
        <v>2884</v>
      </c>
      <c r="C3" s="2565" t="s">
        <v>2885</v>
      </c>
      <c r="D3" s="2566" t="s">
        <v>2886</v>
      </c>
      <c r="E3" s="2567" t="s">
        <v>2887</v>
      </c>
      <c r="F3" s="1473" t="s">
        <v>2888</v>
      </c>
      <c r="G3" s="2565" t="s">
        <v>2885</v>
      </c>
      <c r="H3" s="2566" t="s">
        <v>2889</v>
      </c>
    </row>
    <row r="4" spans="1:8" ht="24" customHeight="1">
      <c r="A4" s="1473" t="s">
        <v>2890</v>
      </c>
      <c r="B4" s="1473">
        <f ca="1">IF(C4&lt;B2,"已过期",1119970066)</f>
        <v>1119970066</v>
      </c>
      <c r="C4" s="2568">
        <v>44876</v>
      </c>
      <c r="D4" s="2569" t="str">
        <f ca="1">A4&amp;"（注册号："&amp;B4&amp;"）"</f>
        <v>梁津（注册号：1119970066）</v>
      </c>
      <c r="E4" s="2570" t="s">
        <v>2890</v>
      </c>
      <c r="F4" s="1473">
        <f ca="1">IF(G4&lt;B2,"已过期",96010014)</f>
        <v>96010014</v>
      </c>
      <c r="G4" s="2571">
        <v>47118</v>
      </c>
      <c r="H4" s="2572" t="str">
        <f ca="1">E4&amp;"（注册号："&amp;F4&amp;"）"</f>
        <v>梁津（注册号：96010014）</v>
      </c>
    </row>
    <row r="5" spans="1:8" ht="24" customHeight="1">
      <c r="A5" s="1473" t="s">
        <v>2891</v>
      </c>
      <c r="B5" s="1473">
        <f ca="1">IF(C5&lt;B2,"已过期",1119970111)</f>
        <v>1119970111</v>
      </c>
      <c r="C5" s="2568">
        <v>44876</v>
      </c>
      <c r="D5" s="2569" t="str">
        <f t="shared" ref="D5:D15" ca="1" si="0">A5&amp;"（注册号："&amp;B5&amp;"）"</f>
        <v>叶凌（注册号：1119970111）</v>
      </c>
      <c r="E5" s="2570" t="s">
        <v>2891</v>
      </c>
      <c r="F5" s="1473">
        <f ca="1">IF(G5&lt;B2,"已过期",94010078)</f>
        <v>94010078</v>
      </c>
      <c r="G5" s="2571">
        <v>46387</v>
      </c>
      <c r="H5" s="2572" t="str">
        <f t="shared" ref="H5:H16" ca="1" si="1">E5&amp;"（注册号："&amp;F5&amp;"）"</f>
        <v>叶凌（注册号：94010078）</v>
      </c>
    </row>
    <row r="6" spans="1:8" ht="24" customHeight="1">
      <c r="A6" s="1473" t="s">
        <v>2892</v>
      </c>
      <c r="B6" s="1473">
        <f ca="1">IF(C6&lt;B2,"已过期",1120050019)</f>
        <v>1120050019</v>
      </c>
      <c r="C6" s="2568">
        <v>44395</v>
      </c>
      <c r="D6" s="2569" t="str">
        <f t="shared" ca="1" si="0"/>
        <v>王鹏（注册号：1120050019）</v>
      </c>
      <c r="E6" s="2570" t="s">
        <v>2892</v>
      </c>
      <c r="F6" s="1473">
        <f ca="1">IF(G6&lt;B2,"已过期",2002110030)</f>
        <v>2002110030</v>
      </c>
      <c r="G6" s="2571">
        <v>46387</v>
      </c>
      <c r="H6" s="2572" t="str">
        <f t="shared" ca="1" si="1"/>
        <v>王鹏（注册号：2002110030）</v>
      </c>
    </row>
    <row r="7" spans="1:8" ht="24" customHeight="1">
      <c r="A7" s="1473" t="s">
        <v>2893</v>
      </c>
      <c r="B7" s="1473">
        <f ca="1">IF(C7&lt;B2,"已过期",1120000080)</f>
        <v>1120000080</v>
      </c>
      <c r="C7" s="2568">
        <v>44876</v>
      </c>
      <c r="D7" s="2569" t="str">
        <f t="shared" ca="1" si="0"/>
        <v>欧红伟（注册号：1120000080）</v>
      </c>
      <c r="E7" s="2570" t="s">
        <v>2893</v>
      </c>
      <c r="F7" s="1473">
        <f ca="1">IF(G7&lt;B2,"已过期",2000110082)</f>
        <v>2000110082</v>
      </c>
      <c r="G7" s="2571">
        <v>46387</v>
      </c>
      <c r="H7" s="2572" t="str">
        <f t="shared" ca="1" si="1"/>
        <v>欧红伟（注册号：2000110082）</v>
      </c>
    </row>
    <row r="8" spans="1:8" ht="24" customHeight="1">
      <c r="A8" s="1473" t="s">
        <v>2894</v>
      </c>
      <c r="B8" s="1473">
        <f ca="1">IF(C8&lt;B2,"已过期",1419970001)</f>
        <v>1419970001</v>
      </c>
      <c r="C8" s="2568">
        <v>44899</v>
      </c>
      <c r="D8" s="2569" t="str">
        <f t="shared" ca="1" si="0"/>
        <v>吴薇（注册号：1419970001）</v>
      </c>
      <c r="E8" s="2570" t="s">
        <v>2894</v>
      </c>
      <c r="F8" s="1473">
        <f ca="1">IF(G8&lt;B2,"已过期",2002110125)</f>
        <v>2002110125</v>
      </c>
      <c r="G8" s="2571">
        <v>47118</v>
      </c>
      <c r="H8" s="2572" t="str">
        <f t="shared" ca="1" si="1"/>
        <v>吴薇（注册号：2002110125）</v>
      </c>
    </row>
    <row r="9" spans="1:8" ht="24" customHeight="1">
      <c r="A9" s="1473" t="s">
        <v>2895</v>
      </c>
      <c r="B9" s="1473">
        <f ca="1">IF(C9&lt;B2,"已过期",1120060040)</f>
        <v>1120060040</v>
      </c>
      <c r="C9" s="2573">
        <v>44554</v>
      </c>
      <c r="D9" s="2569" t="str">
        <f t="shared" ca="1" si="0"/>
        <v>陈颖（注册号：1120060040）</v>
      </c>
      <c r="E9" s="2570" t="s">
        <v>2895</v>
      </c>
      <c r="F9" s="1473">
        <f ca="1">IF(G9&lt;B2,"已过期",2004110096)</f>
        <v>2004110096</v>
      </c>
      <c r="G9" s="2571">
        <v>47118</v>
      </c>
      <c r="H9" s="2572" t="str">
        <f t="shared" ca="1" si="1"/>
        <v>陈颖（注册号：2004110096）</v>
      </c>
    </row>
    <row r="10" spans="1:8" ht="24" customHeight="1">
      <c r="A10" s="1473" t="s">
        <v>2896</v>
      </c>
      <c r="B10" s="1473">
        <f ca="1">IF(C10&lt;B2,"已过期",1120100036)</f>
        <v>1120100036</v>
      </c>
      <c r="C10" s="2573">
        <v>44675</v>
      </c>
      <c r="D10" s="2569" t="str">
        <f t="shared" ca="1" si="0"/>
        <v>崔锴（注册号：1120100036）</v>
      </c>
      <c r="E10" s="2570" t="s">
        <v>2896</v>
      </c>
      <c r="F10" s="1473">
        <f ca="1">IF(G10&lt;B2,"已过期",2010110070)</f>
        <v>2010110070</v>
      </c>
      <c r="G10" s="2571">
        <v>47907</v>
      </c>
      <c r="H10" s="2572" t="str">
        <f t="shared" ca="1" si="1"/>
        <v>崔锴（注册号：2010110070）</v>
      </c>
    </row>
    <row r="11" spans="1:8" ht="24" customHeight="1">
      <c r="A11" s="1473" t="s">
        <v>2897</v>
      </c>
      <c r="B11" s="1473">
        <f ca="1">IF(C11&lt;B2,"已过期",1120070131)</f>
        <v>1120070131</v>
      </c>
      <c r="C11" s="2568">
        <v>44849</v>
      </c>
      <c r="D11" s="2569" t="str">
        <f t="shared" ca="1" si="0"/>
        <v>郑燚（注册号：1120070131）</v>
      </c>
      <c r="E11" s="2570" t="s">
        <v>2897</v>
      </c>
      <c r="F11" s="1473">
        <f ca="1">IF(G11&lt;B2,"已过期",2014110011)</f>
        <v>2014110011</v>
      </c>
      <c r="G11" s="2571">
        <v>49302</v>
      </c>
      <c r="H11" s="2572" t="str">
        <f t="shared" ca="1" si="1"/>
        <v>郑燚（注册号：2014110011）</v>
      </c>
    </row>
    <row r="12" spans="1:8" ht="24" customHeight="1">
      <c r="A12" s="1473" t="s">
        <v>2898</v>
      </c>
      <c r="B12" s="1473">
        <f ca="1">IF(C12&lt;B2,"已过期",1120040230)</f>
        <v>1120040230</v>
      </c>
      <c r="C12" s="2573">
        <v>44864</v>
      </c>
      <c r="D12" s="2569" t="str">
        <f t="shared" ca="1" si="0"/>
        <v>苏海（注册号：1120040230）</v>
      </c>
      <c r="E12" s="2570" t="s">
        <v>2898</v>
      </c>
      <c r="F12" s="1473">
        <f ca="1">IF(G12&lt;B2,"已过期",98030020)</f>
        <v>98030020</v>
      </c>
      <c r="G12" s="2571">
        <v>47118</v>
      </c>
      <c r="H12" s="2572" t="str">
        <f t="shared" ca="1" si="1"/>
        <v>苏海（注册号：98030020）</v>
      </c>
    </row>
    <row r="13" spans="1:8" ht="24" customHeight="1">
      <c r="A13" s="1473" t="s">
        <v>2899</v>
      </c>
      <c r="B13" s="1473">
        <f ca="1">IF(C13&lt;B2,"已过期",1120020033)</f>
        <v>1120020033</v>
      </c>
      <c r="C13" s="2568">
        <v>44339</v>
      </c>
      <c r="D13" s="2569" t="str">
        <f t="shared" ca="1" si="0"/>
        <v>刘敬东（注册号：1120020033）</v>
      </c>
      <c r="E13" s="2570" t="s">
        <v>2899</v>
      </c>
      <c r="F13" s="1473">
        <f ca="1">IF(G13&lt;B2,"已过期",2000110137)</f>
        <v>2000110137</v>
      </c>
      <c r="G13" s="2571">
        <v>46387</v>
      </c>
      <c r="H13" s="2572" t="str">
        <f t="shared" ca="1" si="1"/>
        <v>刘敬东（注册号：2000110137）</v>
      </c>
    </row>
    <row r="14" spans="1:8" ht="24" customHeight="1">
      <c r="A14" s="1473" t="s">
        <v>2900</v>
      </c>
      <c r="B14" s="1473">
        <f ca="1">IF(C14&lt;B2,"已过期",1119980106)</f>
        <v>1119980106</v>
      </c>
      <c r="C14" s="2573">
        <v>44969</v>
      </c>
      <c r="D14" s="2569" t="str">
        <f t="shared" ca="1" si="0"/>
        <v>刘俊财（注册号：1119980106）</v>
      </c>
      <c r="E14" s="2570" t="s">
        <v>2900</v>
      </c>
      <c r="F14" s="1473">
        <f ca="1">IF(G14&lt;B2,"已过期",96010063)</f>
        <v>96010063</v>
      </c>
      <c r="G14" s="2571">
        <v>47483</v>
      </c>
      <c r="H14" s="2572" t="str">
        <f t="shared" ca="1" si="1"/>
        <v>刘俊财（注册号：96010063）</v>
      </c>
    </row>
    <row r="15" spans="1:8" ht="24" customHeight="1">
      <c r="A15" s="1473"/>
      <c r="B15" s="1473"/>
      <c r="C15" s="2573"/>
      <c r="D15" s="2569" t="str">
        <f t="shared" si="0"/>
        <v>（注册号：）</v>
      </c>
      <c r="E15" s="2570" t="s">
        <v>2901</v>
      </c>
      <c r="F15" s="1473">
        <f ca="1">IF(G15&lt;B2,"已过期",2011110090)</f>
        <v>2011110090</v>
      </c>
      <c r="G15" s="2571">
        <v>48302</v>
      </c>
      <c r="H15" s="2572" t="str">
        <f t="shared" ca="1" si="1"/>
        <v>赵雯（注册号：2011110090）</v>
      </c>
    </row>
    <row r="16" spans="1:8" s="2575" customFormat="1" ht="24" customHeight="1">
      <c r="A16" s="1473"/>
      <c r="B16" s="1473"/>
      <c r="C16" s="1473"/>
      <c r="D16" s="2569" t="str">
        <f>A16&amp;"（注册号："&amp;B16&amp;"）"</f>
        <v>（注册号：）</v>
      </c>
      <c r="E16" s="2570"/>
      <c r="F16" s="1473"/>
      <c r="G16" s="1473"/>
      <c r="H16" s="2574" t="str">
        <f t="shared" si="1"/>
        <v>（注册号：）</v>
      </c>
    </row>
    <row r="17" spans="1:8" ht="24" customHeight="1">
      <c r="A17" s="3115" t="s">
        <v>2902</v>
      </c>
      <c r="B17" s="3115"/>
      <c r="C17" s="3115"/>
      <c r="D17" s="3115"/>
      <c r="E17" s="3115"/>
      <c r="F17" s="3115"/>
      <c r="G17" s="3115"/>
      <c r="H17" s="3115"/>
    </row>
    <row r="18" spans="1:8" ht="24" customHeight="1">
      <c r="A18" s="3116" t="s">
        <v>2903</v>
      </c>
      <c r="B18" s="3116"/>
      <c r="C18" s="3116"/>
      <c r="D18" s="2566"/>
      <c r="E18" s="3117" t="s">
        <v>2904</v>
      </c>
      <c r="F18" s="3116"/>
      <c r="G18" s="3116"/>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土地比较法-住宅、综合</vt:lpstr>
      <vt:lpstr>土地比较法-工业</vt:lpstr>
      <vt:lpstr>工业土地</vt:lpstr>
      <vt:lpstr>成本法 (元)</vt:lpstr>
      <vt:lpstr>假设开发法</vt:lpstr>
      <vt:lpstr>收益法</vt:lpstr>
      <vt:lpstr>收益法 (元)</vt:lpstr>
      <vt:lpstr>收益法 (元) (2)</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 (元) (2)'!Print_Area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2021-04-09T05:39:07Z</dcterms:modified>
</cp:coreProperties>
</file>