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91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案例" sheetId="8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4" i="34"/>
  <c r="I7" i="34"/>
  <c r="G7" i="34"/>
  <c r="E7" i="34"/>
  <c r="I36" i="1"/>
  <c r="I33" i="1"/>
  <c r="Y6" i="1"/>
  <c r="U20" i="1"/>
  <c r="U21" i="1" s="1"/>
  <c r="N6" i="1"/>
  <c r="N21" i="1"/>
  <c r="F19" i="6"/>
  <c r="C19" i="6"/>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E68" i="77"/>
  <c r="I59" i="77" l="1"/>
  <c r="A63" i="77"/>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c r="P42" i="79"/>
  <c r="P10" i="79"/>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5" i="79"/>
  <c r="AD42" i="79"/>
  <c r="AD44" i="79"/>
  <c r="AD43" i="79"/>
  <c r="AR48" i="79"/>
  <c r="AR49" i="79" s="1"/>
  <c r="AR50" i="79" s="1"/>
  <c r="AR51" i="79" s="1"/>
  <c r="AR52" i="79" s="1"/>
  <c r="AR53" i="79" s="1"/>
  <c r="AR54" i="79" s="1"/>
  <c r="AR55" i="79" s="1"/>
  <c r="AR56" i="79" s="1"/>
  <c r="AR57" i="79" s="1"/>
  <c r="AR58" i="79" s="1"/>
  <c r="AR59" i="79" s="1"/>
  <c r="AR60" i="79" s="1"/>
  <c r="Z3" i="79"/>
  <c r="S38" i="79"/>
  <c r="AG38" i="79" s="1"/>
  <c r="S37" i="79"/>
  <c r="AG37" i="79" s="1"/>
  <c r="S43" i="79"/>
  <c r="AG43" i="79" s="1"/>
  <c r="S40" i="79"/>
  <c r="AG40" i="79" s="1"/>
  <c r="S41" i="79"/>
  <c r="AG41" i="79" s="1"/>
  <c r="S42" i="79"/>
  <c r="AG42" i="79" s="1"/>
  <c r="S39" i="79"/>
  <c r="AG39" i="79" s="1"/>
  <c r="AA35" i="79"/>
  <c r="AD35" i="79" s="1"/>
  <c r="T48" i="79"/>
  <c r="AH48" i="79" s="1"/>
  <c r="U54" i="79"/>
  <c r="AI54" i="79" s="1"/>
  <c r="AD55" i="79"/>
  <c r="S56" i="79"/>
  <c r="AG56" i="79" s="1"/>
  <c r="U58" i="79"/>
  <c r="AI58" i="79" s="1"/>
  <c r="AD59" i="79"/>
  <c r="T39" i="79"/>
  <c r="T40" i="79"/>
  <c r="T43" i="79"/>
  <c r="T42" i="79"/>
  <c r="T38" i="79"/>
  <c r="T41" i="79"/>
  <c r="T37" i="79"/>
  <c r="N35" i="79"/>
  <c r="U38" i="79"/>
  <c r="AI38" i="79" s="1"/>
  <c r="U42" i="79"/>
  <c r="AI42" i="79" s="1"/>
  <c r="U40" i="79"/>
  <c r="AI40" i="79" s="1"/>
  <c r="U41" i="79"/>
  <c r="AI41"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AH40" i="79"/>
  <c r="W40" i="79"/>
  <c r="AK40" i="79" s="1"/>
  <c r="AH37" i="79"/>
  <c r="W37" i="79"/>
  <c r="AK37" i="79" s="1"/>
  <c r="AH38" i="79"/>
  <c r="W38" i="79"/>
  <c r="AK38" i="79" s="1"/>
  <c r="W39" i="79"/>
  <c r="AK39" i="79" s="1"/>
  <c r="AH39" i="79"/>
  <c r="W43" i="79"/>
  <c r="AK43" i="79" s="1"/>
  <c r="AH43"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A527" i="3" s="1"/>
  <c r="AZ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U9" i="34" s="1"/>
  <c r="J8" i="34"/>
  <c r="H8" i="34"/>
  <c r="U8" i="34" s="1"/>
  <c r="F8" i="34"/>
  <c r="D121" i="33"/>
  <c r="E121" i="33"/>
  <c r="F121" i="33" s="1"/>
  <c r="G121" i="33" s="1"/>
  <c r="H121" i="33" s="1"/>
  <c r="I121" i="33" s="1"/>
  <c r="J121" i="33" s="1"/>
  <c r="K121" i="33" s="1"/>
  <c r="L121" i="33" s="1"/>
  <c r="M121" i="33" s="1"/>
  <c r="F109" i="33"/>
  <c r="E109" i="33"/>
  <c r="D109" i="33"/>
  <c r="C109" i="33"/>
  <c r="D91" i="33"/>
  <c r="E91" i="33"/>
  <c r="B88" i="33"/>
  <c r="F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s="1"/>
  <c r="Q38" i="33"/>
  <c r="Z38" i="33"/>
  <c r="J38" i="33"/>
  <c r="AC38" i="33" s="1"/>
  <c r="H38" i="33"/>
  <c r="AB38" i="33" s="1"/>
  <c r="F38" i="33"/>
  <c r="AA38" i="33" s="1"/>
  <c r="Q37" i="33"/>
  <c r="Z37" i="33" s="1"/>
  <c r="Q36" i="33"/>
  <c r="Z36" i="33" s="1"/>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J33" i="36"/>
  <c r="AC33" i="36" s="1"/>
  <c r="H22" i="35"/>
  <c r="AB22" i="35" s="1"/>
  <c r="AC27" i="35"/>
  <c r="W28" i="35"/>
  <c r="U31" i="35"/>
  <c r="W22" i="35"/>
  <c r="S31" i="35"/>
  <c r="U34" i="35"/>
  <c r="F36" i="34"/>
  <c r="AA36" i="34" s="1"/>
  <c r="J35" i="34"/>
  <c r="H39" i="33"/>
  <c r="AB39" i="33" s="1"/>
  <c r="AA26" i="33"/>
  <c r="U33" i="33"/>
  <c r="S40" i="33"/>
  <c r="W33" i="33"/>
  <c r="W39" i="33"/>
  <c r="S27" i="35"/>
  <c r="F13" i="40"/>
  <c r="AA13" i="40" s="1"/>
  <c r="H13" i="40"/>
  <c r="AB13" i="40" s="1"/>
  <c r="AA11" i="40"/>
  <c r="U11"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W34" i="40"/>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W23" i="34" s="1"/>
  <c r="F19" i="34"/>
  <c r="AA19" i="34" s="1"/>
  <c r="H17" i="34"/>
  <c r="U17" i="34" s="1"/>
  <c r="F15" i="34"/>
  <c r="AA15" i="34" s="1"/>
  <c r="J15" i="34"/>
  <c r="W15" i="34" s="1"/>
  <c r="H15" i="34"/>
  <c r="AB15" i="34" s="1"/>
  <c r="J28" i="34"/>
  <c r="W28" i="34" s="1"/>
  <c r="F41" i="33"/>
  <c r="AA41" i="33" s="1"/>
  <c r="S38" i="33"/>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G113" i="33"/>
  <c r="H113" i="33" s="1"/>
  <c r="I113" i="33" s="1"/>
  <c r="J113" i="33" s="1"/>
  <c r="K113" i="33" s="1"/>
  <c r="L113" i="33" s="1"/>
  <c r="M113" i="33" s="1"/>
  <c r="H37" i="33"/>
  <c r="AB37" i="33"/>
  <c r="H15" i="33"/>
  <c r="AB15" i="33" s="1"/>
  <c r="H11" i="33"/>
  <c r="AB11" i="33" s="1"/>
  <c r="F30" i="40"/>
  <c r="AA30" i="40"/>
  <c r="AC38" i="34"/>
  <c r="AA38" i="34"/>
  <c r="J37" i="34"/>
  <c r="AC37" i="34" s="1"/>
  <c r="J11" i="33"/>
  <c r="W11" i="33" s="1"/>
  <c r="S28" i="34"/>
  <c r="J42" i="21"/>
  <c r="AC42" i="21"/>
  <c r="H42" i="21"/>
  <c r="U42" i="21" s="1"/>
  <c r="J44" i="34"/>
  <c r="W44" i="34" s="1"/>
  <c r="F44" i="34"/>
  <c r="J10" i="35"/>
  <c r="AC10" i="35" s="1"/>
  <c r="H28" i="21"/>
  <c r="AB28" i="21" s="1"/>
  <c r="F28" i="21"/>
  <c r="AA28" i="21" s="1"/>
  <c r="J28" i="21"/>
  <c r="W28" i="21" s="1"/>
  <c r="H30" i="21"/>
  <c r="U30" i="21" s="1"/>
  <c r="J44" i="21"/>
  <c r="AC44" i="21" s="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J29" i="33"/>
  <c r="H29" i="33"/>
  <c r="U29" i="33" s="1"/>
  <c r="F29" i="33"/>
  <c r="S29" i="33" s="1"/>
  <c r="J31" i="33"/>
  <c r="H45" i="33"/>
  <c r="J45" i="33"/>
  <c r="W45" i="33" s="1"/>
  <c r="F45" i="33"/>
  <c r="S45" i="33" s="1"/>
  <c r="AA45" i="33"/>
  <c r="J14" i="34"/>
  <c r="W14" i="34" s="1"/>
  <c r="F14" i="34"/>
  <c r="S14" i="34"/>
  <c r="H14" i="34"/>
  <c r="J30" i="34"/>
  <c r="H32" i="34"/>
  <c r="F32" i="34"/>
  <c r="J32" i="34"/>
  <c r="W32" i="34" s="1"/>
  <c r="H46" i="34"/>
  <c r="U46" i="34" s="1"/>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J14" i="37"/>
  <c r="J27" i="37"/>
  <c r="AC27" i="37"/>
  <c r="AA44" i="33"/>
  <c r="J36" i="37"/>
  <c r="AC36" i="37" s="1"/>
  <c r="J10" i="36"/>
  <c r="AC10" i="36" s="1"/>
  <c r="AB26" i="33"/>
  <c r="AA14" i="37"/>
  <c r="S11" i="36"/>
  <c r="AA14" i="34"/>
  <c r="AC28" i="21"/>
  <c r="BA586" i="3"/>
  <c r="BA585" i="3"/>
  <c r="F17" i="21"/>
  <c r="AA17" i="21" s="1"/>
  <c r="H17" i="21"/>
  <c r="AB17" i="21" s="1"/>
  <c r="F15" i="21"/>
  <c r="S15" i="21" s="1"/>
  <c r="J43" i="39"/>
  <c r="W43" i="39" s="1"/>
  <c r="W46" i="39"/>
  <c r="S37" i="39"/>
  <c r="G544" i="3"/>
  <c r="G536" i="3"/>
  <c r="G531" i="3"/>
  <c r="G528" i="3"/>
  <c r="G523" i="3"/>
  <c r="G514" i="3"/>
  <c r="G508" i="3"/>
  <c r="G500" i="3"/>
  <c r="G584" i="3"/>
  <c r="G580" i="3"/>
  <c r="G576" i="3"/>
  <c r="G572" i="3"/>
  <c r="G568" i="3"/>
  <c r="G564" i="3"/>
  <c r="G560" i="3"/>
  <c r="G554" i="3"/>
  <c r="BL584" i="3"/>
  <c r="BL580" i="3"/>
  <c r="BL576" i="3"/>
  <c r="BL572" i="3"/>
  <c r="BL568" i="3"/>
  <c r="BL564" i="3"/>
  <c r="BL560" i="3"/>
  <c r="BL530" i="3"/>
  <c r="BL582" i="3"/>
  <c r="BL578" i="3"/>
  <c r="BL574" i="3"/>
  <c r="BL570" i="3"/>
  <c r="BL566" i="3"/>
  <c r="BL562" i="3"/>
  <c r="BL556" i="3"/>
  <c r="G529" i="3"/>
  <c r="G493" i="3"/>
  <c r="BA584" i="3"/>
  <c r="AZ584" i="3" s="1"/>
  <c r="BA582" i="3"/>
  <c r="BA580" i="3"/>
  <c r="BA578" i="3"/>
  <c r="BA576" i="3"/>
  <c r="AZ576" i="3" s="1"/>
  <c r="BA574" i="3"/>
  <c r="BA572" i="3"/>
  <c r="AZ572" i="3" s="1"/>
  <c r="BA570" i="3"/>
  <c r="BA568" i="3"/>
  <c r="BA566" i="3"/>
  <c r="BA564" i="3"/>
  <c r="BA562" i="3"/>
  <c r="BA560" i="3"/>
  <c r="BA558" i="3"/>
  <c r="BA556" i="3"/>
  <c r="AZ556" i="3" s="1"/>
  <c r="BA544" i="3"/>
  <c r="AZ544" i="3" s="1"/>
  <c r="BA524" i="3"/>
  <c r="BA498" i="3"/>
  <c r="BA587" i="3"/>
  <c r="BA583" i="3"/>
  <c r="BA581" i="3"/>
  <c r="BA579" i="3"/>
  <c r="AZ579" i="3" s="1"/>
  <c r="BA577" i="3"/>
  <c r="BA575" i="3"/>
  <c r="BA573" i="3"/>
  <c r="BA571" i="3"/>
  <c r="AZ571" i="3" s="1"/>
  <c r="BA569" i="3"/>
  <c r="BA567" i="3"/>
  <c r="BA565" i="3"/>
  <c r="BA563" i="3"/>
  <c r="AZ563" i="3" s="1"/>
  <c r="BA561" i="3"/>
  <c r="BA559" i="3"/>
  <c r="BA543" i="3"/>
  <c r="BA507"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47" i="3"/>
  <c r="G545" i="3"/>
  <c r="G539" i="3"/>
  <c r="G537" i="3"/>
  <c r="BQ555" i="3"/>
  <c r="BQ553" i="3"/>
  <c r="BQ551" i="3"/>
  <c r="BQ549" i="3"/>
  <c r="BQ547" i="3"/>
  <c r="BL547" i="3" s="1"/>
  <c r="BQ545" i="3"/>
  <c r="BQ543" i="3"/>
  <c r="BQ541" i="3"/>
  <c r="BQ539" i="3"/>
  <c r="BQ537" i="3"/>
  <c r="BQ535" i="3"/>
  <c r="BQ533" i="3"/>
  <c r="BQ531" i="3"/>
  <c r="BQ529" i="3"/>
  <c r="BQ527" i="3"/>
  <c r="BL527" i="3" s="1"/>
  <c r="BQ525" i="3"/>
  <c r="BQ523" i="3"/>
  <c r="AC521" i="3"/>
  <c r="G521" i="3"/>
  <c r="BQ521" i="3"/>
  <c r="G517" i="3"/>
  <c r="G515" i="3"/>
  <c r="BQ519" i="3"/>
  <c r="BQ517" i="3"/>
  <c r="BQ515" i="3"/>
  <c r="BL515" i="3" s="1"/>
  <c r="AZ515" i="3" s="1"/>
  <c r="BQ513" i="3"/>
  <c r="BQ511" i="3"/>
  <c r="AC509" i="3"/>
  <c r="BQ509" i="3"/>
  <c r="G503" i="3"/>
  <c r="G501"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26" i="37"/>
  <c r="AC36" i="34"/>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c r="H94" i="37" s="1"/>
  <c r="I94" i="37" s="1"/>
  <c r="J94" i="37" s="1"/>
  <c r="K94" i="37" s="1"/>
  <c r="L94" i="37" s="1"/>
  <c r="M94" i="37" s="1"/>
  <c r="H31" i="37"/>
  <c r="U31" i="37"/>
  <c r="J15" i="37"/>
  <c r="W15" i="37"/>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AZ308" i="3" s="1"/>
  <c r="BA309" i="3"/>
  <c r="AZ309" i="3" s="1"/>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54" i="3"/>
  <c r="AZ162" i="3"/>
  <c r="AZ194" i="3"/>
  <c r="AZ198" i="3"/>
  <c r="BA16" i="3"/>
  <c r="BL303" i="3"/>
  <c r="AZ303" i="3" s="1"/>
  <c r="G304" i="3"/>
  <c r="BA306" i="3"/>
  <c r="BL307" i="3"/>
  <c r="AZ307" i="3" s="1"/>
  <c r="G308" i="3"/>
  <c r="BA310" i="3"/>
  <c r="AZ310" i="3"/>
  <c r="BL311" i="3"/>
  <c r="G312" i="3"/>
  <c r="BA314" i="3"/>
  <c r="AZ314" i="3"/>
  <c r="BL315" i="3"/>
  <c r="G316" i="3"/>
  <c r="BA318" i="3"/>
  <c r="AZ318" i="3" s="1"/>
  <c r="BL319" i="3"/>
  <c r="G320" i="3"/>
  <c r="BA322" i="3"/>
  <c r="AZ322" i="3" s="1"/>
  <c r="BL323" i="3"/>
  <c r="G324" i="3"/>
  <c r="BA326" i="3"/>
  <c r="AZ326" i="3"/>
  <c r="BL327" i="3"/>
  <c r="G328" i="3"/>
  <c r="BA330" i="3"/>
  <c r="BL331" i="3"/>
  <c r="AZ331" i="3" s="1"/>
  <c r="G332" i="3"/>
  <c r="BA334" i="3"/>
  <c r="AZ334" i="3" s="1"/>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91" i="3"/>
  <c r="BO5" i="3"/>
  <c r="AZ341" i="3"/>
  <c r="G538" i="3"/>
  <c r="G520" i="3"/>
  <c r="G502" i="3"/>
  <c r="G17" i="3"/>
  <c r="BA17" i="3"/>
  <c r="BT5" i="3"/>
  <c r="AZ350" i="3"/>
  <c r="BA15" i="3"/>
  <c r="AZ392" i="3"/>
  <c r="G509" i="3"/>
  <c r="U38" i="40"/>
  <c r="F83" i="43"/>
  <c r="H85" i="43" s="1"/>
  <c r="F50" i="43"/>
  <c r="H54" i="43" s="1"/>
  <c r="F72" i="43"/>
  <c r="H75" i="43" s="1"/>
  <c r="U19" i="39"/>
  <c r="S14" i="35"/>
  <c r="U43" i="21"/>
  <c r="U35" i="21"/>
  <c r="AC35" i="21"/>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71" i="3"/>
  <c r="AZ280" i="3"/>
  <c r="AZ50" i="3"/>
  <c r="AZ69" i="3"/>
  <c r="AZ82" i="3"/>
  <c r="F25" i="39"/>
  <c r="AA25" i="39" s="1"/>
  <c r="H27" i="36"/>
  <c r="U27" i="36" s="1"/>
  <c r="F27" i="36"/>
  <c r="AA27" i="36" s="1"/>
  <c r="H33" i="34"/>
  <c r="U33" i="34" s="1"/>
  <c r="F32" i="37"/>
  <c r="AA32" i="37"/>
  <c r="F20" i="36"/>
  <c r="AA20" i="36" s="1"/>
  <c r="J33" i="34"/>
  <c r="AC33" i="34" s="1"/>
  <c r="H25" i="39"/>
  <c r="U25" i="39" s="1"/>
  <c r="K9" i="1"/>
  <c r="M9" i="1" s="1"/>
  <c r="K6" i="1"/>
  <c r="AB34" i="36"/>
  <c r="U34" i="36"/>
  <c r="AB33" i="36"/>
  <c r="U33" i="36"/>
  <c r="AC14" i="39"/>
  <c r="W14" i="39"/>
  <c r="AZ433" i="3"/>
  <c r="W12" i="33"/>
  <c r="AC12" i="33"/>
  <c r="AA32" i="36"/>
  <c r="S32" i="36"/>
  <c r="AZ437" i="3"/>
  <c r="BL14" i="3"/>
  <c r="AA47" i="34"/>
  <c r="W28" i="37"/>
  <c r="S21" i="39"/>
  <c r="F12" i="33"/>
  <c r="H14" i="39"/>
  <c r="AB14" i="39"/>
  <c r="F41" i="40"/>
  <c r="AA41" i="40" s="1"/>
  <c r="BA14" i="3"/>
  <c r="AZ254" i="3"/>
  <c r="AZ297" i="3"/>
  <c r="AZ149" i="3"/>
  <c r="AZ181" i="3"/>
  <c r="B12" i="1"/>
  <c r="E12" i="1" s="1"/>
  <c r="B10" i="1"/>
  <c r="E10" i="1" s="1"/>
  <c r="AZ88" i="3"/>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A22" i="36"/>
  <c r="AB14" i="36"/>
  <c r="U22" i="36"/>
  <c r="S16" i="36"/>
  <c r="AA25" i="36"/>
  <c r="S24" i="36"/>
  <c r="U23" i="36"/>
  <c r="U16" i="36"/>
  <c r="S14" i="36"/>
  <c r="S23" i="35"/>
  <c r="W24" i="35"/>
  <c r="AB13" i="35"/>
  <c r="U28" i="35"/>
  <c r="AB27" i="35"/>
  <c r="U32" i="35"/>
  <c r="AA33" i="35"/>
  <c r="AC30" i="35"/>
  <c r="S32" i="35"/>
  <c r="S28" i="35"/>
  <c r="AB16" i="35"/>
  <c r="S20" i="35"/>
  <c r="AC20" i="35"/>
  <c r="S22" i="35"/>
  <c r="U14" i="35"/>
  <c r="AC9" i="35"/>
  <c r="W9" i="35"/>
  <c r="AC12" i="35"/>
  <c r="W13" i="35"/>
  <c r="F9" i="35"/>
  <c r="S9" i="35" s="1"/>
  <c r="H9" i="35"/>
  <c r="U9" i="35" s="1"/>
  <c r="AB40" i="37"/>
  <c r="W27"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U43" i="34"/>
  <c r="AC39" i="34"/>
  <c r="AC42" i="34"/>
  <c r="U39" i="34"/>
  <c r="AB41" i="34"/>
  <c r="AA45" i="34"/>
  <c r="U28" i="34"/>
  <c r="AA29" i="34"/>
  <c r="H10" i="34"/>
  <c r="AB10" i="34" s="1"/>
  <c r="F11" i="34"/>
  <c r="S11" i="34" s="1"/>
  <c r="F70" i="34"/>
  <c r="W42" i="33"/>
  <c r="AA35" i="33"/>
  <c r="S27" i="33"/>
  <c r="S32" i="33"/>
  <c r="AA29" i="33"/>
  <c r="AB29" i="33"/>
  <c r="W38" i="33"/>
  <c r="H41" i="33"/>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H120" i="9"/>
  <c r="H121" i="9" s="1"/>
  <c r="D7" i="52" s="1"/>
  <c r="C18" i="9"/>
  <c r="F34" i="67"/>
  <c r="F62" i="67" s="1"/>
  <c r="M20" i="67"/>
  <c r="F20" i="15"/>
  <c r="F72" i="15" s="1"/>
  <c r="BL17" i="3"/>
  <c r="AZ17" i="3" s="1"/>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AA17" i="40"/>
  <c r="U1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U32" i="36"/>
  <c r="W29" i="36"/>
  <c r="AC20" i="36"/>
  <c r="U25" i="36"/>
  <c r="AB28" i="36"/>
  <c r="AA13" i="36"/>
  <c r="W9" i="36"/>
  <c r="W22" i="36"/>
  <c r="W23" i="36"/>
  <c r="AB20" i="35"/>
  <c r="S24" i="35"/>
  <c r="U24" i="35"/>
  <c r="S35" i="35"/>
  <c r="W35" i="35"/>
  <c r="AA16" i="35"/>
  <c r="AA35" i="37"/>
  <c r="S27" i="37"/>
  <c r="S28" i="37"/>
  <c r="W32" i="37"/>
  <c r="U36" i="37"/>
  <c r="S40" i="37"/>
  <c r="U38" i="37"/>
  <c r="AB37" i="37"/>
  <c r="AC34" i="37"/>
  <c r="AB35" i="37"/>
  <c r="AA31" i="37"/>
  <c r="U19" i="37"/>
  <c r="AA29" i="37"/>
  <c r="U8" i="37"/>
  <c r="AB40" i="34"/>
  <c r="AC45" i="34"/>
  <c r="AB45" i="34"/>
  <c r="AB47" i="34"/>
  <c r="U25" i="34"/>
  <c r="AC14" i="34"/>
  <c r="AC32" i="34"/>
  <c r="AC29" i="34"/>
  <c r="W29" i="34"/>
  <c r="S32" i="34"/>
  <c r="AA32" i="34"/>
  <c r="U38" i="34"/>
  <c r="AC40" i="34"/>
  <c r="W40" i="34"/>
  <c r="S19" i="34"/>
  <c r="S36" i="34"/>
  <c r="AA8" i="34"/>
  <c r="S8" i="34"/>
  <c r="U32" i="34"/>
  <c r="AB32" i="34"/>
  <c r="U14" i="34"/>
  <c r="AB14" i="34"/>
  <c r="AC43" i="34"/>
  <c r="W4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7" i="21"/>
  <c r="AC19" i="21"/>
  <c r="W39" i="21"/>
  <c r="S46" i="21"/>
  <c r="H45" i="21"/>
  <c r="U45" i="21" s="1"/>
  <c r="F29" i="21"/>
  <c r="AA29" i="21" s="1"/>
  <c r="F13" i="21"/>
  <c r="AA13" i="21" s="1"/>
  <c r="AC38" i="21"/>
  <c r="H32" i="21"/>
  <c r="H9" i="21"/>
  <c r="J9" i="21"/>
  <c r="AC9" i="21" s="1"/>
  <c r="J32" i="21"/>
  <c r="W32" i="21" s="1"/>
  <c r="F32" i="21"/>
  <c r="AA31" i="21"/>
  <c r="U17" i="21"/>
  <c r="W2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22" i="15"/>
  <c r="L47" i="67"/>
  <c r="F16" i="67"/>
  <c r="F6" i="73"/>
  <c r="AO13" i="1"/>
  <c r="F42" i="67"/>
  <c r="M9" i="67"/>
  <c r="F26" i="67"/>
  <c r="F24" i="15"/>
  <c r="E11" i="76"/>
  <c r="F43" i="67"/>
  <c r="F32" i="15"/>
  <c r="E10" i="76"/>
  <c r="E8" i="76"/>
  <c r="F26" i="15"/>
  <c r="M9" i="15"/>
  <c r="D6" i="73"/>
  <c r="M30" i="15"/>
  <c r="F9" i="67"/>
  <c r="F38" i="67"/>
  <c r="M28" i="15"/>
  <c r="F8" i="15"/>
  <c r="F6" i="67"/>
  <c r="F28" i="15"/>
  <c r="F5" i="73"/>
  <c r="M36" i="15"/>
  <c r="F38" i="15"/>
  <c r="F9" i="15"/>
  <c r="B9" i="76"/>
  <c r="E9" i="76"/>
  <c r="J15" i="67"/>
  <c r="M24" i="67"/>
  <c r="M8" i="67"/>
  <c r="F3" i="73"/>
  <c r="F6" i="15"/>
  <c r="M22" i="67"/>
  <c r="B7" i="76"/>
  <c r="L56" i="15"/>
  <c r="M6" i="67"/>
  <c r="M31" i="15"/>
  <c r="B8" i="76"/>
  <c r="M22" i="15"/>
  <c r="B10" i="76"/>
  <c r="F4" i="73"/>
  <c r="F52" i="15"/>
  <c r="F7" i="67"/>
  <c r="B11" i="76"/>
  <c r="E13" i="76"/>
  <c r="E7" i="76"/>
  <c r="F48" i="15"/>
  <c r="B12" i="76"/>
  <c r="M26" i="15"/>
  <c r="F7" i="73"/>
  <c r="F7" i="15"/>
  <c r="E12" i="76"/>
  <c r="E2" i="69"/>
  <c r="C88" i="15"/>
  <c r="M23" i="67"/>
  <c r="M6" i="15"/>
  <c r="M29" i="67"/>
  <c r="M26" i="67"/>
  <c r="F13" i="67"/>
  <c r="M8" i="15"/>
  <c r="M28" i="67"/>
  <c r="F40" i="67"/>
  <c r="F37" i="67"/>
  <c r="C76" i="67"/>
  <c r="F30" i="15"/>
  <c r="M24" i="15"/>
  <c r="F20" i="31"/>
  <c r="F8" i="67"/>
  <c r="F36" i="67"/>
  <c r="B13" i="76"/>
  <c r="AC23" i="34" l="1"/>
  <c r="F6" i="1"/>
  <c r="H27" i="34"/>
  <c r="AB27" i="34" s="1"/>
  <c r="J27" i="34"/>
  <c r="AA40" i="34"/>
  <c r="AC44" i="34"/>
  <c r="AB35" i="34"/>
  <c r="AA33" i="34"/>
  <c r="S17" i="34"/>
  <c r="U15" i="34"/>
  <c r="W33" i="34"/>
  <c r="W41" i="34"/>
  <c r="AC13" i="34"/>
  <c r="AC15" i="34"/>
  <c r="AB33" i="34"/>
  <c r="U19" i="34"/>
  <c r="AB46" i="34"/>
  <c r="U34" i="34"/>
  <c r="S13" i="34"/>
  <c r="S43" i="34"/>
  <c r="S23" i="34"/>
  <c r="S21" i="34"/>
  <c r="W19" i="34"/>
  <c r="AB17" i="34"/>
  <c r="AB9" i="34"/>
  <c r="B79" i="43"/>
  <c r="B57" i="43"/>
  <c r="AZ552" i="3"/>
  <c r="AZ510" i="3"/>
  <c r="W12" i="37"/>
  <c r="AC12" i="37"/>
  <c r="AC8" i="34"/>
  <c r="W8" i="34"/>
  <c r="J36" i="35"/>
  <c r="AC36" i="35" s="1"/>
  <c r="H36" i="35"/>
  <c r="AA40" i="40"/>
  <c r="S40" i="40"/>
  <c r="AZ540" i="3"/>
  <c r="BL534" i="3"/>
  <c r="BA534" i="3"/>
  <c r="BA533" i="3"/>
  <c r="AZ533" i="3" s="1"/>
  <c r="BA532" i="3"/>
  <c r="AZ532" i="3" s="1"/>
  <c r="BL498" i="3"/>
  <c r="AZ498" i="3" s="1"/>
  <c r="BR5" i="3"/>
  <c r="BH5" i="3"/>
  <c r="BA496" i="3"/>
  <c r="AZ496" i="3" s="1"/>
  <c r="BL495" i="3"/>
  <c r="BA493" i="3"/>
  <c r="AZ493" i="3" s="1"/>
  <c r="C21" i="71"/>
  <c r="D21" i="71" s="1"/>
  <c r="W9" i="21"/>
  <c r="AA25" i="34"/>
  <c r="W25" i="34"/>
  <c r="AA36" i="35"/>
  <c r="AC26" i="36"/>
  <c r="W26" i="33"/>
  <c r="S15" i="37"/>
  <c r="BB5" i="3"/>
  <c r="BN5" i="3"/>
  <c r="BD5" i="3"/>
  <c r="AZ376" i="3"/>
  <c r="AZ570" i="3"/>
  <c r="AB30" i="21"/>
  <c r="AA16" i="40"/>
  <c r="S16" i="40"/>
  <c r="F14" i="21"/>
  <c r="H14" i="21"/>
  <c r="J14" i="21"/>
  <c r="F30" i="21"/>
  <c r="J30" i="21"/>
  <c r="H13" i="33"/>
  <c r="U13" i="33" s="1"/>
  <c r="F13" i="33"/>
  <c r="H31" i="33"/>
  <c r="F31" i="33"/>
  <c r="J12" i="34"/>
  <c r="H12" i="34"/>
  <c r="F12" i="34"/>
  <c r="S12" i="34" s="1"/>
  <c r="H30" i="34"/>
  <c r="F30" i="34"/>
  <c r="F46" i="34"/>
  <c r="J46" i="34"/>
  <c r="J11" i="35"/>
  <c r="F11" i="35"/>
  <c r="F25" i="35"/>
  <c r="H25" i="35"/>
  <c r="J25" i="35"/>
  <c r="S36" i="40"/>
  <c r="AA36" i="40"/>
  <c r="AB40" i="40"/>
  <c r="U40" i="40"/>
  <c r="AB19" i="33"/>
  <c r="AA44" i="34"/>
  <c r="S44" i="34"/>
  <c r="BL542" i="3"/>
  <c r="BA542" i="3"/>
  <c r="BA541" i="3"/>
  <c r="AZ541" i="3" s="1"/>
  <c r="BL525" i="3"/>
  <c r="AZ525" i="3" s="1"/>
  <c r="BA514" i="3"/>
  <c r="BA511" i="3"/>
  <c r="BL504" i="3"/>
  <c r="AZ504" i="3" s="1"/>
  <c r="AZ502" i="3"/>
  <c r="BA502" i="3"/>
  <c r="BA500" i="3"/>
  <c r="AZ500" i="3" s="1"/>
  <c r="BL499" i="3"/>
  <c r="AZ499" i="3" s="1"/>
  <c r="BK5" i="3"/>
  <c r="AC35" i="33"/>
  <c r="S19" i="21"/>
  <c r="AB36" i="34"/>
  <c r="AC25" i="36"/>
  <c r="AB33" i="40"/>
  <c r="U22" i="35"/>
  <c r="AC14" i="35"/>
  <c r="BP5" i="3"/>
  <c r="G29" i="6" s="1"/>
  <c r="S25" i="21"/>
  <c r="AA25" i="21"/>
  <c r="BL523" i="3"/>
  <c r="U45" i="33"/>
  <c r="AB45" i="33"/>
  <c r="W17" i="34"/>
  <c r="AC17" i="34"/>
  <c r="AB38" i="39"/>
  <c r="U38" i="39"/>
  <c r="AA42" i="34"/>
  <c r="S42" i="34"/>
  <c r="BA555" i="3"/>
  <c r="BA554" i="3"/>
  <c r="AZ554" i="3" s="1"/>
  <c r="BA547" i="3"/>
  <c r="AZ547" i="3" s="1"/>
  <c r="BA545" i="3"/>
  <c r="BA536" i="3"/>
  <c r="AZ536" i="3" s="1"/>
  <c r="BA530" i="3"/>
  <c r="AZ530" i="3" s="1"/>
  <c r="BL529" i="3"/>
  <c r="AZ529" i="3" s="1"/>
  <c r="BL528" i="3"/>
  <c r="BA528" i="3"/>
  <c r="AZ528" i="3" s="1"/>
  <c r="BA523" i="3"/>
  <c r="BL522" i="3"/>
  <c r="BA522" i="3"/>
  <c r="AZ522" i="3" s="1"/>
  <c r="BL521" i="3"/>
  <c r="AZ521" i="3" s="1"/>
  <c r="BA521" i="3"/>
  <c r="BL520" i="3"/>
  <c r="BA520" i="3"/>
  <c r="AZ520" i="3" s="1"/>
  <c r="BA519" i="3"/>
  <c r="BA518" i="3"/>
  <c r="AZ518" i="3" s="1"/>
  <c r="BL516" i="3"/>
  <c r="AZ516" i="3" s="1"/>
  <c r="BL514" i="3"/>
  <c r="BL513" i="3"/>
  <c r="BA513" i="3"/>
  <c r="BA508" i="3"/>
  <c r="AZ508" i="3" s="1"/>
  <c r="BA503" i="3"/>
  <c r="AZ503" i="3" s="1"/>
  <c r="BA501" i="3"/>
  <c r="AZ501" i="3" s="1"/>
  <c r="BI5" i="3"/>
  <c r="BA494" i="3"/>
  <c r="AZ494" i="3" s="1"/>
  <c r="AA17" i="33"/>
  <c r="AC23" i="37"/>
  <c r="AA31" i="34"/>
  <c r="W36" i="37"/>
  <c r="AC29" i="37"/>
  <c r="AB20" i="36"/>
  <c r="W14" i="36"/>
  <c r="U30" i="33"/>
  <c r="AC5" i="3"/>
  <c r="BM5" i="3"/>
  <c r="AZ389" i="3"/>
  <c r="AZ342" i="3"/>
  <c r="AZ337" i="3"/>
  <c r="W31" i="33"/>
  <c r="AC31" i="33"/>
  <c r="S29" i="35"/>
  <c r="AA29" i="35"/>
  <c r="AC13" i="40"/>
  <c r="J33" i="40"/>
  <c r="F33" i="40"/>
  <c r="BA546" i="3"/>
  <c r="AZ546" i="3" s="1"/>
  <c r="BA538" i="3"/>
  <c r="AZ538" i="3" s="1"/>
  <c r="BA537" i="3"/>
  <c r="AZ537" i="3" s="1"/>
  <c r="BL526" i="3"/>
  <c r="BA526" i="3"/>
  <c r="AZ526" i="3" s="1"/>
  <c r="BL524" i="3"/>
  <c r="AZ524" i="3" s="1"/>
  <c r="BA512" i="3"/>
  <c r="AZ512" i="3" s="1"/>
  <c r="BL506" i="3"/>
  <c r="BA506" i="3"/>
  <c r="AZ506" i="3" s="1"/>
  <c r="BL505" i="3"/>
  <c r="AZ505" i="3" s="1"/>
  <c r="BA505" i="3"/>
  <c r="BS5" i="3"/>
  <c r="BL497" i="3"/>
  <c r="BA497" i="3"/>
  <c r="BJ5" i="3"/>
  <c r="AZ345" i="3"/>
  <c r="AZ371" i="3"/>
  <c r="AZ305" i="3"/>
  <c r="AZ360" i="3"/>
  <c r="W47" i="34"/>
  <c r="BL511" i="3"/>
  <c r="AZ511" i="3" s="1"/>
  <c r="BL539" i="3"/>
  <c r="AZ539" i="3" s="1"/>
  <c r="BL543" i="3"/>
  <c r="AZ543" i="3" s="1"/>
  <c r="BL553" i="3"/>
  <c r="AZ553" i="3" s="1"/>
  <c r="AZ564" i="3"/>
  <c r="AZ580" i="3"/>
  <c r="AA14" i="33"/>
  <c r="F9" i="34"/>
  <c r="AA9" i="34" s="1"/>
  <c r="J9" i="34"/>
  <c r="AC28" i="36"/>
  <c r="W28" i="36"/>
  <c r="J39" i="37"/>
  <c r="H39" i="37"/>
  <c r="F39" i="37"/>
  <c r="S39" i="37" s="1"/>
  <c r="AC10" i="40"/>
  <c r="W10" i="40"/>
  <c r="J41" i="40"/>
  <c r="H41" i="40"/>
  <c r="AZ402" i="3"/>
  <c r="AZ387" i="3"/>
  <c r="AZ338" i="3"/>
  <c r="AZ319" i="3"/>
  <c r="AZ311" i="3"/>
  <c r="AZ364" i="3"/>
  <c r="AZ329" i="3"/>
  <c r="AZ304" i="3"/>
  <c r="AZ306" i="3"/>
  <c r="BL535" i="3"/>
  <c r="AZ535" i="3" s="1"/>
  <c r="AZ577" i="3"/>
  <c r="AZ557" i="3"/>
  <c r="AZ575" i="3"/>
  <c r="AZ566" i="3"/>
  <c r="AZ574" i="3"/>
  <c r="AZ582" i="3"/>
  <c r="W31" i="34"/>
  <c r="S41" i="33"/>
  <c r="AB23" i="34"/>
  <c r="BL585" i="3"/>
  <c r="AZ585" i="3" s="1"/>
  <c r="B75" i="43"/>
  <c r="H12" i="36"/>
  <c r="J12" i="36"/>
  <c r="BL519" i="3"/>
  <c r="AZ519" i="3" s="1"/>
  <c r="BL531" i="3"/>
  <c r="AZ531" i="3" s="1"/>
  <c r="AZ568" i="3"/>
  <c r="J24" i="36"/>
  <c r="H24" i="36"/>
  <c r="AA46" i="39"/>
  <c r="S46" i="39"/>
  <c r="AZ443" i="3"/>
  <c r="BA551" i="3"/>
  <c r="AZ551" i="3" s="1"/>
  <c r="BA550" i="3"/>
  <c r="BL548" i="3"/>
  <c r="AZ548" i="3" s="1"/>
  <c r="AZ406"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BL461" i="3"/>
  <c r="BL463" i="3"/>
  <c r="G465" i="3"/>
  <c r="BA471" i="3"/>
  <c r="AZ471" i="3" s="1"/>
  <c r="G481" i="3"/>
  <c r="BA482" i="3"/>
  <c r="BA484" i="3"/>
  <c r="AZ484" i="3" s="1"/>
  <c r="G490" i="3"/>
  <c r="BA491" i="3"/>
  <c r="BA319" i="3"/>
  <c r="BA398" i="3"/>
  <c r="AZ398" i="3" s="1"/>
  <c r="BA399" i="3"/>
  <c r="AZ399" i="3" s="1"/>
  <c r="BL401" i="3"/>
  <c r="BL404" i="3"/>
  <c r="BL405" i="3"/>
  <c r="BL407" i="3"/>
  <c r="AZ407" i="3" s="1"/>
  <c r="BA412" i="3"/>
  <c r="AZ412" i="3" s="1"/>
  <c r="BA414" i="3"/>
  <c r="AZ414" i="3" s="1"/>
  <c r="AZ415" i="3"/>
  <c r="AZ421" i="3"/>
  <c r="AZ425" i="3"/>
  <c r="AZ435" i="3"/>
  <c r="AZ451" i="3"/>
  <c r="AZ460" i="3"/>
  <c r="AZ461" i="3"/>
  <c r="AZ469" i="3"/>
  <c r="U31" i="36"/>
  <c r="G585" i="3"/>
  <c r="BL587" i="3"/>
  <c r="AZ587" i="3" s="1"/>
  <c r="BL586" i="3"/>
  <c r="AZ586" i="3" s="1"/>
  <c r="J40" i="40"/>
  <c r="G551" i="3"/>
  <c r="BL550" i="3"/>
  <c r="G542" i="3"/>
  <c r="BA401" i="3"/>
  <c r="AZ401" i="3" s="1"/>
  <c r="BA403" i="3"/>
  <c r="AZ403" i="3" s="1"/>
  <c r="BA404" i="3"/>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78" i="3"/>
  <c r="AZ487" i="3"/>
  <c r="W25" i="37"/>
  <c r="G587" i="3"/>
  <c r="F25" i="37"/>
  <c r="BL16" i="3"/>
  <c r="AZ16" i="3" s="1"/>
  <c r="G398" i="3"/>
  <c r="G399" i="3"/>
  <c r="BL400" i="3"/>
  <c r="AZ400" i="3" s="1"/>
  <c r="BL408" i="3"/>
  <c r="AZ408" i="3" s="1"/>
  <c r="BL411" i="3"/>
  <c r="AZ411" i="3" s="1"/>
  <c r="BL413" i="3"/>
  <c r="AZ413" i="3" s="1"/>
  <c r="G415" i="3"/>
  <c r="G416"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88" i="3"/>
  <c r="AZ488" i="3" s="1"/>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BL270" i="3"/>
  <c r="AZ270" i="3" s="1"/>
  <c r="BA272" i="3"/>
  <c r="AZ272" i="3" s="1"/>
  <c r="BA277" i="3"/>
  <c r="AZ277" i="3" s="1"/>
  <c r="BL277" i="3"/>
  <c r="BA134" i="3"/>
  <c r="BA177" i="3"/>
  <c r="AZ177" i="3" s="1"/>
  <c r="BA256" i="3"/>
  <c r="BL256" i="3"/>
  <c r="BA258" i="3"/>
  <c r="BL264" i="3"/>
  <c r="BL266" i="3"/>
  <c r="BL273" i="3"/>
  <c r="G274" i="3"/>
  <c r="BA276" i="3"/>
  <c r="BA278" i="3"/>
  <c r="AZ278" i="3" s="1"/>
  <c r="BA282" i="3"/>
  <c r="BL282" i="3"/>
  <c r="BA2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81" i="3"/>
  <c r="BL283" i="3"/>
  <c r="AZ283" i="3" s="1"/>
  <c r="G291" i="3"/>
  <c r="BA296" i="3"/>
  <c r="G299" i="3"/>
  <c r="BL300" i="3"/>
  <c r="BL122" i="3"/>
  <c r="BA126" i="3"/>
  <c r="BA132" i="3"/>
  <c r="AZ132" i="3" s="1"/>
  <c r="BL133" i="3"/>
  <c r="AZ133" i="3" s="1"/>
  <c r="BL173" i="3"/>
  <c r="AZ173"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9" i="3"/>
  <c r="BA284" i="3"/>
  <c r="BL286" i="3"/>
  <c r="AZ286" i="3" s="1"/>
  <c r="BL298" i="3"/>
  <c r="G116" i="3"/>
  <c r="BA117" i="3"/>
  <c r="BL127" i="3"/>
  <c r="AZ127" i="3" s="1"/>
  <c r="BA130" i="3"/>
  <c r="BL130" i="3"/>
  <c r="BA156" i="3"/>
  <c r="AZ156"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AZ64" i="3"/>
  <c r="BL73" i="3"/>
  <c r="BA74" i="3"/>
  <c r="AZ74" i="3" s="1"/>
  <c r="BA75" i="3"/>
  <c r="BA102" i="3"/>
  <c r="T40" i="71"/>
  <c r="D40" i="7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BL54" i="3"/>
  <c r="BL76" i="3"/>
  <c r="BL77" i="3"/>
  <c r="AZ77" i="3" s="1"/>
  <c r="BA79" i="3"/>
  <c r="AZ79" i="3" s="1"/>
  <c r="G82" i="3"/>
  <c r="BL83" i="3"/>
  <c r="G88" i="3"/>
  <c r="BA90" i="3"/>
  <c r="BA94" i="3"/>
  <c r="AZ94" i="3" s="1"/>
  <c r="BL99" i="3"/>
  <c r="BL110" i="3"/>
  <c r="BA111" i="3"/>
  <c r="C32" i="71"/>
  <c r="D31" i="71"/>
  <c r="D46" i="71"/>
  <c r="C47" i="71"/>
  <c r="D47" i="71" s="1"/>
  <c r="C52" i="71"/>
  <c r="D51" i="71"/>
  <c r="C64" i="71"/>
  <c r="D63" i="71"/>
  <c r="N67" i="71"/>
  <c r="B66" i="7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BA38" i="3"/>
  <c r="BA41" i="3"/>
  <c r="AZ41" i="3" s="1"/>
  <c r="BA42" i="3"/>
  <c r="G46" i="3"/>
  <c r="BL48" i="3"/>
  <c r="BA55" i="3"/>
  <c r="AZ55" i="3" s="1"/>
  <c r="BA56" i="3"/>
  <c r="BA57" i="3"/>
  <c r="BL58" i="3"/>
  <c r="BA60" i="3"/>
  <c r="BA63" i="3"/>
  <c r="BA66" i="3"/>
  <c r="C55" i="71"/>
  <c r="D54" i="71"/>
  <c r="BL206" i="3"/>
  <c r="G22" i="3"/>
  <c r="G24" i="3"/>
  <c r="G25" i="3"/>
  <c r="BA27" i="3"/>
  <c r="G30" i="3"/>
  <c r="BL30" i="3"/>
  <c r="BL31" i="3"/>
  <c r="G35" i="3"/>
  <c r="G36" i="3"/>
  <c r="G40" i="3"/>
  <c r="BL40" i="3"/>
  <c r="BL41" i="3"/>
  <c r="G45" i="3"/>
  <c r="BL45" i="3"/>
  <c r="AZ45" i="3" s="1"/>
  <c r="BA48" i="3"/>
  <c r="BA49" i="3"/>
  <c r="AZ49" i="3" s="1"/>
  <c r="BA51" i="3"/>
  <c r="AZ51" i="3" s="1"/>
  <c r="BL52" i="3"/>
  <c r="G53" i="3"/>
  <c r="BL53" i="3"/>
  <c r="AZ53" i="3" s="1"/>
  <c r="BL57" i="3"/>
  <c r="G62" i="3"/>
  <c r="BL62" i="3"/>
  <c r="AZ62" i="3" s="1"/>
  <c r="BL63" i="3"/>
  <c r="G65" i="3"/>
  <c r="BL65" i="3"/>
  <c r="AZ65" i="3" s="1"/>
  <c r="BL66" i="3"/>
  <c r="BL67" i="3"/>
  <c r="AZ67" i="3" s="1"/>
  <c r="G69" i="3"/>
  <c r="G70" i="3"/>
  <c r="BL70" i="3"/>
  <c r="AZ70" i="3" s="1"/>
  <c r="BL71" i="3"/>
  <c r="AZ71" i="3" s="1"/>
  <c r="BL72" i="3"/>
  <c r="AZ72" i="3" s="1"/>
  <c r="G74" i="3"/>
  <c r="G75" i="3"/>
  <c r="BL75" i="3"/>
  <c r="BL105" i="3"/>
  <c r="AZ105" i="3" s="1"/>
  <c r="BL107" i="3"/>
  <c r="G112" i="3"/>
  <c r="BL112" i="3"/>
  <c r="B13" i="1"/>
  <c r="E13" i="1" s="1"/>
  <c r="K13" i="1"/>
  <c r="M13" i="1" s="1"/>
  <c r="O13" i="1" s="1"/>
  <c r="P13" i="1" s="1"/>
  <c r="P65" i="71"/>
  <c r="P66" i="71"/>
  <c r="V24" i="71"/>
  <c r="E23" i="71"/>
  <c r="E22" i="71" s="1"/>
  <c r="E21" i="71" s="1"/>
  <c r="E20" i="71" s="1"/>
  <c r="AB21" i="33"/>
  <c r="B68" i="43"/>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C71" i="81"/>
  <c r="M9" i="81"/>
  <c r="D7" i="73"/>
  <c r="L57" i="81"/>
  <c r="F26" i="81"/>
  <c r="D4" i="73"/>
  <c r="L56" i="81"/>
  <c r="M28" i="81"/>
  <c r="M22" i="81"/>
  <c r="D3" i="73"/>
  <c r="F6" i="81"/>
  <c r="L57" i="15"/>
  <c r="F9" i="81"/>
  <c r="F28" i="81"/>
  <c r="F7" i="81"/>
  <c r="F38" i="81"/>
  <c r="C16" i="67"/>
  <c r="F52" i="81"/>
  <c r="C38" i="15"/>
  <c r="L48" i="67"/>
  <c r="M30" i="81"/>
  <c r="F22" i="81"/>
  <c r="M8" i="81"/>
  <c r="F8" i="81"/>
  <c r="M6" i="81"/>
  <c r="F32" i="81"/>
  <c r="F48" i="81"/>
  <c r="C88" i="81"/>
  <c r="F24" i="81"/>
  <c r="M31" i="81"/>
  <c r="D5" i="73"/>
  <c r="M36" i="81"/>
  <c r="M26" i="81"/>
  <c r="M24" i="81"/>
  <c r="F30" i="81"/>
  <c r="U27" i="34" l="1"/>
  <c r="AC27" i="34"/>
  <c r="W27" i="34"/>
  <c r="S9" i="34"/>
  <c r="H16" i="1"/>
  <c r="Q16" i="1"/>
  <c r="F27" i="69" s="1"/>
  <c r="F45" i="69" s="1"/>
  <c r="E12" i="6"/>
  <c r="E59" i="40" s="1"/>
  <c r="AZ108" i="3"/>
  <c r="AZ63" i="3"/>
  <c r="AZ31" i="3"/>
  <c r="T52" i="71"/>
  <c r="D52" i="71"/>
  <c r="T32" i="71"/>
  <c r="D32" i="71"/>
  <c r="AZ197" i="3"/>
  <c r="AZ130" i="3"/>
  <c r="AZ273" i="3"/>
  <c r="AZ243" i="3"/>
  <c r="AZ368" i="3"/>
  <c r="AZ353" i="3"/>
  <c r="AZ256" i="3"/>
  <c r="AZ229" i="3"/>
  <c r="AZ218" i="3"/>
  <c r="AZ404" i="3"/>
  <c r="AZ428" i="3"/>
  <c r="AZ550" i="3"/>
  <c r="U12" i="36"/>
  <c r="AB12" i="36"/>
  <c r="U41" i="40"/>
  <c r="AB41" i="40"/>
  <c r="AA33" i="40"/>
  <c r="S33" i="40"/>
  <c r="AZ523" i="3"/>
  <c r="S11" i="35"/>
  <c r="AA11" i="35"/>
  <c r="S30" i="34"/>
  <c r="AA30" i="34"/>
  <c r="W12" i="34"/>
  <c r="AC12" i="34"/>
  <c r="U14" i="21"/>
  <c r="AB14" i="21"/>
  <c r="C86" i="71"/>
  <c r="D86" i="71" s="1"/>
  <c r="D87" i="71"/>
  <c r="AZ111" i="3"/>
  <c r="AZ52" i="3"/>
  <c r="AZ25" i="3"/>
  <c r="AZ102" i="3"/>
  <c r="AZ190" i="3"/>
  <c r="AA25" i="37"/>
  <c r="S25" i="37"/>
  <c r="AZ491" i="3"/>
  <c r="AZ432" i="3"/>
  <c r="AZ417" i="3"/>
  <c r="AC41" i="40"/>
  <c r="W41" i="40"/>
  <c r="AB39" i="37"/>
  <c r="U39" i="37"/>
  <c r="AC9" i="34"/>
  <c r="W9" i="34"/>
  <c r="AC33" i="40"/>
  <c r="W33" i="40"/>
  <c r="AC25" i="35"/>
  <c r="W25" i="35"/>
  <c r="W11" i="35"/>
  <c r="AC11" i="35"/>
  <c r="AB30" i="34"/>
  <c r="U30" i="34"/>
  <c r="S31" i="33"/>
  <c r="AA31" i="33"/>
  <c r="W30" i="21"/>
  <c r="AC30" i="21"/>
  <c r="S14" i="21"/>
  <c r="AA14" i="21"/>
  <c r="AZ534" i="3"/>
  <c r="C36" i="71"/>
  <c r="D35" i="71"/>
  <c r="B27" i="71"/>
  <c r="B26" i="71" s="1"/>
  <c r="S28" i="71"/>
  <c r="C56" i="71"/>
  <c r="D55" i="71"/>
  <c r="AZ118" i="3"/>
  <c r="AZ75" i="3"/>
  <c r="AZ284" i="3"/>
  <c r="AZ126" i="3"/>
  <c r="AZ332" i="3"/>
  <c r="AC40" i="40"/>
  <c r="W40" i="40"/>
  <c r="AB24" i="36"/>
  <c r="U24" i="36"/>
  <c r="AC39" i="37"/>
  <c r="W39" i="37"/>
  <c r="AZ497" i="3"/>
  <c r="AZ513" i="3"/>
  <c r="AZ514" i="3"/>
  <c r="AZ542" i="3"/>
  <c r="AB25" i="35"/>
  <c r="U25" i="35"/>
  <c r="AC46" i="34"/>
  <c r="W46" i="34"/>
  <c r="S30" i="21"/>
  <c r="AA30" i="21"/>
  <c r="AB36" i="35"/>
  <c r="U36" i="35"/>
  <c r="J7" i="36"/>
  <c r="G5" i="3"/>
  <c r="B3" i="3" s="1"/>
  <c r="AT6" i="3" s="1"/>
  <c r="C44" i="71"/>
  <c r="D43" i="71"/>
  <c r="C26" i="71"/>
  <c r="D26" i="71" s="1"/>
  <c r="D27" i="71"/>
  <c r="AZ66" i="3"/>
  <c r="AZ57" i="3"/>
  <c r="N65" i="71"/>
  <c r="N66" i="71"/>
  <c r="AZ38" i="3"/>
  <c r="AZ282" i="3"/>
  <c r="AZ251" i="3"/>
  <c r="AZ247" i="3"/>
  <c r="AZ429" i="3"/>
  <c r="AC24" i="36"/>
  <c r="W24" i="36"/>
  <c r="W12" i="36"/>
  <c r="AC12" i="36"/>
  <c r="S25" i="35"/>
  <c r="AA25" i="35"/>
  <c r="S46" i="34"/>
  <c r="AA46" i="34"/>
  <c r="U12" i="34"/>
  <c r="AB12" i="34"/>
  <c r="AA13" i="33"/>
  <c r="S13" i="33"/>
  <c r="W14" i="21"/>
  <c r="AC14" i="2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G16" i="1" l="1"/>
  <c r="AC6" i="3"/>
  <c r="E16" i="6"/>
  <c r="E62" i="40"/>
  <c r="D56" i="71"/>
  <c r="T56" i="71"/>
  <c r="D36" i="71"/>
  <c r="T36" i="71"/>
  <c r="W7" i="37"/>
  <c r="T44" i="71"/>
  <c r="D44"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AE6" i="1"/>
  <c r="F29" i="81"/>
  <c r="M29" i="15"/>
  <c r="F41" i="67"/>
  <c r="M29" i="81"/>
  <c r="M27" i="67"/>
  <c r="F29" i="15"/>
  <c r="W12" i="40" l="1"/>
  <c r="R50" i="34"/>
  <c r="C50" i="34" s="1"/>
  <c r="D2" i="34" s="1"/>
  <c r="B2" i="34" s="1"/>
  <c r="F71" i="39"/>
  <c r="I46" i="37"/>
  <c r="J46" i="37"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C66" i="67"/>
  <c r="C60" i="67"/>
  <c r="D10" i="69"/>
  <c r="C34" i="69"/>
  <c r="D23" i="12"/>
  <c r="D22" i="12"/>
  <c r="D16" i="68"/>
  <c r="C39" i="15"/>
  <c r="C17" i="67"/>
  <c r="C14" i="67"/>
  <c r="C39" i="81"/>
  <c r="C36" i="81"/>
  <c r="E54" i="34" l="1"/>
  <c r="F54" i="34" s="1"/>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35" i="67"/>
  <c r="M21" i="67"/>
  <c r="M21" i="81"/>
  <c r="F21" i="81"/>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7"/>
  <c r="L60" i="81"/>
  <c r="F2" i="34"/>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C20" i="9"/>
  <c r="AO12" i="1"/>
  <c r="C103" i="9" l="1"/>
  <c r="L55" i="8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L60" i="15"/>
  <c r="J32" i="15" l="1"/>
  <c r="Q56" i="15"/>
  <c r="Q62" i="15" s="1"/>
  <c r="Q74" i="15"/>
  <c r="Q65" i="15"/>
  <c r="L66" i="15"/>
  <c r="L69" i="15" s="1"/>
  <c r="Q77" i="15"/>
  <c r="Q80" i="15"/>
  <c r="Q79" i="15" s="1"/>
  <c r="C92" i="15"/>
  <c r="C91" i="15" s="1"/>
  <c r="F33" i="15"/>
  <c r="D102" i="9"/>
  <c r="I19" i="9"/>
  <c r="B7" i="70"/>
  <c r="D103" i="9"/>
  <c r="G20" i="9"/>
  <c r="I20" i="9" s="1"/>
  <c r="D22" i="9"/>
  <c r="G19" i="9"/>
  <c r="F67" i="39"/>
  <c r="B2" i="39" s="1"/>
  <c r="C32" i="15"/>
  <c r="C55" i="15"/>
  <c r="D6" i="71"/>
  <c r="C5" i="71"/>
  <c r="D5" i="71" s="1"/>
  <c r="M24" i="43" s="1"/>
  <c r="C44" i="40"/>
  <c r="C45" i="40"/>
  <c r="E49" i="40"/>
  <c r="F49" i="40" s="1"/>
  <c r="E48" i="40"/>
  <c r="F48" i="40" s="1"/>
  <c r="I49" i="40"/>
  <c r="J49" i="40" s="1"/>
  <c r="I21" i="9" l="1"/>
  <c r="D14" i="74"/>
  <c r="G14" i="74" s="1"/>
  <c r="G22" i="9"/>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B3" i="40"/>
  <c r="B4" i="40"/>
  <c r="B5" i="40"/>
  <c r="C95" i="15"/>
  <c r="C94" i="15" s="1"/>
  <c r="E14" i="74"/>
  <c r="F14" i="74"/>
  <c r="B5" i="74"/>
  <c r="AO6" i="1"/>
  <c r="AO9" i="1"/>
  <c r="AO8" i="1"/>
  <c r="D5" i="74" l="1"/>
  <c r="C5" i="74"/>
  <c r="B9" i="70"/>
  <c r="B8" i="70"/>
  <c r="B6" i="70"/>
  <c r="B3" i="15"/>
  <c r="B6" i="74"/>
  <c r="C104" i="9"/>
  <c r="H4" i="52"/>
  <c r="I4" i="52"/>
  <c r="H119" i="9"/>
  <c r="H5" i="52" s="1"/>
  <c r="H101" i="9"/>
  <c r="D5" i="53" s="1"/>
  <c r="D35" i="9"/>
  <c r="D34" i="9"/>
  <c r="C35" i="9" l="1"/>
  <c r="D6" i="74"/>
  <c r="C6" i="74"/>
  <c r="B2" i="70"/>
  <c r="B3" i="70" s="1"/>
  <c r="D45" i="9"/>
  <c r="M48" i="9"/>
  <c r="B20" i="72"/>
  <c r="D6" i="53"/>
  <c r="B22" i="72" s="1"/>
  <c r="H102" i="9"/>
  <c r="D7" i="53" s="1"/>
  <c r="B21" i="72" s="1"/>
  <c r="H107" i="9"/>
  <c r="C105" i="9"/>
  <c r="M119" i="9" l="1"/>
  <c r="C34" i="9"/>
  <c r="M117" i="9"/>
  <c r="G118" i="9" s="1"/>
  <c r="F118" i="9" s="1"/>
  <c r="H65" i="9"/>
  <c r="C64" i="9"/>
  <c r="C63" i="9" s="1"/>
  <c r="C67" i="9" s="1"/>
  <c r="C68" i="9" s="1"/>
  <c r="D52" i="9"/>
  <c r="D55" i="9"/>
  <c r="M53" i="9" s="1"/>
  <c r="D13" i="53"/>
  <c r="H122" i="9"/>
  <c r="H108" i="9"/>
  <c r="D15" i="53" s="1"/>
  <c r="B31" i="72" s="1"/>
  <c r="M49" i="9"/>
  <c r="L117" i="9" l="1"/>
  <c r="L119" i="9"/>
  <c r="H64" i="9"/>
  <c r="H63" i="9" s="1"/>
  <c r="D53" i="9" s="1"/>
  <c r="L67" i="9"/>
  <c r="M67" i="9" s="1"/>
  <c r="L66" i="9"/>
  <c r="M66" i="9" s="1"/>
  <c r="L65" i="9"/>
  <c r="M65" i="9" s="1"/>
  <c r="L63" i="9"/>
  <c r="M63" i="9" s="1"/>
  <c r="L68" i="9"/>
  <c r="M68" i="9" s="1"/>
  <c r="L64" i="9"/>
  <c r="M64" i="9" s="1"/>
  <c r="D8" i="52"/>
  <c r="H123" i="9"/>
  <c r="D9" i="52" s="1"/>
  <c r="D14" i="53"/>
  <c r="B32" i="72" s="1"/>
  <c r="B30" i="72"/>
  <c r="E118" i="9" l="1"/>
  <c r="C85" i="9"/>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<sst xmlns="http://schemas.openxmlformats.org/spreadsheetml/2006/main" count="9150" uniqueCount="4093">
  <si>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</si>
  <si>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</si>
  <si>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</si>
  <si>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</si>
  <si>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</si>
  <si>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</si>
  <si>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</si>
  <si>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</si>
  <si>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</si>
  <si>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</si>
  <si>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</si>
  <si>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</si>
  <si>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</si>
  <si>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</si>
  <si>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</si>
  <si>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</si>
  <si>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</si>
  <si>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</si>
  <si>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</si>
  <si>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</si>
  <si>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</si>
  <si>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</si>
  <si>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</si>
  <si>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</si>
  <si>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</si>
  <si>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</si>
  <si>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</si>
  <si>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</si>
  <si>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</si>
  <si>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</si>
  <si>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</si>
  <si>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</si>
  <si>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</si>
  <si>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</si>
  <si>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</si>
  <si>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</si>
  <si>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</si>
  <si>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</si>
  <si>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</si>
  <si>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</si>
  <si>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</si>
  <si>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</si>
  <si>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</si>
  <si>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</si>
  <si>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</si>
  <si>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</si>
  <si>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</si>
  <si>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</si>
  <si>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</si>
  <si>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</si>
  <si>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</si>
  <si>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</si>
  <si>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</si>
  <si>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</si>
  <si>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</si>
  <si>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</si>
  <si>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</si>
  <si>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</si>
  <si>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</si>
  <si>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</si>
  <si>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</si>
  <si>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</si>
  <si>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</si>
  <si>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</si>
  <si>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</si>
  <si>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</si>
  <si>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</si>
  <si>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</si>
  <si>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</si>
  <si>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</si>
  <si>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</si>
  <si>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</si>
  <si>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</si>
  <si>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</si>
  <si>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</si>
  <si>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</si>
  <si>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</si>
  <si>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</si>
  <si>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</si>
  <si>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</si>
  <si>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</si>
  <si>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</si>
  <si>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</si>
  <si>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</si>
  <si>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</si>
  <si>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</si>
  <si>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</si>
  <si>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</si>
  <si>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</si>
  <si>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</si>
  <si>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</si>
  <si>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</si>
  <si>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</si>
  <si>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</si>
  <si>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</si>
  <si>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</si>
  <si>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</si>
  <si>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</si>
  <si>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</si>
  <si>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</si>
  <si>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</si>
  <si>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</si>
  <si>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</si>
  <si>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</si>
  <si>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</si>
  <si>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</si>
  <si>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</si>
  <si>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</si>
  <si>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</si>
  <si>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</si>
  <si>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</si>
  <si>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</si>
  <si>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</si>
  <si>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</si>
  <si>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</si>
  <si>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</si>
  <si>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</si>
  <si>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</si>
  <si>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</si>
  <si>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</si>
  <si>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</si>
  <si>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</si>
  <si>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</si>
  <si>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</si>
  <si>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</si>
  <si>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</si>
  <si>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</si>
  <si>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</si>
  <si>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</si>
  <si>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</si>
  <si>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</si>
  <si>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</si>
  <si>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</si>
  <si>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</si>
  <si>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</si>
  <si>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</si>
  <si>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</si>
  <si>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</si>
  <si>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</si>
  <si>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</si>
  <si>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</si>
  <si>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</si>
  <si>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</si>
  <si>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</si>
  <si>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</si>
  <si>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</si>
  <si>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</si>
  <si>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</si>
  <si>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</si>
  <si>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</si>
  <si>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</si>
  <si>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</si>
  <si>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</si>
  <si>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</si>
  <si>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</si>
  <si>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</si>
  <si>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</si>
  <si>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</si>
  <si>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</si>
  <si>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</si>
  <si>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</si>
  <si>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</si>
  <si>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</si>
  <si>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</si>
  <si>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</si>
  <si>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</si>
  <si>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</si>
  <si>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</si>
  <si>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</si>
  <si>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</si>
  <si>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</si>
  <si>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</si>
  <si>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</si>
  <si>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</si>
  <si>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</si>
  <si>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</si>
  <si>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</si>
  <si>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</si>
  <si>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</si>
  <si>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</si>
  <si>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</si>
  <si>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</si>
  <si>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</si>
  <si>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</si>
  <si>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</si>
  <si>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</si>
  <si>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</si>
  <si>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</si>
  <si>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</si>
  <si>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</si>
  <si>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</si>
  <si>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</si>
  <si>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</si>
  <si>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</si>
  <si>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</si>
  <si>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</si>
  <si>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</si>
  <si>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</si>
  <si>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</si>
  <si>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</si>
  <si>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</si>
  <si>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</si>
  <si>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</si>
  <si>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</si>
  <si>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</si>
  <si>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</si>
  <si>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</si>
  <si>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</si>
  <si>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</si>
  <si>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</si>
  <si>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</si>
  <si>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</si>
  <si>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</si>
  <si>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</si>
  <si>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</si>
  <si>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</si>
  <si>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</si>
  <si>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</si>
  <si>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</si>
  <si>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</si>
  <si>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</si>
  <si>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</si>
  <si>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</si>
  <si>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</si>
  <si>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</si>
  <si>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</si>
  <si>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</si>
  <si>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</si>
  <si>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</si>
  <si>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</si>
  <si>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</si>
  <si>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</si>
  <si>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</si>
  <si>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</si>
  <si>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</si>
  <si>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</si>
  <si>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</si>
  <si>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</si>
  <si>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</si>
  <si>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</si>
  <si>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</si>
  <si>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</si>
  <si>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</si>
  <si>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</si>
  <si>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</si>
  <si>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</si>
  <si>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</si>
  <si>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</si>
  <si>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</si>
  <si>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</si>
  <si>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</si>
  <si>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</si>
  <si>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</si>
  <si>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</si>
  <si>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</si>
  <si>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</si>
  <si>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</si>
  <si>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</si>
  <si>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</si>
  <si>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</si>
  <si>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</si>
  <si>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</si>
  <si>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</si>
  <si>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</si>
  <si>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</si>
  <si>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</si>
  <si>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</si>
  <si>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</si>
  <si>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</si>
  <si>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</si>
  <si>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</si>
  <si>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</si>
  <si>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</si>
  <si>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</si>
  <si>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</si>
  <si>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</si>
  <si>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</si>
  <si>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</si>
  <si>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</si>
  <si>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</si>
  <si>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</si>
  <si>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</si>
  <si>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</si>
  <si>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</si>
  <si>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</si>
  <si>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</si>
  <si>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</si>
  <si>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</si>
  <si>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</si>
  <si>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</si>
  <si>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</si>
  <si>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</si>
  <si>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</si>
  <si>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</si>
  <si>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</si>
  <si>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</si>
  <si>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</si>
  <si>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</si>
  <si>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</si>
  <si>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</si>
  <si>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</si>
  <si>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</si>
  <si>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</si>
  <si>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</si>
  <si>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</si>
  <si>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</si>
  <si>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</si>
  <si>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</si>
  <si>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</si>
  <si>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</si>
  <si>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</si>
  <si>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</si>
  <si>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</si>
  <si>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</si>
  <si>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</si>
  <si>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</si>
  <si>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</si>
  <si>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</si>
  <si>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</si>
  <si>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</si>
  <si>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</si>
  <si>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</si>
  <si>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</si>
  <si>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</si>
  <si>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</si>
  <si>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</si>
  <si>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</si>
  <si>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</si>
  <si>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</si>
  <si>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</si>
  <si>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</si>
  <si>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</si>
  <si>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</si>
  <si>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</si>
  <si>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</si>
  <si>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</si>
  <si>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</si>
  <si>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</si>
  <si>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</si>
  <si>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</si>
  <si>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</si>
  <si>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</si>
  <si>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</si>
  <si>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</si>
  <si>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</si>
  <si>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</si>
  <si>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</si>
  <si>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</si>
  <si>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</si>
  <si>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</si>
  <si>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</si>
  <si>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</si>
  <si>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</si>
  <si>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</si>
  <si>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</si>
  <si>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</si>
  <si>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</si>
  <si>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</si>
  <si>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</si>
  <si>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</si>
  <si>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</si>
  <si>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</si>
  <si>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</si>
  <si>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</si>
  <si>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</si>
  <si>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</si>
  <si>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</si>
  <si>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</si>
  <si>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</si>
  <si>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</si>
  <si>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</si>
  <si>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</si>
  <si>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</si>
  <si>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</si>
  <si>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</si>
  <si>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</si>
  <si>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</si>
  <si>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</si>
  <si>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</si>
  <si>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</si>
  <si>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</si>
  <si>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</si>
  <si>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</si>
  <si>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</si>
  <si>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</si>
  <si>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</si>
  <si>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</si>
  <si>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</si>
  <si>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</si>
  <si>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</si>
  <si>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</si>
  <si>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</si>
  <si>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</si>
  <si>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</si>
  <si>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</si>
  <si>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</si>
  <si>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</si>
  <si>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</si>
  <si>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</si>
  <si>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</si>
  <si>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</si>
  <si>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</si>
  <si>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</si>
  <si>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</si>
  <si>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</si>
  <si>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</si>
  <si>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</si>
  <si>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</si>
  <si>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</si>
  <si>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</si>
  <si>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</si>
  <si>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</si>
  <si>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</si>
  <si>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</si>
  <si>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</si>
  <si>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</si>
  <si>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</si>
  <si>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</si>
  <si>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</si>
  <si>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</si>
  <si>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</si>
  <si>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</si>
  <si>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</si>
  <si>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</si>
  <si>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</si>
  <si>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</si>
  <si>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</si>
  <si>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</si>
  <si>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</si>
  <si>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</si>
  <si>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</si>
  <si>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</si>
  <si>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</si>
  <si>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</si>
  <si>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</si>
  <si>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</si>
  <si>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</si>
  <si>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</si>
  <si>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</si>
  <si>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</si>
  <si>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</si>
  <si>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</si>
  <si>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</si>
  <si>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</si>
  <si>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</si>
  <si>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</si>
  <si>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</si>
  <si>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</si>
  <si>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</si>
  <si>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</si>
  <si>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</si>
  <si>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</si>
  <si>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</si>
  <si>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</si>
  <si>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</si>
  <si>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</si>
  <si>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</si>
  <si>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</si>
  <si>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</si>
  <si>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</si>
  <si>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</si>
  <si>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</si>
  <si>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</si>
  <si>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</si>
  <si>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</si>
  <si>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</si>
  <si>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</si>
  <si>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</si>
  <si>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</si>
  <si>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</si>
  <si>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</si>
  <si>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</si>
  <si>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</si>
  <si>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</si>
  <si>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</si>
  <si>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</si>
  <si>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</si>
  <si>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</si>
  <si>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</si>
  <si>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</si>
  <si>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</si>
  <si>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</si>
  <si>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</si>
  <si>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</si>
  <si>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</si>
  <si>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</si>
  <si>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</si>
  <si>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</si>
  <si>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</si>
  <si>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</si>
  <si>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</si>
  <si>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</si>
  <si>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</si>
  <si>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</si>
  <si>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</si>
  <si>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</si>
  <si>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</si>
  <si>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</si>
  <si>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</si>
  <si>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</si>
  <si>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</si>
  <si>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</si>
  <si>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</si>
  <si>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</si>
  <si>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</si>
  <si>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</si>
  <si>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</si>
  <si>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</si>
  <si>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</si>
  <si>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</si>
  <si>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</si>
  <si>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</si>
  <si>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</si>
  <si>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</si>
  <si>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</si>
  <si>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</si>
  <si>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</si>
  <si>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</si>
  <si>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</si>
  <si>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</si>
  <si>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</si>
  <si>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</si>
  <si>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</si>
  <si>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</si>
  <si>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</si>
  <si>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</si>
  <si>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</si>
  <si>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</si>
  <si>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</si>
  <si>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</si>
  <si>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</si>
  <si>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</si>
  <si>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</si>
  <si>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</si>
  <si>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</si>
  <si>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</si>
  <si>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</si>
  <si>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</si>
  <si>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</si>
  <si>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</si>
  <si>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</si>
  <si>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</si>
  <si>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</si>
  <si>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</si>
  <si>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</si>
  <si>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</si>
  <si>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</si>
  <si>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</si>
  <si>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</si>
  <si>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</si>
  <si>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</si>
  <si>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</si>
  <si>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</si>
  <si>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</si>
  <si>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</si>
  <si>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</si>
  <si>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</si>
  <si>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</si>
  <si>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</si>
  <si>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</si>
  <si>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</si>
  <si>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</si>
  <si>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</si>
  <si>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</si>
  <si>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</si>
  <si>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</si>
  <si>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</si>
  <si>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</si>
  <si>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</si>
  <si>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</si>
  <si>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</si>
  <si>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</si>
  <si>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</si>
  <si>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</si>
  <si>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</si>
  <si>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</si>
  <si>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</si>
  <si>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</si>
  <si>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</si>
  <si>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</si>
  <si>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</si>
  <si>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</si>
  <si>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</si>
  <si>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</si>
  <si>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</si>
  <si>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</si>
  <si>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</si>
  <si>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</si>
  <si>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</si>
  <si>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</si>
  <si>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</si>
  <si>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</si>
  <si>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</si>
  <si>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</si>
  <si>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</si>
  <si>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</si>
  <si>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</si>
  <si>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</si>
  <si>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</si>
  <si>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</si>
  <si>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</si>
  <si>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</si>
  <si>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</si>
  <si>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</si>
  <si>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</si>
  <si>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</si>
  <si>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</si>
  <si>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</si>
  <si>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</si>
  <si>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</si>
  <si>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</si>
  <si>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</si>
  <si>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</si>
  <si>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</si>
  <si>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</si>
  <si>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</si>
  <si>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</si>
  <si>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</si>
  <si>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</si>
  <si>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</si>
  <si>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</si>
  <si>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</si>
  <si>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</si>
  <si>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</si>
  <si>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</si>
  <si>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</si>
  <si>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</si>
  <si>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</si>
  <si>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</si>
  <si>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</si>
  <si>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</si>
  <si>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</si>
  <si>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</si>
  <si>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</si>
  <si>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</si>
  <si>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</si>
  <si>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</si>
  <si>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</si>
  <si>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</si>
  <si>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</si>
  <si>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</si>
  <si>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</si>
  <si>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</si>
  <si>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</si>
  <si>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</si>
  <si>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</si>
  <si>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</si>
  <si>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</si>
  <si>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</si>
  <si>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</si>
  <si>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</si>
  <si>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</si>
  <si>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</si>
  <si>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</si>
  <si>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</si>
  <si>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</si>
  <si>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</si>
  <si>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</si>
  <si>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</si>
  <si>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</si>
  <si>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</si>
  <si>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</si>
  <si>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</si>
  <si>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</si>
  <si>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</si>
  <si>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</si>
  <si>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</si>
  <si>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</si>
  <si>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</si>
  <si>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</si>
  <si>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</si>
  <si>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</si>
  <si>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</si>
  <si>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</si>
  <si>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</si>
  <si>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</si>
  <si>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</si>
  <si>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</si>
  <si>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</si>
  <si>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</si>
  <si>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</si>
  <si>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</si>
  <si>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</si>
  <si>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</si>
  <si>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</si>
  <si>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</si>
  <si>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</si>
  <si>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</si>
  <si>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</si>
  <si>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</si>
  <si>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</si>
  <si>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</si>
  <si>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</si>
  <si>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</si>
  <si>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</si>
  <si>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</si>
  <si>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</si>
  <si>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</si>
  <si>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</si>
  <si>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</si>
  <si>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</si>
  <si>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</si>
  <si>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</si>
  <si>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</si>
  <si>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</si>
  <si>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</si>
  <si>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</si>
  <si>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</si>
  <si>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</si>
  <si>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</si>
  <si>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</si>
  <si>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</si>
  <si>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</si>
  <si>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</si>
  <si>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</si>
  <si>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</si>
  <si>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</si>
  <si>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</si>
  <si>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</si>
  <si>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</si>
  <si>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</si>
  <si>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</si>
  <si>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</si>
  <si>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</si>
  <si>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</si>
  <si>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</si>
  <si>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</si>
  <si>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</si>
  <si>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</si>
  <si>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</si>
  <si>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</si>
  <si>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</si>
  <si>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</si>
  <si>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</si>
  <si>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</si>
  <si>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</si>
  <si>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</si>
  <si>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</si>
  <si>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</si>
  <si>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</si>
  <si>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</si>
  <si>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</si>
  <si>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</si>
  <si>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</si>
  <si>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</si>
  <si>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</si>
  <si>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</si>
  <si>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</si>
  <si>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</si>
  <si>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</si>
  <si>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</si>
  <si>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</si>
  <si>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</si>
  <si>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</si>
  <si>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</si>
  <si>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</si>
  <si>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</si>
  <si>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</si>
  <si>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</si>
  <si>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</si>
  <si>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</si>
  <si>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</si>
  <si>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</si>
  <si>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</si>
  <si>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</si>
  <si>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</si>
  <si>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</si>
  <si>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</si>
  <si>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</si>
  <si>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</si>
  <si>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</si>
  <si>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</si>
  <si>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</si>
  <si>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</si>
  <si>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</si>
  <si>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</si>
  <si>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</si>
  <si>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</si>
  <si>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</si>
  <si>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</si>
  <si>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</si>
  <si>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</si>
  <si>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</si>
  <si>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</si>
  <si>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</si>
  <si>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</si>
  <si>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</si>
  <si>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</si>
  <si>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</si>
  <si>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</si>
  <si>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</si>
  <si>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</si>
  <si>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</si>
  <si>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</si>
  <si>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</si>
  <si>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</si>
  <si>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</si>
  <si>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</si>
  <si>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</si>
  <si>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</si>
  <si>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</si>
  <si>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</si>
  <si>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</si>
  <si>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</si>
  <si>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</si>
  <si>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</si>
  <si>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</si>
  <si>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</si>
  <si>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</si>
  <si>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</si>
  <si>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</si>
  <si>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</si>
  <si>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</si>
  <si>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</si>
  <si>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</si>
  <si>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</si>
  <si>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</si>
  <si>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</si>
  <si>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</si>
  <si>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</si>
  <si>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</si>
  <si>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</si>
  <si>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</si>
  <si>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</si>
  <si>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</si>
  <si>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</si>
  <si>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</si>
  <si>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</si>
  <si>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</si>
  <si>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</si>
  <si>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</si>
  <si>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</si>
  <si>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</si>
  <si>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</si>
  <si>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</si>
  <si>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</si>
  <si>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</si>
  <si>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</si>
  <si>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</si>
  <si>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</si>
  <si>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</si>
  <si>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</si>
  <si>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</si>
  <si>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</si>
  <si>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</si>
  <si>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</si>
  <si>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</si>
  <si>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</si>
  <si>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</si>
  <si>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</si>
  <si>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</si>
  <si>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</si>
  <si>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</si>
  <si>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</si>
  <si>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</si>
  <si>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</si>
  <si>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</si>
  <si>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</si>
  <si>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</si>
  <si>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</si>
  <si>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</si>
  <si>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</si>
  <si>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</si>
  <si>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</si>
  <si>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</si>
  <si>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</si>
  <si>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</si>
  <si>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</si>
  <si>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</si>
  <si>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</si>
  <si>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</si>
  <si>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</si>
  <si>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</si>
  <si>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</si>
  <si>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</si>
  <si>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</si>
  <si>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</si>
  <si>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</si>
  <si>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</si>
  <si>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</si>
  <si>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</si>
  <si>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</si>
  <si>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</si>
  <si>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</si>
  <si>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</si>
  <si>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</si>
  <si>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</si>
  <si>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</si>
  <si>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</si>
  <si>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</si>
  <si>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</si>
  <si>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</si>
  <si>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</si>
  <si>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</si>
  <si>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</si>
  <si>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</si>
  <si>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</si>
  <si>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</si>
  <si>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</si>
  <si>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</si>
  <si>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</si>
  <si>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</si>
  <si>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</si>
  <si>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</si>
  <si>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</si>
  <si>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</si>
  <si>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</si>
  <si>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</si>
  <si>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</si>
  <si>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</si>
  <si>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</si>
  <si>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</si>
  <si>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</si>
  <si>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</si>
  <si>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</si>
  <si>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</si>
  <si>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</si>
  <si>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</si>
  <si>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</si>
  <si>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</si>
  <si>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</si>
  <si>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</si>
  <si>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</si>
  <si>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</si>
  <si>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</si>
  <si>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</si>
  <si>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</si>
  <si>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</si>
  <si>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</si>
  <si>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</si>
  <si>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</si>
  <si>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</si>
  <si>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</si>
  <si>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</si>
  <si>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</si>
  <si>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</si>
  <si>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</si>
  <si>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</si>
  <si>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</si>
  <si>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</si>
  <si>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</si>
  <si>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</si>
  <si>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</si>
  <si>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</si>
  <si>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</si>
  <si>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</si>
  <si>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</si>
  <si>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</si>
  <si>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</si>
  <si>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</si>
  <si>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</si>
  <si>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</si>
  <si>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</si>
  <si>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</si>
  <si>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</si>
  <si>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</si>
  <si>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</si>
  <si>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</si>
  <si>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</si>
  <si>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</si>
  <si>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</si>
  <si>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</si>
  <si>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</si>
  <si>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</si>
  <si>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</si>
  <si>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</si>
  <si>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</si>
  <si>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</si>
  <si>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</si>
  <si>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</si>
  <si>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</si>
  <si>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</si>
  <si>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</si>
  <si>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</si>
  <si>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</si>
  <si>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</si>
  <si>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</si>
  <si>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</si>
  <si>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</si>
  <si>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</si>
  <si>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</si>
  <si>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</si>
  <si>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</si>
  <si>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</si>
  <si>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</si>
  <si>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</si>
  <si>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</si>
  <si>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</si>
  <si>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</si>
  <si>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</si>
  <si>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</si>
  <si>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</si>
  <si>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</si>
  <si>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</si>
  <si>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</si>
  <si>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</si>
  <si>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</si>
  <si>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</si>
  <si>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</si>
  <si>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</si>
  <si>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</si>
  <si>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</si>
  <si>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</si>
  <si>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</si>
  <si>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</si>
  <si>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</si>
  <si>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</si>
  <si>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</si>
  <si>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</si>
  <si>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</si>
  <si>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</si>
  <si>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</si>
  <si>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</si>
  <si>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</si>
  <si>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</si>
  <si>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</si>
  <si>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</si>
  <si>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</si>
  <si>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</si>
  <si>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</si>
  <si>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</si>
  <si>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</si>
  <si>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</si>
  <si>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</si>
  <si>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</si>
  <si>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</si>
  <si>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</si>
  <si>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</si>
  <si>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</si>
  <si>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</si>
  <si>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</si>
  <si>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</si>
  <si>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</si>
  <si>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</si>
  <si>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</si>
  <si>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</si>
  <si>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</si>
  <si>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</si>
  <si>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</si>
  <si>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</si>
  <si>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</si>
  <si>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</si>
  <si>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</si>
  <si>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</si>
  <si>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</si>
  <si>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</si>
  <si>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</si>
  <si>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</si>
  <si>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</si>
  <si>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</si>
  <si>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</si>
  <si>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</si>
  <si>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</si>
  <si>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</si>
  <si>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</si>
  <si>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</si>
  <si>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</si>
  <si>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</si>
  <si>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</si>
  <si>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</si>
  <si>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</si>
  <si>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</si>
  <si>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</si>
  <si>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</si>
  <si>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</si>
  <si>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</si>
  <si>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</si>
  <si>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</si>
  <si>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</si>
  <si>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</si>
  <si>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</si>
  <si>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</si>
  <si>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</si>
  <si>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</si>
  <si>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</si>
  <si>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</si>
  <si>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</si>
  <si>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</si>
  <si>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</si>
  <si>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</si>
  <si>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</si>
  <si>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</si>
  <si>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</si>
  <si>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</si>
  <si>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</si>
  <si>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</si>
  <si>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</si>
  <si>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</si>
  <si>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</si>
  <si>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</si>
  <si>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</si>
  <si>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</si>
  <si>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</si>
  <si>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</si>
  <si>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</si>
  <si>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</si>
  <si>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</si>
  <si>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</si>
  <si>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</si>
  <si>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</si>
  <si>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</si>
  <si>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</si>
  <si>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</si>
  <si>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</si>
  <si>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</si>
  <si>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</si>
  <si>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</si>
  <si>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</si>
  <si>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</si>
  <si>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</si>
  <si>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</si>
  <si>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</si>
  <si>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</si>
  <si>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</si>
  <si>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</si>
  <si>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</si>
  <si>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</si>
  <si>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</si>
  <si>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</si>
  <si>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</si>
  <si>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</si>
  <si>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</si>
  <si>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</si>
  <si>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</si>
  <si>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</si>
  <si>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</si>
  <si>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</si>
  <si>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</si>
  <si>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</si>
  <si>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</si>
  <si>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</si>
  <si>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</si>
  <si>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</si>
  <si>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</si>
  <si>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</si>
  <si>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</si>
  <si>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</si>
  <si>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</si>
  <si>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</si>
  <si>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</si>
  <si>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</si>
  <si>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</si>
  <si>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</si>
  <si>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</si>
  <si>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</si>
  <si>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</si>
  <si>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</si>
  <si>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</si>
  <si>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</si>
  <si>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</si>
  <si>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</si>
  <si>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</si>
  <si>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</si>
  <si>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</si>
  <si>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</si>
  <si>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</si>
  <si>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</si>
  <si>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</si>
  <si>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</si>
  <si>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</si>
  <si>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</si>
  <si>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</si>
  <si>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</si>
  <si>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</si>
  <si>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</si>
  <si>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</si>
  <si>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</si>
  <si>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</si>
  <si>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</si>
  <si>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</si>
  <si>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</si>
  <si>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</si>
  <si>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</si>
  <si>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</si>
  <si>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</si>
  <si>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</si>
  <si>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</si>
  <si>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</si>
  <si>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</si>
  <si>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</si>
  <si>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</si>
  <si>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</si>
  <si>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</si>
  <si>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</si>
  <si>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</si>
  <si>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</si>
  <si>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</si>
  <si>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</si>
  <si>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</si>
  <si>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</si>
  <si>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</si>
  <si>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</si>
  <si>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</si>
  <si>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</si>
  <si>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</si>
  <si>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</si>
  <si>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</si>
  <si>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</si>
  <si>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</si>
  <si>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</si>
  <si>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</si>
  <si>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</si>
  <si>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</si>
  <si>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</si>
  <si>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</si>
  <si>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</si>
  <si>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</si>
  <si>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</si>
  <si>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</si>
  <si>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</si>
  <si>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</si>
  <si>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</si>
  <si>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</si>
  <si>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</si>
  <si>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</si>
  <si>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</si>
  <si>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</si>
  <si>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</si>
  <si>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</si>
  <si>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</si>
  <si>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</si>
  <si>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</si>
  <si>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</si>
  <si>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</si>
  <si>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</si>
  <si>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</si>
  <si>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</si>
  <si>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</si>
  <si>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</si>
  <si>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</si>
  <si>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</si>
  <si>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</si>
  <si>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</si>
  <si>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</si>
  <si>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</si>
  <si>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</si>
  <si>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</si>
  <si>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</si>
  <si>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</si>
  <si>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</si>
  <si>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</si>
  <si>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</si>
  <si>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</si>
  <si>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</si>
  <si>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</si>
  <si>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</si>
  <si>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</si>
  <si>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</si>
  <si>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</si>
  <si>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</si>
  <si>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</si>
  <si>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</si>
  <si>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</si>
  <si>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</si>
  <si>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</si>
  <si>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</si>
  <si>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</si>
  <si>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</si>
  <si>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</si>
  <si>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</si>
  <si>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</si>
  <si>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</si>
  <si>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</si>
  <si>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</si>
  <si>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</si>
  <si>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</si>
  <si>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</si>
  <si>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</si>
  <si>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</si>
  <si>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</si>
  <si>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</si>
  <si>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</si>
  <si>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</si>
  <si>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</si>
  <si>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</si>
  <si>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</si>
  <si>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</si>
  <si>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</si>
  <si>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</si>
  <si>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</si>
  <si>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</si>
  <si>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</si>
  <si>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</si>
  <si>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</si>
  <si>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</si>
  <si>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</si>
  <si>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</si>
  <si>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</si>
  <si>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</si>
  <si>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</si>
  <si>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</si>
  <si>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</si>
  <si>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</si>
  <si>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</si>
  <si>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</si>
  <si>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</si>
  <si>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</si>
  <si>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</si>
  <si>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</si>
  <si>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</si>
  <si>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</si>
  <si>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</si>
  <si>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</si>
  <si>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</si>
  <si>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</si>
  <si>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</si>
  <si>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</si>
  <si>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</si>
  <si>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</si>
  <si>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</si>
  <si>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</si>
  <si>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</si>
  <si>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</si>
  <si>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</si>
  <si>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</si>
  <si>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</si>
  <si>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</si>
  <si>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</si>
  <si>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</si>
  <si>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</si>
  <si>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</si>
  <si>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</si>
  <si>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</si>
  <si>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</si>
  <si>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</si>
  <si>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</si>
  <si>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</si>
  <si>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</si>
  <si>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</si>
  <si>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</si>
  <si>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</si>
  <si>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</si>
  <si>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</si>
  <si>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</si>
  <si>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</si>
  <si>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</si>
  <si>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</si>
  <si>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</si>
  <si>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</si>
  <si>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</si>
  <si>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</si>
  <si>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</si>
  <si>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</si>
  <si>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</si>
  <si>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</si>
  <si>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</si>
  <si>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</si>
  <si>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</si>
  <si>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</si>
  <si>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</si>
  <si>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</si>
  <si>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</si>
  <si>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</si>
  <si>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</si>
  <si>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</si>
  <si>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</si>
  <si>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</si>
  <si>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</si>
  <si>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</si>
  <si>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</si>
  <si>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</si>
  <si>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</si>
  <si>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</si>
  <si>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</si>
  <si>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</si>
  <si>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</si>
  <si>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</si>
  <si>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</si>
  <si>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</si>
  <si>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</si>
  <si>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</si>
  <si>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</si>
  <si>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</si>
  <si>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</si>
  <si>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</si>
  <si>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</si>
  <si>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</si>
  <si>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</si>
  <si>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</si>
  <si>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</si>
  <si>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</si>
  <si>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</si>
  <si>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</si>
  <si>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</si>
  <si>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</si>
  <si>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</si>
  <si>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</si>
  <si>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</si>
  <si>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</si>
  <si>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</si>
  <si>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</si>
  <si>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</si>
  <si>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</si>
  <si>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</si>
  <si>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</si>
  <si>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</si>
  <si>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</si>
  <si>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</si>
  <si>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</si>
  <si>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</si>
  <si>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</si>
  <si>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</si>
  <si>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</si>
  <si>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</si>
  <si>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</si>
  <si>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</si>
  <si>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</si>
  <si>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</si>
  <si>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</si>
  <si>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</si>
  <si>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</si>
  <si>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</si>
  <si>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</si>
  <si>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</si>
  <si>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</si>
  <si>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</si>
  <si>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</si>
  <si>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</si>
  <si>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</si>
  <si>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</si>
  <si>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</si>
  <si>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</si>
  <si>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</si>
  <si>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</si>
  <si>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</si>
  <si>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</si>
  <si>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</si>
  <si>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</si>
  <si>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</si>
  <si>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</si>
  <si>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</si>
  <si>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</si>
  <si>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</si>
  <si>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</si>
  <si>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</si>
  <si>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</si>
  <si>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</si>
  <si>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</si>
  <si>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</si>
  <si>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</si>
  <si>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</si>
  <si>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</si>
  <si>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</si>
  <si>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</si>
  <si>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</si>
  <si>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</si>
  <si>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</si>
  <si>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</si>
  <si>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</si>
  <si>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</si>
  <si>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</si>
  <si>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</si>
  <si>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</si>
  <si>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</si>
  <si>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</si>
  <si>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</si>
  <si>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</si>
  <si>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</si>
  <si>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</si>
  <si>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</si>
  <si>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</si>
  <si>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</si>
  <si>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</si>
  <si>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</si>
  <si>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</si>
  <si>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</si>
  <si>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</si>
  <si>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</si>
  <si>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</si>
  <si>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</si>
  <si>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</si>
  <si>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</si>
  <si>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</si>
  <si>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</si>
  <si>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</si>
  <si>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</si>
  <si>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</si>
  <si>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</si>
  <si>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</si>
  <si>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</si>
  <si>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</si>
  <si>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</si>
  <si>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</si>
  <si>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</si>
  <si>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</si>
  <si>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</si>
  <si>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</si>
  <si>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</si>
  <si>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</si>
  <si>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</si>
  <si>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</si>
  <si>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</si>
  <si>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</si>
  <si>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</si>
  <si>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</si>
  <si>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</si>
  <si>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</si>
  <si>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</si>
  <si>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</si>
  <si>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</si>
  <si>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</si>
  <si>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</si>
  <si>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</si>
  <si>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</si>
  <si>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</si>
  <si>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</si>
  <si>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</si>
  <si>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</si>
  <si>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</si>
  <si>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</si>
  <si>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</si>
  <si>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</si>
  <si>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</si>
  <si>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</si>
  <si>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</si>
  <si>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</si>
  <si>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</si>
  <si>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</si>
  <si>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</si>
  <si>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</si>
  <si>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</si>
  <si>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</si>
  <si>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</si>
  <si>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</si>
  <si>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</si>
  <si>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</si>
  <si>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</si>
  <si>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</si>
  <si>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</si>
  <si>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</si>
  <si>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</si>
  <si>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</si>
  <si>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</si>
  <si>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</si>
  <si>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</si>
  <si>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</si>
  <si>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</si>
  <si>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</si>
  <si>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</si>
  <si>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</si>
  <si>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</si>
  <si>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</si>
  <si>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</si>
  <si>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</si>
  <si>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</si>
  <si>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</si>
  <si>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</si>
  <si>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</si>
  <si>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</si>
  <si>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</si>
  <si>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</si>
  <si>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</si>
  <si>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</si>
  <si>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</si>
  <si>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</si>
  <si>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</si>
  <si>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</si>
  <si>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</si>
  <si>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</si>
  <si>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</si>
  <si>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</si>
  <si>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</si>
  <si>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</si>
  <si>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</si>
  <si>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</si>
  <si>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</si>
  <si>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</si>
  <si>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</si>
  <si>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</si>
  <si>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</si>
  <si>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</si>
  <si>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</si>
  <si>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</si>
  <si>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</si>
  <si>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</si>
  <si>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</si>
  <si>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</si>
  <si>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</si>
  <si>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</si>
  <si>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</si>
  <si>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</si>
  <si>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</si>
  <si>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</si>
  <si>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</si>
  <si>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</si>
  <si>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</si>
  <si>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</si>
  <si>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</si>
  <si>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</si>
  <si>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</si>
  <si>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</si>
  <si>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</si>
  <si>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</si>
  <si>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</si>
  <si>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</si>
  <si>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</si>
  <si>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</si>
  <si>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</si>
  <si>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</si>
  <si>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</si>
  <si>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</si>
  <si>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</si>
  <si>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</si>
  <si>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</si>
  <si>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</si>
  <si>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</si>
  <si>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</si>
  <si>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</si>
  <si>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</si>
  <si>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</si>
  <si>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</si>
  <si>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</si>
  <si>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</si>
  <si>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</si>
  <si>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</si>
  <si>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</si>
  <si>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</si>
  <si>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</si>
  <si>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</si>
  <si>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</si>
  <si>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</si>
  <si>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</si>
  <si>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</si>
  <si>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</si>
  <si>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</si>
  <si>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</si>
  <si>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</si>
  <si>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</si>
  <si>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</si>
  <si>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</si>
  <si>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</si>
  <si>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</si>
  <si>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</si>
  <si>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</si>
  <si>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</si>
  <si>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</si>
  <si>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</si>
  <si>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</si>
  <si>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</si>
  <si>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</si>
  <si>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</si>
  <si>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</si>
  <si>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</si>
  <si>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</si>
  <si>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</si>
  <si>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</si>
  <si>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</si>
  <si>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</si>
  <si>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</si>
  <si>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</si>
  <si>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</si>
  <si>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</si>
  <si>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</si>
  <si>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</si>
  <si>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</si>
  <si>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</si>
  <si>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</si>
  <si>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</si>
  <si>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</si>
  <si>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</si>
  <si>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</si>
  <si>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</si>
  <si>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</si>
  <si>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</si>
  <si>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</si>
  <si>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</si>
  <si>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</si>
  <si>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</si>
  <si>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</si>
  <si>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</si>
  <si>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</si>
  <si>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</si>
  <si>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</si>
  <si>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</si>
  <si>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</si>
  <si>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</si>
  <si>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</si>
  <si>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</si>
  <si>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</si>
  <si>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</si>
  <si>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</si>
  <si>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</si>
  <si>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</si>
  <si>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</si>
  <si>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</si>
  <si>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</si>
  <si>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</si>
  <si>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</si>
  <si>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</si>
  <si>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</si>
  <si>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</si>
  <si>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</si>
  <si>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</si>
  <si>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</si>
  <si>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</si>
  <si>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</si>
  <si>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</si>
  <si>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</si>
  <si>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</si>
  <si>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</si>
  <si>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</si>
  <si>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</si>
  <si>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</si>
  <si>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</si>
  <si>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</si>
  <si>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</si>
  <si>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</si>
  <si>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</si>
  <si>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</si>
  <si>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</si>
  <si>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</si>
  <si>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</si>
  <si>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</si>
  <si>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</si>
  <si>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</si>
  <si>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</si>
  <si>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</si>
  <si>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</si>
  <si>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</si>
  <si>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</si>
  <si>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</si>
  <si>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</si>
  <si>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</si>
  <si>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</si>
  <si>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</si>
  <si>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</si>
  <si>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</si>
  <si>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</si>
  <si>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</si>
  <si>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</si>
  <si>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</si>
  <si>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</si>
  <si>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</si>
  <si>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</si>
  <si>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</si>
  <si>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</si>
  <si>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</si>
  <si>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</si>
  <si>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</si>
  <si>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</si>
  <si>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</si>
  <si>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</si>
  <si>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</si>
  <si>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</si>
  <si>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</si>
  <si>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</si>
  <si>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</si>
  <si>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</si>
  <si>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</si>
  <si>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</si>
  <si>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</si>
  <si>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</si>
  <si>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</si>
  <si>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</si>
  <si>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</si>
  <si>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</si>
  <si>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</si>
  <si>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</si>
  <si>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</si>
  <si>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</si>
  <si>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</si>
  <si>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</si>
  <si>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</si>
  <si>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</si>
  <si>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</si>
  <si>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</si>
  <si>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</si>
  <si>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</si>
  <si>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</si>
  <si>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</si>
  <si>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</si>
  <si>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</si>
  <si>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</si>
  <si>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</si>
  <si>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</si>
  <si>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</si>
  <si>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</si>
  <si>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</si>
  <si>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</si>
  <si>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</si>
  <si>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</si>
  <si>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</si>
  <si>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</si>
  <si>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</si>
  <si>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</si>
  <si>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</si>
  <si>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</si>
  <si>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</si>
  <si>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</si>
  <si>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</si>
  <si>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</si>
  <si>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</si>
  <si>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</si>
  <si>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</si>
  <si>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</si>
  <si>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</si>
  <si>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</si>
  <si>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</si>
  <si>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</si>
  <si>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</si>
  <si>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</si>
  <si>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</si>
  <si>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</si>
  <si>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</si>
  <si>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</si>
  <si>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</si>
  <si>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</si>
  <si>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</si>
  <si>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</si>
  <si>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</si>
  <si>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</si>
  <si>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</si>
  <si>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</si>
  <si>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</si>
  <si>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</si>
  <si>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</si>
  <si>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</si>
  <si>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</si>
  <si>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</si>
  <si>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</si>
  <si>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</si>
  <si>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</si>
  <si>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</si>
  <si>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</si>
  <si>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</si>
  <si>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</si>
  <si>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</si>
  <si>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</si>
  <si>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</si>
  <si>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</si>
  <si>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</si>
  <si>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</si>
  <si>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</si>
  <si>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</si>
  <si>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</si>
  <si>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</si>
  <si>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</si>
  <si>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</si>
  <si>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</si>
  <si>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</si>
  <si>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</si>
  <si>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</si>
  <si>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</si>
  <si>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</si>
  <si>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</si>
  <si>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</si>
  <si>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</si>
  <si>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</si>
  <si>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</si>
  <si>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</si>
  <si>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</si>
  <si>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</si>
  <si>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</si>
  <si>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</si>
  <si>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</si>
  <si>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</si>
  <si>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</si>
  <si>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</si>
  <si>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</si>
  <si>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</si>
  <si>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</si>
  <si>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</si>
  <si>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</si>
  <si>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</si>
  <si>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</si>
  <si>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</si>
  <si>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</si>
  <si>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</si>
  <si>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</si>
  <si>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</si>
  <si>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</si>
  <si>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</si>
  <si>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</si>
  <si>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</si>
  <si>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</si>
  <si>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</si>
  <si>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</si>
  <si>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</si>
  <si>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</si>
  <si>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</si>
  <si>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</si>
  <si>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</si>
  <si>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</si>
  <si>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</si>
  <si>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</si>
  <si>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</si>
  <si>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</si>
  <si>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</si>
  <si>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</si>
  <si>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</si>
  <si>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</si>
  <si>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</si>
  <si>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</si>
  <si>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</si>
  <si>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</si>
  <si>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</si>
  <si>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</si>
  <si>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</si>
  <si>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</si>
  <si>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</si>
  <si>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</si>
  <si>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</si>
  <si>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</si>
  <si>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</si>
  <si>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</si>
  <si>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</si>
  <si>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</si>
  <si>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</si>
  <si>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</si>
  <si>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</si>
  <si>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</si>
  <si>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</si>
  <si>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</si>
  <si>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</si>
  <si>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</si>
  <si>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</si>
  <si>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</si>
  <si>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</si>
  <si>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</si>
  <si>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</si>
  <si>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</si>
  <si>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</si>
  <si>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</si>
  <si>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</si>
  <si>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</si>
  <si>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</si>
  <si>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</si>
  <si>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</si>
  <si>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</si>
  <si>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</si>
  <si>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</si>
  <si>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</si>
  <si>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</si>
  <si>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</si>
  <si>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</si>
  <si>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</si>
  <si>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</si>
  <si>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</si>
  <si>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</si>
  <si>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</si>
  <si>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</si>
  <si>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</si>
  <si>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</si>
  <si>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</si>
  <si>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</si>
  <si>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</si>
  <si>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</si>
  <si>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</si>
  <si>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</si>
  <si>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</si>
  <si>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</si>
  <si>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</si>
  <si>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</si>
  <si>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</si>
  <si>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</si>
  <si>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</si>
  <si>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</si>
  <si>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</si>
  <si>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</si>
  <si>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</si>
  <si>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</si>
  <si>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</si>
  <si>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</si>
  <si>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</si>
  <si>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</si>
  <si>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</si>
  <si>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</si>
  <si>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</si>
  <si>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</si>
  <si>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</si>
  <si>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</si>
  <si>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</si>
  <si>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</si>
  <si>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</si>
  <si>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</si>
  <si>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</si>
  <si>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</si>
  <si>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</si>
  <si>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</si>
  <si>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</si>
  <si>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</si>
  <si>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</si>
  <si>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</si>
  <si>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</si>
  <si>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</si>
  <si>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</si>
  <si>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</si>
  <si>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</si>
  <si>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</si>
  <si>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</si>
  <si>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</si>
  <si>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</si>
  <si>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</si>
  <si>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</si>
  <si>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</si>
  <si>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</si>
  <si>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</si>
  <si>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</si>
  <si>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</si>
  <si>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</si>
  <si>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</si>
  <si>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</si>
  <si>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</si>
  <si>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</si>
  <si>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</si>
  <si>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</si>
  <si>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</si>
  <si>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</si>
  <si>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</si>
  <si>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</si>
  <si>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</si>
  <si>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</si>
  <si>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</si>
  <si>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</si>
  <si>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</si>
  <si>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</si>
  <si>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</si>
  <si>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</si>
  <si>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</si>
  <si>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</si>
  <si>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</si>
  <si>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</si>
  <si>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</si>
  <si>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</si>
  <si>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</si>
  <si>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</si>
  <si>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</si>
  <si>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</si>
  <si>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</si>
  <si>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</si>
  <si>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</si>
  <si>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</si>
  <si>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</si>
  <si>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</si>
  <si>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</si>
  <si>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</si>
  <si>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</si>
  <si>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</si>
  <si>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</si>
  <si>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</si>
  <si>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</si>
  <si>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</si>
  <si>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</si>
  <si>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</si>
  <si>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</si>
  <si>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</si>
  <si>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</si>
  <si>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</si>
  <si>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</si>
  <si>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</si>
  <si>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</si>
  <si>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</si>
  <si>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</si>
  <si>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</si>
  <si>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</si>
  <si>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</si>
  <si>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</si>
  <si>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</si>
  <si>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</si>
  <si>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</si>
  <si>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</si>
  <si>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</si>
  <si>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</si>
  <si>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</si>
  <si>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</si>
  <si>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</si>
  <si>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</si>
  <si>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</si>
  <si>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</si>
  <si>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</si>
  <si>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</si>
  <si>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</si>
  <si>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</si>
  <si>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</si>
  <si>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</si>
  <si>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</si>
  <si>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</si>
  <si>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</si>
  <si>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</si>
  <si>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</si>
  <si>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</si>
  <si>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</si>
  <si>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</si>
  <si>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</si>
  <si>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</si>
  <si>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</si>
  <si>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</si>
  <si>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</si>
  <si>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</si>
  <si>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</si>
  <si>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</si>
  <si>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</si>
  <si>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</si>
  <si>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</si>
  <si>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</si>
  <si>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</si>
  <si>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</si>
  <si>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</si>
  <si>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</si>
  <si>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</si>
  <si>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</si>
  <si>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</si>
  <si>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</si>
  <si>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</si>
  <si>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</si>
  <si>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</si>
  <si>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</si>
  <si>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</si>
  <si>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</si>
  <si>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</si>
  <si>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</si>
  <si>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</si>
  <si>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</si>
  <si>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</si>
  <si>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</si>
  <si>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</si>
  <si>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</si>
  <si>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</si>
  <si>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</si>
  <si>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</si>
  <si>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</si>
  <si>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</si>
  <si>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</si>
  <si>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</si>
  <si>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</si>
  <si>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</si>
  <si>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</si>
  <si>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</si>
  <si>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</si>
  <si>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</si>
  <si>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</si>
  <si>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</si>
  <si>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</si>
  <si>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</si>
  <si>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</si>
  <si>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</si>
  <si>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</si>
  <si>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</si>
  <si>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</si>
  <si>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</si>
  <si>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</si>
  <si>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</si>
  <si>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</si>
  <si>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</si>
  <si>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</si>
  <si>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</si>
  <si>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</si>
  <si>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</si>
  <si>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</si>
  <si>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</si>
  <si>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</si>
  <si>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</si>
  <si>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</si>
  <si>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</si>
  <si>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</si>
  <si>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</si>
  <si>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</si>
  <si>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</si>
  <si>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</si>
  <si>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</si>
  <si>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</si>
  <si>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</si>
  <si>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</si>
  <si>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</si>
  <si>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</si>
  <si>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</si>
  <si>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</si>
  <si>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</si>
  <si>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</si>
  <si>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</si>
  <si>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</si>
  <si>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</si>
  <si>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</si>
  <si>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</si>
  <si>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</si>
  <si>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</si>
  <si>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</si>
  <si>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</si>
  <si>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</si>
  <si>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</si>
  <si>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</si>
  <si>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</si>
  <si>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</si>
  <si>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</si>
  <si>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</si>
  <si>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</si>
  <si>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</si>
  <si>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</si>
  <si>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</si>
  <si>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</si>
  <si>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</si>
  <si>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</si>
  <si>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</si>
  <si>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</si>
  <si>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</si>
  <si>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</si>
  <si>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</si>
  <si>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</si>
  <si>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</si>
  <si>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</si>
  <si>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</si>
  <si>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</si>
  <si>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</si>
  <si>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</si>
  <si>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</si>
  <si>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</si>
  <si>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</si>
  <si>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</si>
  <si>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</si>
  <si>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</si>
  <si>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</si>
  <si>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</si>
  <si>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</si>
  <si>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</si>
  <si>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</si>
  <si>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</si>
  <si>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</si>
  <si>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</si>
  <si>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</si>
  <si>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</si>
  <si>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</si>
  <si>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</si>
  <si>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</si>
  <si>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</si>
  <si>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</si>
  <si>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</si>
  <si>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</si>
  <si>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</si>
  <si>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</si>
  <si>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</si>
  <si>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</si>
  <si>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</si>
  <si>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</si>
  <si>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</si>
  <si>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</si>
  <si>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</si>
  <si>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</si>
  <si>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</si>
  <si>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</si>
  <si>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</si>
  <si>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</si>
  <si>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</si>
  <si>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</si>
  <si>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</si>
  <si>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</si>
  <si>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</si>
  <si>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</si>
  <si>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</si>
  <si>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</si>
  <si>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</si>
  <si>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</si>
  <si>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</si>
  <si>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</si>
  <si>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</si>
  <si>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</si>
  <si>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</si>
  <si>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</si>
  <si>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</si>
  <si>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</si>
  <si>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</si>
  <si>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</si>
  <si>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</si>
  <si>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</si>
  <si>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</si>
  <si>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</si>
  <si>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</si>
  <si>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</si>
  <si>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</si>
  <si>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</si>
  <si>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</si>
  <si>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</si>
  <si>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</si>
  <si>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</si>
  <si>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</si>
  <si>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</si>
  <si>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</si>
  <si>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</si>
  <si>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</si>
  <si>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</si>
  <si>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</si>
  <si>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</si>
  <si>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</si>
  <si>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</si>
  <si>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</si>
  <si>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</si>
  <si>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</si>
  <si>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</si>
  <si>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</si>
  <si>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</si>
  <si>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</si>
  <si>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</si>
  <si>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</si>
  <si>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</si>
  <si>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</si>
  <si>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</si>
  <si>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</si>
  <si>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</si>
  <si>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</si>
  <si>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</si>
  <si>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</si>
  <si>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</si>
  <si>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</si>
  <si>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</si>
  <si>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</si>
  <si>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</si>
  <si>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</si>
  <si>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</si>
  <si>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</si>
  <si>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</si>
  <si>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</si>
  <si>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</si>
  <si>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</si>
  <si>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</si>
  <si>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</si>
  <si>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</si>
  <si>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</si>
  <si>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</si>
  <si>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</si>
  <si>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</si>
  <si>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</si>
  <si>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</si>
  <si>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</si>
  <si>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</si>
  <si>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</si>
  <si>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</si>
  <si>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</si>
  <si>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</si>
  <si>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</si>
  <si>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</si>
  <si>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</si>
  <si>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</si>
  <si>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</si>
  <si>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</si>
  <si>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</si>
  <si>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</si>
  <si>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</si>
  <si>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</si>
  <si>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</si>
  <si>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</si>
  <si>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</si>
  <si>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</si>
  <si>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</si>
  <si>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</si>
  <si>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</si>
  <si>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</si>
  <si>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</si>
  <si>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</si>
  <si>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</si>
  <si>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</si>
  <si>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</si>
  <si>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</si>
  <si>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</si>
  <si>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</si>
  <si>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</si>
  <si>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</si>
  <si>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</si>
  <si>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</si>
  <si>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</si>
  <si>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</si>
  <si>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</si>
  <si>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</si>
  <si>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</si>
  <si>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</si>
  <si>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</si>
  <si>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</si>
  <si>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</si>
  <si>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</si>
  <si>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</si>
  <si>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</si>
  <si>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</si>
  <si>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</si>
  <si>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</si>
  <si>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</si>
  <si>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</si>
  <si>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</si>
  <si>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</si>
  <si>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</si>
  <si>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</si>
  <si>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</si>
  <si>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</si>
  <si>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</si>
  <si>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</si>
  <si>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</si>
  <si>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</si>
  <si>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</si>
  <si>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</si>
  <si>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</si>
  <si>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</si>
  <si>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</si>
  <si>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</si>
  <si>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</si>
  <si>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</si>
  <si>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</si>
  <si>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</si>
  <si>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</si>
  <si>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</si>
  <si>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</si>
  <si>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</si>
  <si>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</si>
  <si>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</si>
  <si>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</si>
  <si>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</si>
  <si>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</si>
  <si>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</si>
  <si>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</si>
  <si>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</si>
  <si>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</si>
  <si>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</si>
  <si>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</si>
  <si>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</si>
  <si>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</si>
  <si>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</si>
  <si>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</si>
  <si>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</si>
  <si>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</si>
  <si>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</si>
  <si>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</si>
  <si>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</si>
  <si>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</si>
  <si>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</si>
  <si>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</si>
  <si>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</si>
  <si>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</si>
  <si>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</si>
  <si>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</si>
  <si>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</si>
  <si>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</si>
  <si>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</si>
  <si>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</si>
  <si>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</si>
  <si>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</si>
  <si>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</si>
  <si>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</si>
  <si>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</si>
  <si>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</si>
  <si>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</si>
  <si>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</si>
  <si>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</si>
  <si>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</si>
  <si>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</si>
  <si>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</si>
  <si>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</si>
  <si>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</si>
  <si>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</si>
  <si>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</si>
  <si>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</si>
  <si>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</si>
  <si>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</si>
  <si>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</si>
  <si>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</si>
  <si>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</si>
  <si>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</si>
  <si>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</si>
  <si>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</si>
  <si>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</si>
  <si>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</si>
  <si>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</si>
  <si>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</si>
  <si>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</si>
  <si>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</si>
  <si>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</si>
  <si>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</si>
  <si>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</si>
  <si>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</si>
  <si>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</si>
  <si>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</si>
  <si>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</si>
  <si>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</si>
  <si>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</si>
  <si>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</si>
  <si>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</si>
  <si>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</si>
  <si>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</si>
  <si>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</si>
  <si>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</si>
  <si>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</si>
  <si>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</si>
  <si>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</si>
  <si>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</si>
  <si>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</si>
  <si>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</si>
  <si>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</si>
  <si>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</si>
  <si>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</si>
  <si>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</si>
  <si>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</si>
  <si>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</si>
  <si>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</si>
  <si>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</si>
  <si>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</si>
  <si>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</si>
  <si>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</si>
  <si>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</si>
  <si>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</si>
  <si>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</si>
  <si>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</si>
  <si>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</si>
  <si>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</si>
  <si>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</si>
  <si>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</si>
  <si>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</si>
  <si>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</si>
  <si>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</si>
  <si>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</si>
  <si>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</si>
  <si>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</si>
  <si>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</si>
  <si>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</si>
  <si>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</si>
  <si>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</si>
  <si>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</si>
  <si>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</si>
  <si>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</si>
  <si>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</si>
  <si>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</si>
  <si>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</si>
  <si>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</si>
  <si>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</si>
  <si>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</si>
  <si>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</si>
  <si>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</si>
  <si>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</si>
  <si>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</si>
  <si>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</si>
  <si>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</si>
  <si>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</si>
  <si>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</si>
  <si>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</si>
  <si>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</si>
  <si>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</si>
  <si>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</si>
  <si>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</si>
  <si>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</si>
  <si>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</si>
  <si>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</si>
  <si>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</si>
  <si>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</si>
  <si>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</si>
  <si>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</si>
  <si>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</si>
  <si>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</si>
  <si>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</si>
  <si>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</si>
  <si>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</si>
  <si>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</si>
  <si>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</si>
  <si>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</si>
  <si>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</si>
  <si>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</si>
  <si>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</si>
  <si>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</si>
  <si>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</si>
  <si>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</si>
  <si>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</si>
  <si>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</si>
  <si>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</si>
  <si>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</si>
  <si>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</si>
  <si>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</si>
  <si>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</si>
  <si>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</si>
  <si>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</si>
  <si>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</si>
  <si>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</si>
  <si>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</si>
  <si>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</si>
  <si>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</si>
  <si>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</si>
  <si>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</si>
  <si>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</si>
  <si>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</si>
  <si>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</si>
  <si>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</si>
  <si>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</si>
  <si>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</si>
  <si>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</si>
  <si>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</si>
  <si>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</si>
  <si>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</si>
  <si>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</si>
  <si>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</si>
  <si>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</si>
  <si>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</si>
  <si>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</si>
  <si>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</si>
  <si>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</si>
  <si>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</si>
  <si>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</si>
  <si>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</si>
  <si>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</si>
  <si>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</si>
  <si>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</si>
  <si>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</si>
  <si>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</si>
  <si>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</si>
  <si>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</si>
  <si>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</si>
  <si>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</si>
  <si>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</si>
  <si>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</si>
  <si>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</si>
  <si>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</si>
  <si>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</si>
  <si>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</si>
  <si>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</si>
  <si>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</si>
  <si>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</si>
  <si>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</si>
  <si>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</si>
  <si>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</si>
  <si>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</si>
  <si>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</si>
  <si>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</si>
  <si>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</si>
  <si>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</si>
  <si>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</si>
  <si>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</si>
  <si>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</si>
  <si>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</si>
  <si>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</si>
  <si>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</si>
  <si>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</si>
  <si>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</si>
  <si>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</si>
  <si>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</si>
  <si>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</si>
  <si>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</si>
  <si>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</si>
  <si>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</si>
  <si>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</si>
  <si>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</si>
  <si>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</si>
  <si>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</si>
  <si>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</si>
  <si>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</si>
  <si>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</si>
  <si>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</si>
  <si>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</si>
  <si>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</si>
  <si>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</si>
  <si>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</si>
  <si>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</si>
  <si>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</si>
  <si>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</si>
  <si>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</si>
  <si>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</si>
  <si>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</si>
  <si>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</si>
  <si>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</si>
  <si>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</si>
  <si>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</si>
  <si>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</si>
  <si>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</si>
  <si>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</si>
  <si>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</si>
  <si>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</si>
  <si>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</si>
  <si>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</si>
  <si>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</si>
  <si>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</si>
  <si>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</si>
  <si>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</si>
  <si>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</si>
  <si>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</si>
  <si>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</si>
  <si>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</si>
  <si>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</si>
  <si>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</si>
  <si>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</si>
  <si>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</si>
  <si>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</si>
  <si>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</si>
  <si>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</si>
  <si>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</si>
  <si>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</si>
  <si>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</si>
  <si>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</si>
  <si>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</si>
  <si>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</si>
  <si>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</si>
  <si>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</si>
  <si>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</si>
  <si>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</si>
  <si>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</si>
  <si>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</si>
  <si>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</si>
  <si>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</si>
  <si>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</si>
  <si>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</si>
  <si>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</si>
  <si>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</si>
  <si>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</si>
  <si>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</si>
  <si>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</si>
  <si>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</si>
  <si>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</si>
  <si>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</si>
  <si>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</si>
  <si>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</si>
  <si>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</si>
  <si>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</si>
  <si>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</si>
  <si>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</si>
  <si>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</si>
  <si>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</si>
  <si>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</si>
  <si>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</si>
  <si>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</si>
  <si>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</si>
  <si>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</si>
  <si>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</si>
  <si>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</si>
  <si>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</si>
  <si>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</si>
  <si>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</si>
  <si>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</si>
  <si>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</si>
  <si>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</si>
  <si>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</si>
  <si>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</si>
  <si>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</si>
  <si>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</si>
  <si>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</si>
  <si>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</si>
  <si>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</si>
  <si>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</si>
  <si>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</si>
  <si>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</si>
  <si>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</si>
  <si>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</si>
  <si>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</si>
  <si>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</si>
  <si>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</si>
  <si>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</si>
  <si>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</si>
  <si>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</si>
  <si>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</si>
  <si>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</si>
  <si>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</si>
  <si>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</si>
  <si>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</si>
  <si>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</si>
  <si>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</si>
  <si>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</si>
  <si>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</si>
  <si>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</si>
  <si>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</si>
  <si>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</si>
  <si>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</si>
  <si>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</si>
  <si>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</si>
  <si>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</si>
  <si>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</si>
  <si>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</si>
  <si>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</si>
  <si>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</si>
  <si>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</si>
  <si>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</si>
  <si>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</si>
  <si>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</si>
  <si>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</si>
  <si>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</si>
  <si>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</si>
  <si>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</si>
  <si>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</si>
  <si>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</si>
  <si>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</si>
  <si>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</si>
  <si>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</si>
  <si>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</si>
  <si>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</si>
  <si>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</si>
  <si>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</si>
  <si>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</si>
  <si>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</si>
  <si>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</si>
  <si>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</si>
  <si>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</si>
  <si>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</si>
  <si>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</si>
  <si>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</si>
  <si>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</si>
  <si>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</si>
  <si>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</si>
  <si>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</si>
  <si>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</si>
  <si>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</si>
  <si>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</si>
  <si>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</si>
  <si>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</si>
  <si>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</si>
  <si>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</si>
  <si>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</si>
  <si>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</si>
  <si>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</si>
  <si>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</si>
  <si>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</si>
  <si>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</si>
  <si>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</si>
  <si>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</si>
  <si>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</si>
  <si>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</si>
  <si>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</si>
  <si>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</si>
  <si>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</si>
  <si>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</si>
  <si>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</si>
  <si>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</si>
  <si>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</si>
  <si>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</si>
  <si>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</si>
  <si>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</si>
  <si>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</si>
  <si>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</si>
  <si>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</si>
  <si>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</si>
  <si>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</si>
  <si>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</si>
  <si>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</si>
  <si>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</si>
  <si>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</si>
  <si>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</si>
  <si>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</si>
  <si>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</si>
  <si>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</si>
  <si>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</si>
  <si>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</si>
  <si>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</si>
  <si>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</si>
  <si>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</si>
  <si>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</si>
  <si>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</si>
  <si>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</si>
  <si>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</si>
  <si>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</si>
  <si>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</si>
  <si>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</si>
  <si>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</si>
  <si>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</si>
  <si>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</si>
  <si>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</si>
  <si>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</si>
  <si>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</si>
  <si>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</si>
  <si>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</si>
  <si>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</si>
  <si>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</si>
  <si>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</si>
  <si>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</si>
  <si>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</si>
  <si>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</si>
  <si>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</si>
  <si>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</si>
  <si>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</si>
  <si>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</si>
  <si>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</si>
  <si>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</si>
  <si>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</si>
  <si>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</si>
  <si>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</si>
  <si>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</si>
  <si>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</si>
  <si>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</si>
  <si>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</si>
  <si>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</si>
  <si>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</si>
  <si>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</si>
  <si>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</si>
  <si>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</si>
  <si>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</si>
  <si>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</si>
  <si>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</si>
  <si>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</si>
  <si>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</si>
  <si>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</si>
  <si>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</si>
  <si>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</si>
  <si>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</si>
  <si>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</si>
  <si>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</si>
  <si>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</si>
  <si>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</si>
  <si>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</si>
  <si>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</si>
  <si>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</si>
  <si>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</si>
  <si>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</si>
  <si>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</si>
  <si>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</si>
  <si>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</si>
  <si>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</si>
  <si>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</si>
  <si>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</si>
  <si>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</si>
  <si>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</si>
  <si>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</si>
  <si>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</si>
  <si>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</si>
  <si>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</si>
  <si>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</si>
  <si>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</si>
  <si>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</si>
  <si>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</si>
  <si>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</si>
  <si>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</si>
  <si>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</si>
  <si>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</si>
  <si>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</si>
  <si>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</si>
  <si>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</si>
  <si>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</si>
  <si>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</si>
  <si>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</si>
  <si>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</si>
  <si>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</si>
  <si>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</si>
  <si>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</si>
  <si>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</si>
  <si>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</si>
  <si>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</si>
  <si>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</si>
  <si>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</si>
  <si>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</si>
  <si>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</si>
  <si>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</si>
  <si>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</si>
  <si>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</si>
  <si>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</si>
  <si>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</si>
  <si>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</si>
  <si>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</si>
  <si>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</si>
  <si>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</si>
  <si>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</si>
  <si>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</si>
  <si>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</si>
  <si>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</si>
  <si>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</si>
  <si>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</si>
  <si>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</si>
  <si>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</si>
  <si>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</si>
  <si>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</si>
  <si>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</si>
  <si>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</si>
  <si>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</si>
  <si>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</si>
  <si>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</si>
  <si>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</si>
  <si>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</si>
  <si>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</si>
  <si>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</si>
  <si>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</si>
  <si>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</si>
  <si>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</si>
  <si>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</si>
  <si>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</si>
  <si>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</si>
  <si>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</si>
  <si>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</si>
  <si>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</si>
  <si>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</si>
  <si>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</si>
  <si>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</si>
  <si>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</si>
  <si>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</si>
  <si>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</si>
  <si>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</si>
  <si>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</si>
  <si>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</si>
  <si>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</si>
  <si>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</si>
  <si>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</si>
  <si>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</si>
  <si>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</si>
  <si>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</si>
  <si>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</si>
  <si>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</si>
  <si>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</si>
  <si>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</si>
  <si>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</si>
  <si>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</si>
  <si>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</si>
  <si>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</si>
  <si>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</si>
  <si>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</si>
  <si>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</si>
  <si>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</si>
  <si>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</si>
  <si>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</si>
  <si>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</si>
  <si>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</si>
  <si>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</si>
  <si>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</si>
  <si>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</si>
  <si>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</si>
  <si>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</si>
  <si>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</si>
  <si>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</si>
  <si>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</si>
  <si>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</si>
  <si>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</si>
  <si>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</si>
  <si>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</si>
  <si>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</si>
  <si>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</si>
  <si>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</si>
  <si>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</si>
  <si>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</si>
  <si>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</si>
  <si>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</si>
  <si>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</si>
  <si>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</si>
  <si>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</si>
  <si>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</si>
  <si>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</si>
  <si>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</si>
  <si>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</si>
  <si>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</si>
  <si>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</si>
  <si>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</si>
  <si>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</si>
  <si>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</si>
  <si>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</si>
  <si>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</si>
  <si>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</si>
  <si>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</si>
  <si>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</si>
  <si>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</si>
  <si>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</si>
  <si>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</si>
  <si>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</si>
  <si>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</si>
  <si>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</si>
  <si>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</si>
  <si>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</si>
  <si>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</si>
  <si>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</si>
  <si>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</si>
  <si>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</si>
  <si>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</si>
  <si>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</si>
  <si>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</si>
  <si>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</si>
  <si>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</si>
  <si>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</si>
  <si>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</si>
  <si>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</si>
  <si>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</si>
  <si>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</si>
  <si>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</si>
  <si>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</si>
  <si>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</si>
  <si>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</si>
  <si>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</si>
  <si>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</si>
  <si>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</si>
  <si>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</si>
  <si>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</si>
  <si>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</si>
  <si>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</si>
  <si>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</si>
  <si>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</si>
  <si>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</si>
  <si>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</si>
  <si>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</si>
  <si>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</si>
  <si>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</si>
  <si>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</si>
  <si>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</si>
  <si>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</si>
  <si>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</si>
  <si>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</si>
  <si>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</si>
  <si>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</si>
  <si>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</si>
  <si>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</si>
  <si>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</si>
  <si>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</si>
  <si>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</si>
  <si>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</si>
  <si>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</si>
  <si>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</si>
  <si>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</si>
  <si>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</si>
  <si>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</si>
  <si>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</si>
  <si>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</si>
  <si>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</si>
  <si>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</si>
  <si>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</si>
  <si>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</si>
  <si>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</si>
  <si>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</si>
  <si>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</si>
  <si>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</si>
  <si>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</si>
  <si>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</si>
  <si>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</si>
  <si>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</si>
  <si>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</si>
  <si>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</si>
  <si>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</si>
  <si>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</si>
  <si>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</si>
  <si>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</si>
  <si>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</si>
  <si>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</si>
  <si>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</si>
  <si>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</si>
  <si>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</si>
  <si>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</si>
  <si>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</si>
  <si>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</si>
  <si>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</si>
  <si>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</si>
  <si>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</si>
  <si>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</si>
  <si>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</si>
  <si>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</si>
  <si>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</si>
  <si>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</si>
  <si>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</si>
  <si>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</si>
  <si>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</si>
  <si>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</si>
  <si>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</si>
  <si>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</si>
  <si>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</si>
  <si>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</si>
  <si>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</si>
  <si>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</si>
  <si>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</si>
  <si>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</si>
  <si>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</si>
  <si>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</si>
  <si>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</si>
  <si>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</si>
  <si>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</si>
  <si>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</si>
  <si>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</si>
  <si>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</si>
  <si>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</si>
  <si>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</si>
  <si>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</si>
  <si>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</si>
  <si>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</si>
  <si>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</si>
  <si>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</si>
  <si>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</si>
  <si>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</si>
  <si>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</si>
  <si>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</si>
  <si>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</si>
  <si>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</si>
  <si>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</si>
  <si>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</si>
  <si>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</si>
  <si>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</si>
  <si>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</si>
  <si>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</si>
  <si>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</si>
  <si>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</si>
  <si>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</si>
  <si>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</si>
  <si>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</si>
  <si>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</si>
  <si>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</si>
  <si>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</si>
  <si>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</si>
  <si>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</si>
  <si>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</si>
  <si>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</si>
  <si>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</si>
  <si>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</si>
  <si>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</si>
  <si>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</si>
  <si>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</si>
  <si>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</si>
  <si>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</si>
  <si>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</si>
  <si>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</si>
  <si>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</si>
  <si>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</si>
  <si>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</si>
  <si>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</si>
  <si>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</si>
  <si>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</si>
  <si>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</si>
  <si>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</si>
  <si>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</si>
  <si>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</si>
  <si>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</si>
  <si>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</si>
  <si>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</si>
  <si>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</si>
  <si>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</si>
  <si>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</si>
  <si>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</si>
  <si>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</si>
  <si>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</si>
  <si>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</si>
  <si>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</si>
  <si>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</si>
  <si>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</si>
  <si>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</si>
  <si>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</si>
  <si>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</si>
  <si>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</si>
  <si>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</si>
  <si>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</si>
  <si>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</si>
  <si>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</si>
  <si>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</si>
  <si>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</si>
  <si>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</si>
  <si>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</si>
  <si>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</si>
  <si>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</si>
  <si>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</si>
  <si>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</si>
  <si>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</si>
  <si>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</si>
  <si>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</si>
  <si>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</si>
  <si>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</si>
  <si>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</si>
  <si>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</si>
  <si>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</si>
  <si>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</si>
  <si>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</si>
  <si>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</si>
  <si>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</si>
  <si>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</si>
  <si>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</si>
  <si>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</si>
  <si>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</si>
  <si>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</si>
  <si>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</si>
  <si>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</si>
  <si>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</si>
  <si>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</si>
  <si>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</si>
  <si>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</si>
  <si>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</si>
  <si>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</si>
  <si>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</si>
  <si>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</si>
  <si>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</si>
  <si>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</si>
  <si>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</si>
  <si>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</si>
  <si>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</si>
  <si>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</si>
  <si>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</si>
  <si>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</si>
  <si>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</si>
  <si>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</si>
  <si>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</si>
  <si>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</si>
  <si>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</si>
  <si>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</si>
  <si>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</si>
  <si>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</si>
  <si>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</si>
  <si>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</si>
  <si>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</si>
  <si>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</si>
  <si>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</si>
  <si>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</si>
  <si>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</si>
  <si>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</si>
  <si>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</si>
  <si>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</si>
  <si>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</si>
  <si>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</si>
  <si>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</si>
  <si>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</si>
  <si>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</si>
  <si>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</si>
  <si>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</si>
  <si>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</si>
  <si>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</si>
  <si>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</si>
  <si>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</si>
  <si>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</si>
  <si>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</si>
  <si>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</si>
  <si>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</si>
  <si>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</si>
  <si>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</si>
  <si>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</si>
  <si>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</si>
  <si>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</si>
  <si>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</si>
  <si>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</si>
  <si>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</si>
  <si>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</si>
  <si>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</si>
  <si>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</si>
  <si>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</si>
  <si>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</si>
  <si>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</si>
  <si>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</si>
  <si>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</si>
  <si>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</si>
  <si>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</si>
  <si>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</si>
  <si>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</si>
  <si>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</si>
  <si>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</si>
  <si>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</si>
  <si>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</si>
  <si>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</si>
  <si>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</si>
  <si>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</si>
  <si>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</si>
  <si>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</si>
  <si>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</si>
  <si>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</si>
  <si>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</si>
  <si>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</si>
  <si>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</si>
  <si>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</si>
  <si>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</si>
  <si>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</si>
  <si>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</si>
  <si>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</si>
  <si>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</si>
  <si>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</si>
  <si>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</si>
  <si>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</si>
  <si>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</si>
  <si>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</si>
  <si>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</si>
  <si>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</si>
  <si>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</si>
  <si>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</si>
  <si>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</si>
  <si>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</si>
  <si>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</si>
  <si>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</si>
  <si>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</si>
  <si>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</si>
  <si>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</si>
  <si>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</si>
  <si>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</si>
  <si>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</si>
  <si>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</si>
  <si>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</si>
  <si>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</si>
  <si>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</si>
  <si>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</si>
  <si>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</si>
  <si>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</si>
  <si>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</si>
  <si>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</si>
  <si>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</si>
  <si>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</si>
  <si>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</si>
  <si>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</si>
  <si>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</si>
  <si>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</si>
  <si>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</si>
  <si>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</si>
  <si>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</si>
  <si>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</si>
  <si>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</si>
  <si>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</si>
  <si>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</si>
  <si>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</si>
  <si>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</si>
  <si>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</si>
  <si>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</si>
  <si>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</si>
  <si>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</si>
  <si>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</si>
  <si>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</si>
  <si>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</si>
  <si>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</si>
  <si>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</si>
  <si>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</si>
  <si>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</si>
  <si>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</si>
  <si>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</si>
  <si>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</si>
  <si>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</si>
  <si>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</si>
  <si>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</si>
  <si>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</si>
  <si>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</si>
  <si>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</si>
  <si>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</si>
  <si>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</si>
  <si>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</si>
  <si>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</si>
  <si>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</si>
  <si>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</si>
  <si>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</si>
  <si>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</si>
  <si>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</si>
  <si>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</si>
  <si>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</si>
  <si>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</si>
  <si>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</si>
  <si>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</si>
  <si>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</si>
  <si>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</si>
  <si>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</si>
  <si>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</si>
  <si>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</si>
  <si>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</si>
  <si>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</si>
  <si>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</si>
  <si>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</si>
  <si>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</si>
  <si>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</si>
  <si>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</si>
  <si>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</si>
  <si>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</si>
  <si>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</si>
  <si>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</si>
  <si>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</si>
  <si>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</si>
  <si>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</si>
  <si>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</si>
  <si>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</si>
  <si>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</si>
  <si>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</si>
  <si>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</si>
  <si>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</si>
  <si>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</si>
  <si>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</si>
  <si>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</si>
  <si>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</si>
  <si>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</si>
  <si>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</si>
  <si>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</si>
  <si>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</si>
  <si>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</si>
  <si>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</si>
  <si>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</si>
  <si>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</si>
  <si>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</si>
  <si>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</si>
  <si>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</si>
  <si>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</si>
  <si>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</si>
  <si>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</si>
  <si>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</si>
  <si>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</si>
  <si>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</si>
  <si>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</si>
  <si>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</si>
  <si>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</si>
  <si>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</si>
  <si>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</si>
  <si>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</si>
  <si>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</si>
  <si>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</si>
  <si>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</si>
  <si>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</si>
  <si>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</si>
  <si>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</si>
  <si>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</si>
  <si>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</si>
  <si>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</si>
  <si>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</si>
  <si>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</si>
  <si>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</si>
  <si>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</si>
  <si>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</si>
  <si>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</si>
  <si>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</si>
  <si>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</si>
  <si>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</si>
  <si>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</si>
  <si>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</si>
  <si>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</si>
  <si>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</si>
  <si>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</si>
  <si>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</si>
  <si>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</si>
  <si>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</si>
  <si>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</si>
  <si>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</si>
  <si>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</si>
  <si>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</si>
  <si>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</si>
  <si>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</si>
  <si>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</si>
  <si>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</si>
  <si>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</si>
  <si>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</si>
  <si>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</si>
  <si>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</si>
  <si>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</si>
  <si>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</si>
  <si>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</si>
  <si>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</si>
  <si>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</si>
  <si>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</si>
  <si>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</si>
  <si>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</si>
  <si>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</si>
  <si>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</si>
  <si>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</si>
  <si>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</si>
  <si>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</si>
  <si>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</si>
  <si>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</si>
  <si>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</si>
  <si>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</si>
  <si>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</si>
  <si>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</si>
  <si>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</si>
  <si>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</si>
  <si>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</si>
  <si>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</si>
  <si>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</si>
  <si>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</si>
  <si>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</si>
  <si>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</si>
  <si>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</si>
  <si>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</si>
  <si>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</si>
  <si>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</si>
  <si>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</si>
  <si>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</si>
  <si>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</si>
  <si>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</si>
  <si>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</si>
  <si>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</si>
  <si>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</si>
  <si>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</si>
  <si>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</si>
  <si>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</si>
  <si>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</si>
  <si>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</si>
  <si>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</si>
  <si>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</si>
  <si>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</si>
  <si>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</si>
  <si>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</si>
  <si>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</si>
  <si>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</si>
  <si>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</si>
  <si>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</si>
  <si>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</si>
  <si>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</si>
  <si>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</si>
  <si>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</si>
  <si>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</si>
  <si>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</si>
  <si>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</si>
  <si>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</si>
  <si>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</si>
  <si>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</si>
  <si>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</si>
  <si>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</si>
  <si>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</si>
  <si>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</si>
  <si>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</si>
  <si>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</si>
  <si>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</si>
  <si>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</si>
  <si>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</si>
  <si>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</si>
  <si>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</si>
  <si>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</si>
  <si>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</si>
  <si>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</si>
  <si>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</si>
  <si>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</si>
  <si>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</si>
  <si>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</si>
  <si>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</si>
  <si>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</si>
  <si>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</si>
  <si>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</si>
  <si>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</si>
  <si>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</si>
  <si>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</si>
  <si>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</si>
  <si>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</si>
  <si>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</si>
  <si>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</si>
  <si>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</si>
  <si>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</si>
  <si>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</si>
  <si>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</si>
  <si>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</si>
  <si>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</si>
  <si>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</si>
  <si>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</si>
  <si>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</si>
  <si>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</si>
  <si>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</si>
  <si>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</si>
  <si>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</si>
  <si>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</si>
  <si>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</si>
  <si>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</si>
  <si>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</si>
  <si>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</si>
  <si>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</si>
  <si>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</si>
  <si>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</si>
  <si>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</si>
  <si>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</si>
  <si>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</si>
  <si>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</si>
  <si>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</si>
  <si>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</si>
  <si>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</si>
  <si>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</si>
  <si>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</si>
  <si>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</si>
  <si>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</si>
  <si>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</si>
  <si>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</si>
  <si>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</si>
  <si>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</si>
  <si>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</si>
  <si>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</si>
  <si>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</si>
  <si>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</si>
  <si>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</si>
  <si>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</si>
  <si>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</si>
  <si>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</si>
  <si>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</si>
  <si>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</si>
  <si>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</si>
  <si>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</si>
  <si>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</si>
  <si>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</si>
  <si>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</si>
  <si>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</si>
  <si>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</si>
  <si>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</si>
  <si>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</si>
  <si>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</si>
  <si>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</si>
  <si>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</si>
  <si>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</si>
  <si>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</si>
  <si>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</si>
  <si>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</si>
  <si>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</si>
  <si>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</si>
  <si>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</si>
  <si>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</si>
  <si>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</si>
  <si>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</si>
  <si>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</si>
  <si>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</si>
  <si>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</si>
  <si>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</si>
  <si>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</si>
  <si>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</si>
  <si>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</si>
  <si>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</si>
  <si>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</si>
  <si>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</si>
  <si>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</si>
  <si>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</si>
  <si>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</si>
  <si>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</si>
  <si>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</si>
  <si>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</si>
  <si>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</si>
  <si>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</si>
  <si>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</si>
  <si>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</si>
  <si>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</si>
  <si>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</si>
  <si>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</si>
  <si>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</si>
  <si>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</si>
  <si>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</si>
  <si>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</si>
  <si>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</si>
  <si>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</si>
  <si>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</si>
  <si>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</si>
  <si>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</si>
  <si>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</si>
  <si>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</si>
  <si>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</si>
  <si>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</si>
  <si>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</si>
  <si>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</si>
  <si>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</si>
  <si>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</si>
  <si>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</si>
  <si>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</si>
  <si>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</si>
  <si>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</si>
  <si>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</si>
  <si>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</si>
  <si>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</si>
  <si>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</si>
  <si>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</si>
  <si>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</si>
  <si>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</si>
  <si>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</si>
  <si>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</si>
  <si>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</si>
  <si>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</si>
  <si>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</si>
  <si>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</si>
  <si>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</si>
  <si>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</si>
  <si>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</si>
  <si>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</si>
  <si>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</si>
  <si>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</si>
  <si>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</si>
  <si>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</si>
  <si>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</si>
  <si>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</si>
  <si>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</si>
  <si>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</si>
  <si>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</si>
  <si>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</si>
  <si>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</si>
  <si>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</si>
  <si>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</si>
  <si>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</si>
  <si>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</si>
  <si>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</si>
  <si>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</si>
  <si>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</si>
  <si>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</si>
  <si>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</si>
  <si>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</si>
  <si>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</si>
  <si>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</si>
  <si>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</si>
  <si>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</si>
  <si>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</si>
  <si>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</si>
  <si>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</si>
  <si>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</si>
  <si>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</si>
  <si>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</si>
  <si>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</si>
  <si>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</si>
  <si>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</si>
  <si>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</si>
  <si>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</si>
  <si>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</si>
  <si>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</si>
  <si>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</si>
  <si>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</si>
  <si>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</si>
  <si>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</si>
  <si>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</si>
  <si>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</si>
  <si>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</si>
  <si>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</si>
  <si>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</si>
  <si>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</si>
  <si>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</si>
  <si>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</si>
  <si>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</si>
  <si>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</si>
  <si>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</si>
  <si>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</si>
  <si>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</si>
  <si>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</si>
  <si>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</si>
  <si>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</si>
  <si>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</si>
  <si>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</si>
  <si>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</si>
  <si>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</si>
  <si>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</si>
  <si>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</si>
  <si>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</si>
  <si>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</si>
  <si>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</si>
  <si>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</si>
  <si>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</si>
  <si>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</si>
  <si>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</si>
  <si>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</si>
  <si>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</si>
  <si>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</si>
  <si>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</si>
  <si>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</si>
  <si>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</si>
  <si>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</si>
  <si>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</si>
  <si>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</si>
  <si>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</si>
  <si>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</si>
  <si>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</si>
  <si>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</si>
  <si>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</si>
  <si>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</si>
  <si>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</si>
  <si>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</si>
  <si>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</si>
  <si>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</si>
  <si>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</si>
  <si>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</si>
  <si>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</si>
  <si>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</si>
  <si>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</si>
  <si>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</si>
  <si>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</si>
  <si>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</si>
  <si>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</si>
  <si>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</si>
  <si>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</si>
  <si>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</si>
  <si>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</si>
  <si>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</si>
  <si>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</si>
  <si>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</si>
  <si>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</si>
  <si>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</si>
  <si>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</si>
  <si>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</si>
  <si>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</si>
  <si>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</si>
  <si>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</si>
  <si>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</si>
  <si>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</si>
  <si>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</si>
  <si>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</si>
  <si>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</si>
  <si>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</si>
  <si>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</si>
  <si>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</si>
  <si>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</si>
  <si>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</si>
  <si>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</si>
  <si>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</si>
  <si>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</si>
  <si>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</si>
  <si>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</si>
  <si>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</si>
  <si>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</si>
  <si>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</si>
  <si>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</si>
  <si>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</si>
  <si>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</si>
  <si>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</si>
  <si>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</si>
  <si>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</si>
  <si>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</si>
  <si>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</si>
  <si>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</si>
  <si>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</si>
  <si>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</si>
  <si>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</si>
  <si>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</si>
  <si>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</si>
  <si>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</si>
  <si>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</si>
  <si>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</si>
  <si>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</si>
  <si>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</si>
  <si>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</si>
  <si>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</si>
  <si>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</si>
  <si>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</si>
  <si>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</si>
  <si>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</si>
  <si>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</si>
  <si>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</si>
  <si>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</si>
  <si>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</si>
  <si>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</si>
  <si>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</si>
  <si>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</si>
  <si>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</si>
  <si>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</si>
  <si>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</si>
  <si>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</si>
  <si>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</si>
  <si>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</si>
  <si>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</si>
  <si>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</si>
  <si>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</si>
  <si>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</si>
  <si>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</si>
  <si>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</si>
  <si>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</si>
  <si>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</si>
  <si>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</si>
  <si>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</si>
  <si>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</si>
  <si>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</si>
  <si>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</si>
  <si>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</si>
  <si>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</si>
  <si>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</si>
  <si>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</si>
  <si>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</si>
  <si>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</si>
  <si>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</si>
  <si>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</si>
  <si>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</si>
  <si>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</si>
  <si>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</si>
  <si>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</si>
  <si>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</si>
  <si>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</si>
  <si>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</si>
  <si>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</si>
  <si>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</si>
  <si>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</si>
  <si>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</si>
  <si>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</si>
  <si>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</si>
  <si>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</si>
  <si>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</si>
  <si>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</si>
  <si>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</si>
  <si>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</si>
  <si>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</si>
  <si>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</si>
  <si>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</si>
  <si>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</si>
  <si>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</si>
  <si>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</si>
  <si>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</si>
  <si>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</si>
  <si>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</si>
  <si>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</si>
  <si>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</si>
  <si>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</si>
  <si>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</si>
  <si>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</si>
  <si>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</si>
  <si>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</si>
  <si>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</si>
  <si>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</si>
  <si>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</si>
  <si>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</si>
  <si>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</si>
  <si>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</si>
  <si>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</si>
  <si>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</si>
  <si>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</si>
  <si>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</si>
  <si>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</si>
  <si>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</si>
  <si>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</si>
  <si>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</si>
  <si>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</si>
  <si>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</si>
  <si>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</si>
  <si>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</si>
  <si>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</si>
  <si>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</si>
  <si>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</si>
  <si>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</si>
  <si>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</si>
  <si>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</si>
  <si>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</si>
  <si>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</si>
  <si>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</si>
  <si>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</si>
  <si>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</si>
  <si>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</si>
  <si>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</si>
  <si>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</si>
  <si>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</si>
  <si>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</si>
  <si>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</si>
  <si>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</si>
  <si>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</si>
  <si>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</si>
  <si>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</si>
  <si>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</si>
  <si>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</si>
  <si>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</si>
  <si>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</si>
  <si>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</si>
  <si>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</si>
  <si>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</si>
  <si>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</si>
  <si>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</si>
  <si>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</si>
  <si>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</si>
  <si>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</si>
  <si>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</si>
  <si>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</si>
  <si>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</si>
  <si>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</si>
  <si>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</si>
  <si>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</si>
  <si>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</si>
  <si>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</si>
  <si>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</si>
  <si>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</si>
  <si>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</si>
  <si>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</si>
  <si>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</si>
  <si>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</si>
  <si>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</si>
  <si>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</si>
  <si>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</si>
  <si>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</si>
  <si>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</si>
  <si>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</si>
  <si>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</si>
  <si>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</si>
  <si>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</si>
  <si>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</si>
  <si>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</si>
  <si>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</si>
  <si>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</si>
  <si>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</si>
  <si>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</si>
  <si>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</si>
  <si>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</si>
  <si>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</si>
  <si>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</si>
  <si>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</si>
  <si>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</si>
  <si>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</si>
  <si>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</si>
  <si>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</si>
  <si>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</si>
  <si>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</si>
  <si>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</si>
  <si>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</si>
  <si>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</si>
  <si>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</si>
  <si>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</si>
  <si>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</si>
  <si>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</si>
  <si>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</si>
  <si>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</si>
  <si>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</si>
  <si>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</si>
  <si>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</si>
  <si>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</si>
  <si>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</si>
  <si>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</si>
  <si>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</si>
  <si>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</si>
  <si>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</si>
  <si>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</si>
  <si>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</si>
  <si>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</si>
  <si>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</si>
  <si>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</si>
  <si>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</si>
  <si>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</si>
  <si>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</si>
  <si>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</si>
  <si>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</si>
  <si>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</si>
  <si>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</si>
  <si>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</si>
  <si>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自然人</t>
  </si>
  <si>
    <t>是</t>
  </si>
  <si>
    <t>办公</t>
    <phoneticPr fontId="3" type="noConversion"/>
  </si>
  <si>
    <t>地上</t>
  </si>
  <si>
    <t>成新度</t>
  </si>
  <si>
    <t>收益法 (元)</t>
  </si>
  <si>
    <t>含税</t>
  </si>
  <si>
    <t>押一</t>
  </si>
  <si>
    <t>按不含税租金收入（有效毛租金收入）计税</t>
  </si>
  <si>
    <t>非生产用房</t>
  </si>
  <si>
    <t>钢混</t>
  </si>
  <si>
    <t>否</t>
  </si>
  <si>
    <t>比较法-办公</t>
  </si>
  <si>
    <t>单套模式</t>
  </si>
  <si>
    <t>售价</t>
  </si>
  <si>
    <t>苹果汇</t>
    <phoneticPr fontId="3" type="noConversion"/>
  </si>
  <si>
    <t>正常</t>
  </si>
  <si>
    <t>办公</t>
    <phoneticPr fontId="31" type="noConversion"/>
  </si>
  <si>
    <t>挂牌</t>
  </si>
  <si>
    <t>30-40</t>
  </si>
  <si>
    <t>低区</t>
  </si>
  <si>
    <t>高层建筑物</t>
  </si>
  <si>
    <t>精装修</t>
  </si>
  <si>
    <t>专业</t>
  </si>
  <si>
    <t>标准层高</t>
  </si>
  <si>
    <t>简单装修</t>
  </si>
  <si>
    <t>高区</t>
  </si>
  <si>
    <t>高区</t>
    <phoneticPr fontId="31" type="noConversion"/>
  </si>
  <si>
    <t>中区</t>
  </si>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</sst>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351781</xdr:colOff>
      <xdr:row>42</xdr:row>
      <xdr:rowOff>141957</xdr:rowOff>
    </xdr:to>
    <xdr:pic>
      <xdr:nvPicPr>
        <xdr:cNvPr id="2" name="图片 1">
          <a:extLst>
            <a:ext uri="{FF2B5EF4-FFF2-40B4-BE49-F238E27FC236}">
              <a16:creationId xmlns:a16="http://schemas.microsoft.com/office/drawing/2014/main" xmlns="" id="{B6E587AB-870C-50B7-1ACA-4263560DCE0A}"/>
            </a:ext>
          </a:extLst>
        </xdr:cNvPr>
        <xdr:cNvPicPr>
          <a:picLocks noChangeAspect="1"/>
        </xdr:cNvPicPr>
      </xdr:nvPicPr>
      <xdr:blipFill>
        <a:blip xmlns:r="http://schemas.openxmlformats.org/officeDocument/2006/relationships" r:embed="rId1"/>
        <a:stretch>
          <a:fillRect/>
        </a:stretch>
      </xdr:blipFill>
      <xdr:spPr>
        <a:xfrm>
          <a:off x="0" y="0"/>
          <a:ext cx="5152381" cy="7342857"/>
        </a:xfrm>
        <a:prstGeom prst="rect">
          <a:avLst/>
        </a:prstGeom>
      </xdr:spPr>
    </xdr:pic>
    <xdr:clientData/>
  </xdr:twoCellAnchor>
  <xdr:twoCellAnchor editAs="oneCell">
    <xdr:from>
      <xdr:col>7</xdr:col>
      <xdr:colOff>561975</xdr:colOff>
      <xdr:row>0</xdr:row>
      <xdr:rowOff>0</xdr:rowOff>
    </xdr:from>
    <xdr:to>
      <xdr:col>21</xdr:col>
      <xdr:colOff>227442</xdr:colOff>
      <xdr:row>26</xdr:row>
      <xdr:rowOff>94681</xdr:rowOff>
    </xdr:to>
    <xdr:pic>
      <xdr:nvPicPr>
        <xdr:cNvPr id="3" name="图片 2">
          <a:extLst>
            <a:ext uri="{FF2B5EF4-FFF2-40B4-BE49-F238E27FC236}">
              <a16:creationId xmlns:a16="http://schemas.microsoft.com/office/drawing/2014/main" xmlns="" id="{E17F420D-FC45-AA09-0F0B-B0C2CE5BE996}"/>
            </a:ext>
          </a:extLst>
        </xdr:cNvPr>
        <xdr:cNvPicPr>
          <a:picLocks noChangeAspect="1"/>
        </xdr:cNvPicPr>
      </xdr:nvPicPr>
      <xdr:blipFill>
        <a:blip xmlns:r="http://schemas.openxmlformats.org/officeDocument/2006/relationships" r:embed="rId2"/>
        <a:stretch>
          <a:fillRect/>
        </a:stretch>
      </xdr:blipFill>
      <xdr:spPr>
        <a:xfrm>
          <a:off x="5362575" y="0"/>
          <a:ext cx="9266667" cy="4552381"/>
        </a:xfrm>
        <a:prstGeom prst="rect">
          <a:avLst/>
        </a:prstGeom>
      </xdr:spPr>
    </xdr:pic>
    <xdr:clientData/>
  </xdr:twoCellAnchor>
  <xdr:twoCellAnchor editAs="oneCell">
    <xdr:from>
      <xdr:col>9</xdr:col>
      <xdr:colOff>142875</xdr:colOff>
      <xdr:row>26</xdr:row>
      <xdr:rowOff>161925</xdr:rowOff>
    </xdr:from>
    <xdr:to>
      <xdr:col>20</xdr:col>
      <xdr:colOff>627646</xdr:colOff>
      <xdr:row>38</xdr:row>
      <xdr:rowOff>66430</xdr:rowOff>
    </xdr:to>
    <xdr:pic>
      <xdr:nvPicPr>
        <xdr:cNvPr id="4" name="图片 3">
          <a:extLst>
            <a:ext uri="{FF2B5EF4-FFF2-40B4-BE49-F238E27FC236}">
              <a16:creationId xmlns:a16="http://schemas.microsoft.com/office/drawing/2014/main" xmlns="" id="{429FF3F4-D1C6-7D52-7D89-31DCF47E4F27}"/>
            </a:ext>
          </a:extLst>
        </xdr:cNvPr>
        <xdr:cNvPicPr>
          <a:picLocks noChangeAspect="1"/>
        </xdr:cNvPicPr>
      </xdr:nvPicPr>
      <xdr:blipFill>
        <a:blip xmlns:r="http://schemas.openxmlformats.org/officeDocument/2006/relationships" r:embed="rId3"/>
        <a:stretch>
          <a:fillRect/>
        </a:stretch>
      </xdr:blipFill>
      <xdr:spPr>
        <a:xfrm>
          <a:off x="6315075" y="4619625"/>
          <a:ext cx="8028571" cy="1961905"/>
        </a:xfrm>
        <a:prstGeom prst="rect">
          <a:avLst/>
        </a:prstGeom>
      </xdr:spPr>
    </xdr:pic>
    <xdr:clientData/>
  </xdr:twoCellAnchor>
  <xdr:twoCellAnchor editAs="oneCell">
    <xdr:from>
      <xdr:col>21</xdr:col>
      <xdr:colOff>581025</xdr:colOff>
      <xdr:row>0</xdr:row>
      <xdr:rowOff>0</xdr:rowOff>
    </xdr:from>
    <xdr:to>
      <xdr:col>35</xdr:col>
      <xdr:colOff>27444</xdr:colOff>
      <xdr:row>50</xdr:row>
      <xdr:rowOff>84643</xdr:rowOff>
    </xdr:to>
    <xdr:pic>
      <xdr:nvPicPr>
        <xdr:cNvPr id="5" name="图片 4">
          <a:extLst>
            <a:ext uri="{FF2B5EF4-FFF2-40B4-BE49-F238E27FC236}">
              <a16:creationId xmlns:a16="http://schemas.microsoft.com/office/drawing/2014/main" xmlns="" id="{2492E9BA-219B-4750-A6B0-0B66CCB1DC5A}"/>
            </a:ext>
          </a:extLst>
        </xdr:cNvPr>
        <xdr:cNvPicPr>
          <a:picLocks noChangeAspect="1"/>
        </xdr:cNvPicPr>
      </xdr:nvPicPr>
      <xdr:blipFill>
        <a:blip xmlns:r="http://schemas.openxmlformats.org/officeDocument/2006/relationships" r:embed="rId4"/>
        <a:stretch>
          <a:fillRect/>
        </a:stretch>
      </xdr:blipFill>
      <xdr:spPr>
        <a:xfrm>
          <a:off x="14982825" y="0"/>
          <a:ext cx="9047619" cy="8657143"/>
        </a:xfrm>
        <a:prstGeom prst="rect">
          <a:avLst/>
        </a:prstGeom>
      </xdr:spPr>
    </xdr:pic>
    <xdr:clientData/>
  </xdr:twoCellAnchor>
  <xdr:twoCellAnchor editAs="oneCell">
    <xdr:from>
      <xdr:col>8</xdr:col>
      <xdr:colOff>209550</xdr:colOff>
      <xdr:row>0</xdr:row>
      <xdr:rowOff>0</xdr:rowOff>
    </xdr:from>
    <xdr:to>
      <xdr:col>21</xdr:col>
      <xdr:colOff>122721</xdr:colOff>
      <xdr:row>13</xdr:row>
      <xdr:rowOff>18769</xdr:rowOff>
    </xdr:to>
    <xdr:pic>
      <xdr:nvPicPr>
        <xdr:cNvPr id="6" name="图片 5">
          <a:extLst>
            <a:ext uri="{FF2B5EF4-FFF2-40B4-BE49-F238E27FC236}">
              <a16:creationId xmlns:a16="http://schemas.microsoft.com/office/drawing/2014/main" xmlns="" id="{6C0B577D-A6D2-61F0-5BE2-57B8497DD4B6}"/>
            </a:ext>
          </a:extLst>
        </xdr:cNvPr>
        <xdr:cNvPicPr>
          <a:picLocks noChangeAspect="1"/>
        </xdr:cNvPicPr>
      </xdr:nvPicPr>
      <xdr:blipFill>
        <a:blip xmlns:r="http://schemas.openxmlformats.org/officeDocument/2006/relationships" r:embed="rId5"/>
        <a:stretch>
          <a:fillRect/>
        </a:stretch>
      </xdr:blipFill>
      <xdr:spPr>
        <a:xfrm>
          <a:off x="5695950" y="0"/>
          <a:ext cx="8828571"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估价对象为北京市房地产，为所有。根据《国有土地使用证》[]，估价对象（分摊）出让国有建设用地使用权面积为0平方米，建筑面积为54.09平方米。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估价对象为北京市房地产,属开发建设的，该项目尚在开发建设中。根据《国有土地使用证》[]，估价对象（分摊）出让国有建设用地使用权面积为0平方米，规划建筑面积为54.09平方米。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2026年3月11日（评估专业人员实地查勘之日）</v>
      </c>
    </row>
    <row r="13" spans="1:2">
      <c r="A13" s="793" t="s">
        <v>523</v>
      </c>
      <c r="B13" s="794"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101.27809999999999</v>
      </c>
    </row>
    <row r="21" spans="1:2">
      <c r="A21" s="793" t="s">
        <v>531</v>
      </c>
      <c r="B21" s="794">
        <f ca="1">'预评函-2'!D7</f>
        <v>18724</v>
      </c>
    </row>
    <row r="22" spans="1:2">
      <c r="A22" s="793" t="s">
        <v>532</v>
      </c>
      <c r="B22" s="794" t="str">
        <f ca="1">'预评函-2'!D6</f>
        <v>壹佰零壹万贰仟柒佰捌拾壹元整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101.27809999999999</v>
      </c>
    </row>
    <row r="31" spans="1:2">
      <c r="A31" s="793" t="s">
        <v>570</v>
      </c>
      <c r="B31" s="794">
        <f ca="1">'预评函-2'!D15</f>
        <v>18724</v>
      </c>
    </row>
    <row r="32" spans="1:2">
      <c r="A32" s="793" t="s">
        <v>537</v>
      </c>
      <c r="B32" s="794" t="str">
        <f ca="1">'预评函-2'!D14</f>
        <v>壹佰零壹万贰仟柒佰捌拾壹元整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54.09</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46</v>
      </c>
    </row>
    <row r="48" spans="1:2">
      <c r="A48" s="793" t="s">
        <v>543</v>
      </c>
      <c r="B48" s="794">
        <f ca="1">'预评函-3'!E4</f>
        <v>18724</v>
      </c>
    </row>
    <row r="49" spans="1:2">
      <c r="A49" s="793" t="s">
        <v>544</v>
      </c>
      <c r="B49" s="794" t="str">
        <f ca="1">'预评函-3'!D5</f>
        <v>肆拾陆万元整</v>
      </c>
    </row>
    <row r="50" spans="1:2">
      <c r="A50" s="793" t="s">
        <v>568</v>
      </c>
      <c r="B50" s="794">
        <f>'预评函-3'!F2</f>
        <v>0</v>
      </c>
    </row>
    <row r="51" spans="1:2">
      <c r="A51" s="793" t="s">
        <v>545</v>
      </c>
      <c r="B51" s="794">
        <f ca="1">'预评函-3'!F4</f>
        <v>55</v>
      </c>
    </row>
    <row r="52" spans="1:2">
      <c r="A52" s="793" t="s">
        <v>546</v>
      </c>
      <c r="B52" s="794">
        <f>'预评函-3'!G4</f>
        <v>0</v>
      </c>
    </row>
    <row r="53" spans="1:2">
      <c r="A53" s="793" t="s">
        <v>574</v>
      </c>
      <c r="B53" s="794" t="str">
        <f ca="1">'预评函-3'!F5</f>
        <v>伍拾伍万元整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0"/>
      <c r="B54" s="1091" t="s">
        <v>379</v>
      </c>
      <c r="C54" s="1089" t="s">
        <v>577</v>
      </c>
    </row>
    <row r="55" spans="1:4">
      <c r="A55" s="4300"/>
      <c r="B55" s="1091" t="s">
        <v>380</v>
      </c>
      <c r="C55" s="1089" t="s">
        <v>578</v>
      </c>
    </row>
    <row r="56" spans="1:4">
      <c r="A56" s="4300"/>
      <c r="B56" s="1091" t="s">
        <v>381</v>
      </c>
      <c r="C56" s="1089" t="s">
        <v>582</v>
      </c>
    </row>
    <row r="57" spans="1:4">
      <c r="A57" s="430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I8" sqref="I8:R8"/>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01" t="s">
        <v>2460</v>
      </c>
      <c r="J2" s="4302"/>
      <c r="K2" s="4302"/>
      <c r="L2" s="4302"/>
      <c r="M2" s="4302"/>
      <c r="N2" s="4302"/>
      <c r="O2" s="4302"/>
      <c r="P2" s="4302"/>
      <c r="Q2" s="4302"/>
      <c r="R2" s="4303"/>
    </row>
    <row r="3" spans="1:19">
      <c r="A3" s="2192" t="s">
        <v>2381</v>
      </c>
      <c r="B3" s="2193">
        <f>项目基本情况!D3</f>
        <v>46092</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0.77</v>
      </c>
      <c r="D5" s="3511">
        <f>IF(ISERROR(ROUND(POWER(1+E5,A5-C5)*(POWER(1+E5,C5)-1)/(POWER(1+E5,A5)-1),3)),0,ROUND(POWER(1+E5,A5-C5)*(POWER(1+E5,C5)-1)/(POWER(1+E5,A5)-1),4))</f>
        <v>3.7600000000000001E-2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10.78</v>
      </c>
      <c r="D6" s="3511">
        <f>IF(ISERROR(ROUND(POWER(1+E6,A6-C6)*(POWER(1+E6,C6)-1)/(POWER(1+E6,A6)-1),3)),0,ROUND(POWER(1+E6,A6-C6)*(POWER(1+E6,C6)-1)/(POWER(1+E6,A6)-1),4))</f>
        <v>0.40129999999999999</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30.79</v>
      </c>
      <c r="D7" s="3511">
        <f>IF(ISERROR(ROUND(POWER(1+E7,A7-C7)*(POWER(1+E7,C7)-1)/(POWER(1+E7,A7)-1),3)),0,ROUND(POWER(1+E7,A7-C7)*(POWER(1+E7,C7)-1)/(POWER(1+E7,A7)-1),4))</f>
        <v>0.74919999999999998</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301" t="s">
        <v>3661</v>
      </c>
      <c r="J8" s="4302"/>
      <c r="K8" s="4302"/>
      <c r="L8" s="4302"/>
      <c r="M8" s="4302"/>
      <c r="N8" s="4302"/>
      <c r="O8" s="4302"/>
      <c r="P8" s="4302"/>
      <c r="Q8" s="4302"/>
      <c r="R8" s="4303"/>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06" t="s">
        <v>3863</v>
      </c>
    </row>
    <row r="10" spans="1:19">
      <c r="A10" s="2192" t="s">
        <v>2388</v>
      </c>
      <c r="B10" s="2194"/>
      <c r="C10" s="2194"/>
      <c r="D10" s="2194" t="s">
        <v>2386</v>
      </c>
      <c r="E10" s="2194"/>
      <c r="F10" s="2195" t="s">
        <v>2385</v>
      </c>
      <c r="I10" s="2198" t="s">
        <v>2461</v>
      </c>
      <c r="J10" s="3971">
        <f>ROUND(J4/$K$7,0)</f>
        <v>32</v>
      </c>
      <c r="K10" s="3971">
        <f t="shared" ref="K10:Q12" si="0">ROUND(K4/$K$7,0)</f>
        <v>28</v>
      </c>
      <c r="L10" s="3971">
        <f t="shared" si="0"/>
        <v>8</v>
      </c>
      <c r="M10" s="3971">
        <f t="shared" si="0"/>
        <v>12</v>
      </c>
      <c r="N10" s="3971">
        <f t="shared" si="0"/>
        <v>18</v>
      </c>
      <c r="O10" s="3971">
        <f t="shared" si="0"/>
        <v>24</v>
      </c>
      <c r="P10" s="3971">
        <f t="shared" si="0"/>
        <v>20</v>
      </c>
      <c r="Q10" s="3971">
        <f t="shared" si="0"/>
        <v>8</v>
      </c>
      <c r="R10" s="3976">
        <f>SUM(J10:Q10)</f>
        <v>150</v>
      </c>
      <c r="S10" s="4307"/>
    </row>
    <row r="11" spans="1:19">
      <c r="A11" s="3515" t="s">
        <v>2389</v>
      </c>
      <c r="B11" s="3513">
        <v>70</v>
      </c>
      <c r="C11" s="3516" t="s">
        <v>2390</v>
      </c>
      <c r="D11" s="3512">
        <v>4.4999999999999998E-2</v>
      </c>
      <c r="E11" s="3516" t="s">
        <v>2391</v>
      </c>
      <c r="F11" s="3514">
        <f>ROUND(1-(1/(POWER(1+D11,B11))),4)</f>
        <v>0.95409999999999995</v>
      </c>
      <c r="I11" s="2198" t="s">
        <v>2462</v>
      </c>
      <c r="J11" s="3971">
        <f>ROUND(J5/$K$7,0)</f>
        <v>28</v>
      </c>
      <c r="K11" s="3971">
        <f t="shared" si="0"/>
        <v>24</v>
      </c>
      <c r="L11" s="3971">
        <f t="shared" si="0"/>
        <v>6</v>
      </c>
      <c r="M11" s="3971">
        <f t="shared" si="0"/>
        <v>10</v>
      </c>
      <c r="N11" s="3971">
        <f t="shared" si="0"/>
        <v>16</v>
      </c>
      <c r="O11" s="3971">
        <f t="shared" si="0"/>
        <v>20</v>
      </c>
      <c r="P11" s="3971">
        <f t="shared" si="0"/>
        <v>16</v>
      </c>
      <c r="Q11" s="3971">
        <f t="shared" si="0"/>
        <v>6</v>
      </c>
      <c r="R11" s="3976">
        <f t="shared" ref="R11:R12" si="1">SUM(J11:Q11)</f>
        <v>126</v>
      </c>
      <c r="S11" s="4307"/>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24</v>
      </c>
      <c r="K12" s="3971">
        <f t="shared" si="0"/>
        <v>20</v>
      </c>
      <c r="L12" s="3971">
        <f t="shared" si="0"/>
        <v>4</v>
      </c>
      <c r="M12" s="3971">
        <f t="shared" si="0"/>
        <v>8</v>
      </c>
      <c r="N12" s="3971">
        <f t="shared" si="0"/>
        <v>14</v>
      </c>
      <c r="O12" s="3971">
        <f t="shared" si="0"/>
        <v>16</v>
      </c>
      <c r="P12" s="3971">
        <f t="shared" si="0"/>
        <v>12</v>
      </c>
      <c r="Q12" s="3971">
        <f t="shared" si="0"/>
        <v>4</v>
      </c>
      <c r="R12" s="3976">
        <f t="shared" si="1"/>
        <v>102</v>
      </c>
      <c r="S12" s="4307"/>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07"/>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07"/>
    </row>
    <row r="15" spans="1:19">
      <c r="A15" s="3515" t="s">
        <v>2397</v>
      </c>
      <c r="B15" s="3519">
        <f>ROUND(B14*F12/F11,2)</f>
        <v>4339.6899999999996</v>
      </c>
      <c r="C15" s="3511">
        <f>ROUND(F12/F11,4)</f>
        <v>0.8679</v>
      </c>
      <c r="D15" s="2190"/>
      <c r="E15" s="2190"/>
      <c r="F15" s="2191"/>
      <c r="I15" s="2198" t="s">
        <v>2461</v>
      </c>
      <c r="J15" s="3971">
        <f>ROUND(J10*$L$13,0)</f>
        <v>30</v>
      </c>
      <c r="K15" s="3971">
        <f t="shared" ref="K15:Q15" si="2">ROUND(K10*$L$13,0)</f>
        <v>26</v>
      </c>
      <c r="L15" s="3971">
        <f t="shared" si="2"/>
        <v>7</v>
      </c>
      <c r="M15" s="3971">
        <f t="shared" si="2"/>
        <v>11</v>
      </c>
      <c r="N15" s="3971">
        <f t="shared" si="2"/>
        <v>17</v>
      </c>
      <c r="O15" s="3971">
        <f t="shared" si="2"/>
        <v>22</v>
      </c>
      <c r="P15" s="3971">
        <f t="shared" si="2"/>
        <v>19</v>
      </c>
      <c r="Q15" s="3971">
        <f t="shared" si="2"/>
        <v>7</v>
      </c>
      <c r="R15" s="3977">
        <f>SUM(J15:Q15)</f>
        <v>139</v>
      </c>
      <c r="S15" s="4307"/>
    </row>
    <row r="16" spans="1:19">
      <c r="A16" s="2192" t="s">
        <v>2398</v>
      </c>
      <c r="B16" s="2599"/>
      <c r="C16" s="2599"/>
      <c r="D16" s="2190"/>
      <c r="E16" s="2190"/>
      <c r="F16" s="2191"/>
      <c r="I16" s="2198" t="s">
        <v>2462</v>
      </c>
      <c r="J16" s="3971">
        <f t="shared" ref="J16:Q16" si="3">ROUND(J11*$L$13,0)</f>
        <v>26</v>
      </c>
      <c r="K16" s="3971">
        <f t="shared" si="3"/>
        <v>22</v>
      </c>
      <c r="L16" s="3971">
        <f t="shared" si="3"/>
        <v>6</v>
      </c>
      <c r="M16" s="3971">
        <f t="shared" si="3"/>
        <v>9</v>
      </c>
      <c r="N16" s="3971">
        <f t="shared" si="3"/>
        <v>15</v>
      </c>
      <c r="O16" s="3971">
        <f t="shared" si="3"/>
        <v>19</v>
      </c>
      <c r="P16" s="3971">
        <f t="shared" si="3"/>
        <v>15</v>
      </c>
      <c r="Q16" s="3971">
        <f t="shared" si="3"/>
        <v>6</v>
      </c>
      <c r="R16" s="3977">
        <f t="shared" ref="R16:R17" si="4">SUM(J16:Q16)</f>
        <v>118</v>
      </c>
      <c r="S16" s="4307"/>
    </row>
    <row r="17" spans="1:19" ht="14.25" thickBot="1">
      <c r="A17" s="3515" t="s">
        <v>2397</v>
      </c>
      <c r="B17" s="3517">
        <v>4810</v>
      </c>
      <c r="C17" s="3518"/>
      <c r="D17" s="2190"/>
      <c r="E17" s="2190"/>
      <c r="F17" s="2191"/>
      <c r="I17" s="3494" t="s">
        <v>2463</v>
      </c>
      <c r="J17" s="3971">
        <f t="shared" ref="J17:Q17" si="5">ROUND(J12*$L$13,0)</f>
        <v>22</v>
      </c>
      <c r="K17" s="3971">
        <f t="shared" si="5"/>
        <v>19</v>
      </c>
      <c r="L17" s="3971">
        <f t="shared" si="5"/>
        <v>4</v>
      </c>
      <c r="M17" s="3971">
        <f t="shared" si="5"/>
        <v>7</v>
      </c>
      <c r="N17" s="3971">
        <f t="shared" si="5"/>
        <v>13</v>
      </c>
      <c r="O17" s="3971">
        <f t="shared" si="5"/>
        <v>15</v>
      </c>
      <c r="P17" s="3971">
        <f t="shared" si="5"/>
        <v>11</v>
      </c>
      <c r="Q17" s="3971">
        <f t="shared" si="5"/>
        <v>4</v>
      </c>
      <c r="R17" s="3977">
        <f t="shared" si="4"/>
        <v>95</v>
      </c>
      <c r="S17" s="4308"/>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04" t="s">
        <v>3971</v>
      </c>
      <c r="J49" s="4304"/>
      <c r="K49" s="4304"/>
      <c r="L49" s="4304"/>
      <c r="M49" s="4304"/>
      <c r="N49" s="2196"/>
      <c r="O49" s="2196"/>
    </row>
    <row r="50" spans="1:16" ht="14.25">
      <c r="A50" s="2612" t="s">
        <v>3341</v>
      </c>
      <c r="B50" s="2615" t="s">
        <v>3342</v>
      </c>
      <c r="C50" s="2618" t="s">
        <v>3343</v>
      </c>
      <c r="D50" s="2619" t="s">
        <v>3351</v>
      </c>
      <c r="E50" s="2620" t="s">
        <v>3350</v>
      </c>
      <c r="F50" s="2621" t="s">
        <v>3357</v>
      </c>
      <c r="I50" s="4095" t="s">
        <v>3352</v>
      </c>
      <c r="J50" s="4096" t="s">
        <v>3353</v>
      </c>
      <c r="K50" s="4096" t="s">
        <v>3354</v>
      </c>
      <c r="L50" s="4096" t="s">
        <v>3355</v>
      </c>
      <c r="M50" s="4097" t="s">
        <v>3356</v>
      </c>
      <c r="N50" s="4103" t="s">
        <v>3967</v>
      </c>
      <c r="O50" s="4097"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3344</v>
      </c>
      <c r="B52" s="2605">
        <v>5508</v>
      </c>
      <c r="C52" s="2624"/>
      <c r="D52" s="2607">
        <v>3000</v>
      </c>
      <c r="E52" s="2627">
        <f>D52*B52</f>
        <v>16524000</v>
      </c>
      <c r="F52" s="2622"/>
      <c r="G52" s="2604" t="s">
        <v>3817</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3969</v>
      </c>
    </row>
    <row r="53" spans="1:16" ht="15" thickBot="1">
      <c r="A53" s="2613" t="s">
        <v>3345</v>
      </c>
      <c r="B53" s="2605">
        <v>4485</v>
      </c>
      <c r="C53" s="2624"/>
      <c r="D53" s="2607">
        <v>4500</v>
      </c>
      <c r="E53" s="2627">
        <f>D53*B53</f>
        <v>20182500</v>
      </c>
      <c r="F53" s="2622"/>
      <c r="G53" s="2604" t="s">
        <v>3818</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05" t="s">
        <v>3358</v>
      </c>
      <c r="J57" s="4305"/>
      <c r="K57" s="4305"/>
      <c r="L57" s="4305"/>
      <c r="M57" s="4305"/>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5" sqref="H25"/>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46092</v>
      </c>
      <c r="C3" s="1731" t="s">
        <v>2075</v>
      </c>
      <c r="D3" s="1730">
        <v>46092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4059</v>
      </c>
      <c r="C8" s="1746"/>
      <c r="D8" s="4319" t="s">
        <v>2081</v>
      </c>
      <c r="E8" s="1747" t="s">
        <v>4060</v>
      </c>
      <c r="F8" s="1748"/>
      <c r="G8" s="1931"/>
      <c r="H8" s="1931"/>
      <c r="I8" s="1931"/>
      <c r="J8" s="1785"/>
      <c r="K8" s="1890"/>
      <c r="L8" s="1889"/>
      <c r="M8" s="1889"/>
      <c r="N8" s="1785"/>
      <c r="O8" s="1296"/>
      <c r="P8" s="1785"/>
      <c r="Q8" s="1785"/>
      <c r="R8" s="1785"/>
    </row>
    <row r="9" spans="1:30" ht="13.5" thickBot="1">
      <c r="A9" s="1749" t="s">
        <v>2082</v>
      </c>
      <c r="B9" s="1750" t="s">
        <v>4060</v>
      </c>
      <c r="C9" s="1751"/>
      <c r="D9" s="4320"/>
      <c r="E9" s="1750" t="s">
        <v>41</v>
      </c>
      <c r="F9" s="1752"/>
      <c r="G9" s="1932"/>
      <c r="H9" s="1932"/>
      <c r="I9" s="1932"/>
      <c r="J9" s="1785"/>
      <c r="K9" s="1892"/>
      <c r="L9" s="1889"/>
      <c r="M9" s="1889"/>
      <c r="N9" s="1785"/>
      <c r="O9" s="1296"/>
      <c r="P9" s="1785"/>
      <c r="Q9" s="1785"/>
      <c r="R9" s="1785"/>
    </row>
    <row r="10" spans="1:30" ht="13.5" thickTop="1">
      <c r="A10" s="1753" t="s">
        <v>2083</v>
      </c>
      <c r="B10" s="3410" t="s">
        <v>4061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4062</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c r="E13" s="546">
        <v>58670</v>
      </c>
      <c r="F13" s="546"/>
      <c r="G13" s="546"/>
      <c r="H13" s="546"/>
      <c r="I13" s="546"/>
      <c r="J13" s="2222"/>
      <c r="K13" s="1889"/>
      <c r="L13" s="1889"/>
      <c r="M13" s="1785"/>
      <c r="N13" s="1296"/>
      <c r="O13" s="1785"/>
      <c r="P13" s="1785"/>
      <c r="Q13" s="1785"/>
      <c r="AD13" s="1249"/>
    </row>
    <row r="14" spans="1:30">
      <c r="A14" s="718"/>
      <c r="B14" s="1761" t="s">
        <v>2095</v>
      </c>
      <c r="C14" s="1762"/>
      <c r="D14" s="1762"/>
      <c r="E14" s="1762">
        <v>50</v>
      </c>
      <c r="F14" s="1762"/>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34.46</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26"/>
      <c r="C16" s="4327"/>
      <c r="D16" s="4328"/>
      <c r="E16" s="1764" t="s">
        <v>2098</v>
      </c>
      <c r="F16" s="4329"/>
      <c r="G16" s="4330"/>
      <c r="H16" s="4330"/>
      <c r="I16" s="4331"/>
      <c r="J16" s="1785"/>
      <c r="K16" s="1893"/>
      <c r="L16" s="1296"/>
      <c r="M16" s="1296"/>
      <c r="N16" s="1785"/>
      <c r="O16" s="1296"/>
      <c r="P16" s="1785"/>
      <c r="Q16" s="1785"/>
      <c r="R16" s="1785"/>
    </row>
    <row r="17" spans="1:28">
      <c r="A17" s="197" t="s">
        <v>2099</v>
      </c>
      <c r="B17" s="186" t="s">
        <v>2100</v>
      </c>
      <c r="C17" s="9">
        <f>'数据-汇总表'!E3</f>
        <v>54.09</v>
      </c>
      <c r="D17" s="899" t="s">
        <v>2101</v>
      </c>
      <c r="E17" s="4332" t="s">
        <v>2102</v>
      </c>
      <c r="F17" s="4333"/>
      <c r="G17" s="4333"/>
      <c r="H17" s="4333"/>
      <c r="I17" s="4334"/>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35" t="s">
        <v>2106</v>
      </c>
      <c r="F18" s="4336"/>
      <c r="G18" s="4336"/>
      <c r="H18" s="4336"/>
      <c r="I18" s="4337"/>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2" t="s">
        <v>2110</v>
      </c>
      <c r="C20" s="4323"/>
      <c r="D20" s="4324" t="s">
        <v>2111</v>
      </c>
      <c r="E20" s="4325"/>
      <c r="F20" s="1920" t="s">
        <v>1040</v>
      </c>
      <c r="G20" s="1931"/>
      <c r="H20" s="1931"/>
      <c r="I20" s="1931"/>
      <c r="J20" s="1785"/>
      <c r="K20" s="4321"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0"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0"/>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0"/>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1"/>
      <c r="B30" s="186" t="s">
        <v>2122</v>
      </c>
      <c r="C30" s="4312"/>
      <c r="D30" s="4313"/>
      <c r="E30" s="1931"/>
      <c r="F30" s="1931"/>
      <c r="G30" s="1931"/>
      <c r="H30" s="1931"/>
      <c r="I30" s="1931"/>
      <c r="J30" s="1785"/>
      <c r="K30" s="1892"/>
      <c r="L30" s="1889"/>
      <c r="M30" s="1889"/>
      <c r="N30" s="1785"/>
      <c r="O30" s="1296"/>
      <c r="P30" s="1785"/>
      <c r="Q30" s="1785"/>
      <c r="R30" s="1785"/>
      <c r="S30" s="1785"/>
      <c r="T30" s="1785"/>
      <c r="U30" s="1785"/>
      <c r="V30" s="1785"/>
    </row>
    <row r="31" spans="1:28">
      <c r="A31" s="4314"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5"/>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5"/>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09" t="s">
        <v>2132</v>
      </c>
      <c r="T34" s="206" t="str">
        <f>NUMBERSTRING(7-K34,1)&amp;"通"</f>
        <v>七通</v>
      </c>
      <c r="U34" s="1785"/>
      <c r="V34" s="1785"/>
    </row>
    <row r="35" spans="1:30">
      <c r="A35" s="1776"/>
      <c r="B35" s="4309" t="s">
        <v>2133</v>
      </c>
      <c r="C35" s="4309"/>
      <c r="D35" s="4309"/>
      <c r="E35" s="4309"/>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9"/>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54.09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54.09</v>
      </c>
      <c r="H5" s="6">
        <f t="shared" ref="H5:AT5" si="0">SUM(H13:H656)</f>
        <v>54.09</v>
      </c>
      <c r="I5" s="6">
        <f t="shared" si="0"/>
        <v>54.09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54.09</v>
      </c>
      <c r="BA5" s="455">
        <f t="shared" si="1"/>
        <v>54.09</v>
      </c>
      <c r="BB5" s="455">
        <f t="shared" si="1"/>
        <v>54.09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4064</v>
      </c>
      <c r="D13" s="1153" t="s">
        <v>4063</v>
      </c>
      <c r="E13" s="6">
        <f>IF($C$3="是",ROUND($A$3*G13/$B$3,2),ROUND($A$3*(G13-AT13)/$B$3,2))</f>
        <v>0</v>
      </c>
      <c r="F13" s="579"/>
      <c r="G13" s="18">
        <f>H13+AC13+AT13</f>
        <v>54.09</v>
      </c>
      <c r="H13" s="11">
        <f>SUMIF(I$12:AB$12,"总值",I13:AB13)</f>
        <v>54.09</v>
      </c>
      <c r="I13" s="1105">
        <v>54.09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办公</v>
      </c>
      <c r="AY13" s="903">
        <f>ROUND($AY$6*AZ13/$AZ$5,2)</f>
        <v>0</v>
      </c>
      <c r="AZ13" s="9">
        <f>BA13+BL13</f>
        <v>54.09</v>
      </c>
      <c r="BA13" s="9">
        <f>SUM(BB13:BK13)</f>
        <v>54.09</v>
      </c>
      <c r="BB13" s="9">
        <f>IF($D13="是",I13-J13,0)</f>
        <v>54.09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4" sqref="G2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7" t="s">
        <v>1114</v>
      </c>
      <c r="B2" s="4347"/>
      <c r="C2" s="4347"/>
      <c r="D2" s="520" t="s">
        <v>1090</v>
      </c>
      <c r="E2" s="1162" t="s">
        <v>1091</v>
      </c>
      <c r="F2" s="1928"/>
      <c r="G2" s="1922"/>
      <c r="H2" s="1923"/>
      <c r="I2" s="1694" t="s">
        <v>1115</v>
      </c>
      <c r="J2" s="1928"/>
      <c r="K2" s="1928"/>
      <c r="L2" s="1928"/>
      <c r="M2" s="1928"/>
      <c r="N2" s="1929"/>
      <c r="O2" s="1928"/>
      <c r="P2" s="1928"/>
    </row>
    <row r="3" spans="1:16" ht="15.75" thickBot="1">
      <c r="A3" s="4348" t="s">
        <v>1088</v>
      </c>
      <c r="B3" s="4348"/>
      <c r="C3" s="4348"/>
      <c r="D3" s="3799">
        <f>'数据-基础表'!AY6</f>
        <v>0</v>
      </c>
      <c r="E3" s="3799">
        <f>'数据-基础表'!AZ5</f>
        <v>54.09</v>
      </c>
      <c r="F3" s="1928"/>
      <c r="G3" s="24"/>
      <c r="H3" s="25" t="s">
        <v>1089</v>
      </c>
      <c r="I3" s="2593" t="e">
        <f>ROUND('数据-基础表'!B3/'数据-基础表'!A3,2)</f>
        <v>#DIV/0!</v>
      </c>
      <c r="J3" s="1928"/>
      <c r="K3" s="1928"/>
      <c r="L3" s="1928"/>
      <c r="M3" s="1928"/>
      <c r="N3" s="1929"/>
      <c r="O3" s="1928"/>
      <c r="P3" s="1928"/>
    </row>
    <row r="4" spans="1:16" ht="15">
      <c r="A4" s="4349"/>
      <c r="B4" s="4350"/>
      <c r="C4" s="4351"/>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52" t="s">
        <v>1093</v>
      </c>
      <c r="C5" s="4352"/>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52" t="s">
        <v>1094</v>
      </c>
      <c r="C6" s="4352"/>
      <c r="D6" s="3781">
        <f>ROUND($D$3*E6/$E$3,2)</f>
        <v>0</v>
      </c>
      <c r="E6" s="3671">
        <f>E3-E5</f>
        <v>54.09</v>
      </c>
      <c r="F6" s="1928"/>
      <c r="G6" s="1169" t="s">
        <v>1095</v>
      </c>
      <c r="H6" s="26" t="s">
        <v>1096</v>
      </c>
      <c r="I6" s="2594" t="e">
        <f>ROUND(F31/D31,2)</f>
        <v>#DIV/0!</v>
      </c>
      <c r="J6" s="1928"/>
      <c r="K6" s="1928"/>
      <c r="L6" s="1928"/>
      <c r="M6" s="1928"/>
      <c r="N6" s="1928"/>
      <c r="O6" s="1928"/>
      <c r="P6" s="1928"/>
    </row>
    <row r="7" spans="1:16" ht="15.75" thickBot="1">
      <c r="A7" s="4344"/>
      <c r="B7" s="4345"/>
      <c r="C7" s="4346"/>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54.09</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54.09</v>
      </c>
      <c r="F16" s="1928"/>
      <c r="G16" s="1928"/>
      <c r="H16" s="1171" t="s">
        <v>1118</v>
      </c>
      <c r="I16" s="1172"/>
      <c r="J16" s="763"/>
      <c r="K16" s="4341" t="s">
        <v>1118</v>
      </c>
      <c r="L16" s="4342"/>
      <c r="M16" s="4342"/>
      <c r="N16" s="4342"/>
      <c r="O16" s="4342"/>
      <c r="P16" s="4343"/>
    </row>
    <row r="17" spans="1:19" ht="15">
      <c r="A17" s="1173" t="s">
        <v>1119</v>
      </c>
      <c r="B17" s="1174" t="s">
        <v>1120</v>
      </c>
      <c r="C17" s="1175" t="s">
        <v>1121</v>
      </c>
      <c r="D17" s="1176" t="s">
        <v>1109</v>
      </c>
      <c r="E17" s="1177" t="s">
        <v>1110</v>
      </c>
      <c r="F17" s="1178"/>
      <c r="G17" s="1179"/>
      <c r="H17" s="1180" t="s">
        <v>1122</v>
      </c>
      <c r="I17" s="1181" t="s">
        <v>1107</v>
      </c>
      <c r="J17" s="763"/>
      <c r="K17" s="4338" t="s">
        <v>1123</v>
      </c>
      <c r="L17" s="4339"/>
      <c r="M17" s="4340"/>
      <c r="N17" s="4338" t="s">
        <v>1124</v>
      </c>
      <c r="O17" s="4339"/>
      <c r="P17" s="4340"/>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办公</v>
      </c>
      <c r="D19" s="3781">
        <f>ROUND($D$3*E19/$E$3,2)</f>
        <v>0</v>
      </c>
      <c r="E19" s="3781">
        <f t="shared" ref="E19:E26" si="1">SUM(F19:G19)</f>
        <v>54.09</v>
      </c>
      <c r="F19" s="3782">
        <f>'数据-基础表'!I13</f>
        <v>54.09</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54.09</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54.09</v>
      </c>
      <c r="F27" s="172">
        <f>IF(SUM(F19:F26)=E8,SUM(F19:F26),"地上面积有误")</f>
        <v>54.09</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54.09</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54.09</v>
      </c>
      <c r="F31" s="3793">
        <f>F27+F30</f>
        <v>54.09</v>
      </c>
      <c r="G31" s="3794">
        <f>G27+G30</f>
        <v>0</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19" sqref="W1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46092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3">
        <f>SUMIF(项目基本情况!C$12:I$12,C6,项目基本情况!C$14:I$14)</f>
        <v>50</v>
      </c>
      <c r="E6" s="547">
        <f>IF(B6="","",SUMIF(项目基本情况!C$12:I$12,C6,项目基本情况!C$13:I$13))</f>
        <v>58670</v>
      </c>
      <c r="F6" s="3295">
        <f>SUMIF(项目基本情况!C$12:I$12,C6,项目基本情况!C$15:I$15)</f>
        <v>34.46</v>
      </c>
      <c r="G6" s="3296">
        <f t="shared" ref="G6:G13" si="0">IF(ISERROR(ROUND(POWER(1+H6,D6-F6)*(POWER(1+H6,F6)-1)/(POWER(1+H6,D6)-1),4)),0,ROUND(POWER(1+H6,D6-F6)*(POWER(1+H6,F6)-1)/(POWER(1+H6,D6)-1),4))</f>
        <v>0.89159999999999995</v>
      </c>
      <c r="H6" s="3297">
        <v>0.05</v>
      </c>
      <c r="I6" s="3297">
        <v>5.5E-2</v>
      </c>
      <c r="J6" s="3298">
        <v>7.0000000000000007E-2</v>
      </c>
      <c r="K6" s="3801">
        <f>SUMIF('数据-汇总表'!C$19:C$33,A6,'数据-汇总表'!E$19:E$33)</f>
        <v>54.09</v>
      </c>
      <c r="L6" s="3802">
        <v>3600</v>
      </c>
      <c r="M6" s="3803">
        <f t="shared" ref="M6:M14" si="1">ROUND(K6*L6/10000,0)</f>
        <v>19</v>
      </c>
      <c r="N6" s="3285">
        <f>N21</f>
        <v>0.83</v>
      </c>
      <c r="O6" s="3803" t="str">
        <f>IF($N$5="成新度","——",ROUND(M6*N6,0))</f>
        <v>——</v>
      </c>
      <c r="P6" s="3633" t="str">
        <f>IF($N$5="成新度","——",M6-O6)</f>
        <v>——</v>
      </c>
      <c r="Q6" s="3286">
        <v>0.15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2</v>
      </c>
      <c r="V6" s="36">
        <v>1.4999999999999999E-2</v>
      </c>
      <c r="W6" s="36">
        <v>0.1</v>
      </c>
      <c r="X6" s="684"/>
      <c r="Y6" s="37">
        <f>N6</f>
        <v>0.83</v>
      </c>
      <c r="Z6" s="3827"/>
      <c r="AA6" s="35"/>
      <c r="AB6" s="35"/>
      <c r="AC6" s="684"/>
      <c r="AD6" s="38"/>
      <c r="AE6" s="685">
        <f ca="1">IF(AN6="",0,SUMIF(INDIRECT("'"&amp;AN6&amp;"'"&amp;"!E:E"),$AE$5,INDIRECT("'"&amp;AN6&amp;"'"&amp;"!F:F")))</f>
        <v>34.46</v>
      </c>
      <c r="AF6" s="3829"/>
      <c r="AG6" s="52">
        <f>IF(AF6="",0,AE6-AF6)</f>
        <v>0</v>
      </c>
      <c r="AH6" s="3822"/>
      <c r="AI6" s="3830">
        <v>365</v>
      </c>
      <c r="AJ6" s="3829"/>
      <c r="AK6" s="39">
        <v>2E-3</v>
      </c>
      <c r="AL6" s="40">
        <v>1E-3</v>
      </c>
      <c r="AM6" s="41">
        <v>0.01</v>
      </c>
      <c r="AN6" s="1224" t="s">
        <v>4067</v>
      </c>
      <c r="AO6" s="3781">
        <f ca="1">SUMIF(INDIRECT("'"&amp;AN6&amp;"'"&amp;"!A:A"),"总价",INDIRECT("'"&amp;AN6&amp;"'"&amp;"!B:B"))</f>
        <v>60.771099999999997</v>
      </c>
      <c r="AP6" s="3781">
        <f>IF(C6="住宅",K6*L6,0)</f>
        <v>0</v>
      </c>
      <c r="AQ6" s="3781">
        <f>ROUND($L$14*$N$14*S6/10000,0)</f>
        <v>0</v>
      </c>
      <c r="AR6" s="3781">
        <f>ROUND($L$14*(1-$N$14)*S6/10000,0)</f>
        <v>0</v>
      </c>
      <c r="AS6" s="3781">
        <f>ROUND(1-1/(1+H6)^F6,3)</f>
        <v>0.81399999999999995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0.89159999999999995</v>
      </c>
      <c r="H16" s="3302">
        <f>ROUND(SUMPRODUCT(H6:H13,K6:K13)/SUMPRODUCT((H6:H13&gt;0)*(K6:K13)),3)</f>
        <v>0.05</v>
      </c>
      <c r="I16" s="3303"/>
      <c r="J16" s="3303"/>
      <c r="K16" s="3805">
        <f>SUM(K6:K15)</f>
        <v>54.09</v>
      </c>
      <c r="L16" s="3806">
        <f>ROUND(M16*10000/SUM(K6:K14),0)</f>
        <v>3513</v>
      </c>
      <c r="M16" s="3806">
        <f>SUM(M6:M14)</f>
        <v>19</v>
      </c>
      <c r="N16" s="3291">
        <f>ROUND(SUMPRODUCT(M6:M14,N6:N14)/M16,3)</f>
        <v>0.83</v>
      </c>
      <c r="O16" s="3806">
        <f>SUM(O6:O14)</f>
        <v>0</v>
      </c>
      <c r="P16" s="3806">
        <f>SUM(P6:P14)</f>
        <v>0</v>
      </c>
      <c r="Q16" s="3292">
        <f>ROUND(SUMPRODUCT(Q6:Q13,K6:K13)/SUMPRODUCT((Q6:Q13&gt;0)*(K6:K13)),2)</f>
        <v>0.15</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0.81399999999999995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v>3500</v>
      </c>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3839</v>
      </c>
      <c r="D20" s="3914"/>
      <c r="E20" s="3915"/>
      <c r="F20" s="3915"/>
      <c r="G20" s="3915"/>
      <c r="H20" s="1928"/>
      <c r="I20" s="1928"/>
      <c r="J20" s="1928"/>
      <c r="K20" s="1939"/>
      <c r="L20" s="1939"/>
      <c r="M20" s="1938"/>
      <c r="N20" s="1938">
        <v>2016</v>
      </c>
      <c r="O20" s="1938"/>
      <c r="P20" s="1938"/>
      <c r="Q20" s="1938"/>
      <c r="R20" s="1938"/>
      <c r="S20" s="1938"/>
      <c r="T20" s="1938"/>
      <c r="U20" s="1938">
        <f>U19/K16/30</f>
        <v>2.1568989955013245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c r="M21" s="1938"/>
      <c r="N21" s="1938">
        <f>ROUND(1-(2026-N20)/60,2)</f>
        <v>0.83</v>
      </c>
      <c r="O21" s="1938"/>
      <c r="P21" s="1938"/>
      <c r="Q21" s="1938"/>
      <c r="R21" s="1938"/>
      <c r="S21" s="1938"/>
      <c r="T21" s="1938"/>
      <c r="U21" s="1938">
        <f>ROUND(U20/1.09,2)</f>
        <v>1.98</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150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190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v>1</v>
      </c>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120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0.08</v>
      </c>
      <c r="C33" s="3952" t="s">
        <v>3831</v>
      </c>
      <c r="D33" s="3914"/>
      <c r="E33" s="3915"/>
      <c r="F33" s="3915"/>
      <c r="G33" s="3915"/>
      <c r="H33" s="1928"/>
      <c r="I33" s="1928">
        <f>$L$16*B33</f>
        <v>281.04000000000002</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300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1.4999999999999999E-2</v>
      </c>
      <c r="C36" s="3953" t="s">
        <v>3834</v>
      </c>
      <c r="D36" s="3919"/>
      <c r="E36" s="3920"/>
      <c r="F36" s="3920"/>
      <c r="G36" s="3915"/>
      <c r="H36" s="1928"/>
      <c r="I36" s="1928">
        <f>$L$16*B36</f>
        <v>52.695</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3" t="s">
        <v>2181</v>
      </c>
      <c r="B1" s="4354"/>
      <c r="C1" s="4354"/>
      <c r="D1" s="4354"/>
      <c r="E1" s="4354"/>
      <c r="F1" s="4354"/>
      <c r="G1" s="435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54.09</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46092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101.27809999999999</v>
      </c>
      <c r="C5" s="1840">
        <f ca="1">ROUND(B5*10000/$B$1,0)</f>
        <v>18724</v>
      </c>
      <c r="D5" s="1840" t="e">
        <f ca="1">ROUND(B5*10000/$B$2,0)</f>
        <v>#DIV/0!</v>
      </c>
      <c r="E5" s="1949"/>
      <c r="F5" s="1950"/>
      <c r="G5" s="1950"/>
      <c r="H5" s="1950"/>
      <c r="I5" s="1950"/>
      <c r="J5" s="1950"/>
      <c r="K5" s="1950"/>
    </row>
    <row r="6" spans="1:11" ht="16.5">
      <c r="A6" s="1840" t="s">
        <v>644</v>
      </c>
      <c r="B6" s="1840">
        <f ca="1">SUM(G14:G23)</f>
        <v>101.27809999999999</v>
      </c>
      <c r="C6" s="1840">
        <f ca="1">ROUND(B6*10000/$B$1,0)</f>
        <v>18724</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54.09</v>
      </c>
      <c r="C14" s="3619"/>
      <c r="D14" s="3619">
        <f ca="1">结果表!I20/10000</f>
        <v>101.27809999999999</v>
      </c>
      <c r="E14" s="3619">
        <f ca="1">ROUND(D14*10000/B14,0)</f>
        <v>18724</v>
      </c>
      <c r="F14" s="3619" t="e">
        <f ca="1">ROUND(D14*10000/C14,0)</f>
        <v>#DIV/0!</v>
      </c>
      <c r="G14" s="3619">
        <f ca="1">D14</f>
        <v>101.27809999999999</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0" sqref="C10:C11"/>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09" t="str">
        <f>项目基本情况!S2</f>
        <v>北京市房地产</v>
      </c>
      <c r="B2" s="4410"/>
      <c r="C2" s="4410"/>
      <c r="D2" s="4410"/>
      <c r="E2" s="4410"/>
      <c r="F2" s="4410"/>
      <c r="G2" s="4410"/>
      <c r="H2" s="4410"/>
      <c r="I2" s="4411"/>
    </row>
    <row r="3" spans="1:12" ht="12.75">
      <c r="A3" s="4413" t="s">
        <v>1242</v>
      </c>
      <c r="B3" s="4414"/>
      <c r="C3" s="4414"/>
      <c r="D3" s="4414"/>
      <c r="E3" s="4414"/>
      <c r="F3" s="4414"/>
      <c r="G3" s="4414"/>
      <c r="H3" s="4414"/>
      <c r="I3" s="4414"/>
    </row>
    <row r="4" spans="1:12" ht="14.25">
      <c r="A4" s="1255" t="s">
        <v>1243</v>
      </c>
      <c r="B4" s="1256" t="s">
        <v>1244</v>
      </c>
      <c r="C4" s="3543" t="s">
        <v>4074</v>
      </c>
      <c r="D4" s="3543" t="s">
        <v>4067</v>
      </c>
      <c r="E4" s="4418" t="s">
        <v>1245</v>
      </c>
      <c r="F4" s="4419"/>
      <c r="G4" s="4419"/>
      <c r="H4" s="4419"/>
      <c r="I4" s="44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1" t="s">
        <v>1246</v>
      </c>
      <c r="B5" s="4379">
        <v>25</v>
      </c>
      <c r="C5" s="4415"/>
      <c r="D5" s="4412"/>
      <c r="E5" s="49" t="s">
        <v>1247</v>
      </c>
      <c r="F5" s="1257"/>
      <c r="G5" s="1257"/>
      <c r="H5" s="1257"/>
      <c r="I5" s="924"/>
    </row>
    <row r="6" spans="1:12" ht="12.75">
      <c r="A6" s="4401"/>
      <c r="B6" s="4379"/>
      <c r="C6" s="4417"/>
      <c r="D6" s="4412"/>
      <c r="E6" s="49" t="s">
        <v>1248</v>
      </c>
      <c r="F6" s="1257"/>
      <c r="G6" s="1257"/>
      <c r="H6" s="1257"/>
      <c r="I6" s="924"/>
    </row>
    <row r="7" spans="1:12" ht="12.75">
      <c r="A7" s="4401"/>
      <c r="B7" s="4379"/>
      <c r="C7" s="4416"/>
      <c r="D7" s="4412"/>
      <c r="E7" s="49" t="s">
        <v>1249</v>
      </c>
      <c r="F7" s="1257"/>
      <c r="G7" s="1257"/>
      <c r="H7" s="1257"/>
      <c r="I7" s="924"/>
    </row>
    <row r="8" spans="1:12" ht="12.75">
      <c r="A8" s="4401" t="s">
        <v>1250</v>
      </c>
      <c r="B8" s="4379">
        <v>15</v>
      </c>
      <c r="C8" s="4415"/>
      <c r="D8" s="4412"/>
      <c r="E8" s="49" t="s">
        <v>1251</v>
      </c>
      <c r="F8" s="1257"/>
      <c r="G8" s="1257"/>
      <c r="H8" s="1257"/>
      <c r="I8" s="924"/>
    </row>
    <row r="9" spans="1:12" ht="12.75">
      <c r="A9" s="4401"/>
      <c r="B9" s="4379"/>
      <c r="C9" s="4416"/>
      <c r="D9" s="4412"/>
      <c r="E9" s="49" t="s">
        <v>1252</v>
      </c>
      <c r="F9" s="1257"/>
      <c r="G9" s="1257"/>
      <c r="H9" s="1257"/>
      <c r="I9" s="924"/>
    </row>
    <row r="10" spans="1:12" ht="12.75">
      <c r="A10" s="4401" t="s">
        <v>1253</v>
      </c>
      <c r="B10" s="4379">
        <v>15</v>
      </c>
      <c r="C10" s="4415"/>
      <c r="D10" s="4412"/>
      <c r="E10" s="49" t="s">
        <v>1254</v>
      </c>
      <c r="F10" s="1257"/>
      <c r="G10" s="1257"/>
      <c r="H10" s="1257"/>
      <c r="I10" s="924"/>
    </row>
    <row r="11" spans="1:12" ht="12.75">
      <c r="A11" s="4401"/>
      <c r="B11" s="4379"/>
      <c r="C11" s="4416"/>
      <c r="D11" s="4412"/>
      <c r="E11" s="49" t="s">
        <v>1255</v>
      </c>
      <c r="F11" s="1257"/>
      <c r="G11" s="1257"/>
      <c r="H11" s="1257"/>
      <c r="I11" s="924"/>
    </row>
    <row r="12" spans="1:12" ht="12.75">
      <c r="A12" s="4401" t="s">
        <v>1256</v>
      </c>
      <c r="B12" s="4379">
        <v>15</v>
      </c>
      <c r="C12" s="4415"/>
      <c r="D12" s="4412"/>
      <c r="E12" s="49" t="s">
        <v>1257</v>
      </c>
      <c r="F12" s="1257"/>
      <c r="G12" s="1257"/>
      <c r="H12" s="1257"/>
      <c r="I12" s="924"/>
    </row>
    <row r="13" spans="1:12" ht="12.75">
      <c r="A13" s="4401"/>
      <c r="B13" s="4379"/>
      <c r="C13" s="4416"/>
      <c r="D13" s="4412"/>
      <c r="E13" s="49" t="s">
        <v>1258</v>
      </c>
      <c r="F13" s="1257"/>
      <c r="G13" s="1257"/>
      <c r="H13" s="1257"/>
      <c r="I13" s="924"/>
    </row>
    <row r="14" spans="1:12" ht="12.75">
      <c r="A14" s="4401" t="s">
        <v>1259</v>
      </c>
      <c r="B14" s="4379">
        <v>30</v>
      </c>
      <c r="C14" s="4415">
        <v>7</v>
      </c>
      <c r="D14" s="4412">
        <v>3</v>
      </c>
      <c r="E14" s="49" t="s">
        <v>1260</v>
      </c>
      <c r="F14" s="1257"/>
      <c r="G14" s="1257"/>
      <c r="H14" s="1257"/>
      <c r="I14" s="924"/>
    </row>
    <row r="15" spans="1:12" ht="12.75">
      <c r="A15" s="4401"/>
      <c r="B15" s="4379"/>
      <c r="C15" s="4417"/>
      <c r="D15" s="4412"/>
      <c r="E15" s="49" t="s">
        <v>1261</v>
      </c>
      <c r="F15" s="1257"/>
      <c r="G15" s="1257"/>
      <c r="H15" s="1257"/>
      <c r="I15" s="924"/>
    </row>
    <row r="16" spans="1:12" ht="12.75">
      <c r="A16" s="4401"/>
      <c r="B16" s="4379"/>
      <c r="C16" s="4416"/>
      <c r="D16" s="4412"/>
      <c r="E16" s="49" t="s">
        <v>1262</v>
      </c>
      <c r="F16" s="1257"/>
      <c r="G16" s="1257"/>
      <c r="H16" s="1257"/>
      <c r="I16" s="924"/>
    </row>
    <row r="17" spans="1:36" ht="15">
      <c r="A17" s="1258" t="s">
        <v>1263</v>
      </c>
      <c r="B17" s="3542"/>
      <c r="C17" s="3624">
        <f>SUM(C5:C16)</f>
        <v>7</v>
      </c>
      <c r="D17" s="3624">
        <f>SUM(D5:D16)</f>
        <v>3</v>
      </c>
      <c r="E17" s="47"/>
      <c r="F17" s="47"/>
      <c r="G17" s="47"/>
      <c r="H17" s="47"/>
      <c r="I17" s="47"/>
      <c r="K17" s="186"/>
      <c r="L17" s="186" t="s">
        <v>1264</v>
      </c>
      <c r="M17" s="186" t="s">
        <v>1265</v>
      </c>
    </row>
    <row r="18" spans="1:36" ht="31.9" customHeight="1" thickBot="1">
      <c r="A18" s="1259" t="s">
        <v>1266</v>
      </c>
      <c r="B18" s="1182"/>
      <c r="C18" s="3625">
        <f>ROUND(C17/SUM(C17:D17),2)</f>
        <v>0.7</v>
      </c>
      <c r="D18" s="3625">
        <f>1-C18</f>
        <v>0.30000000000000004</v>
      </c>
      <c r="E18" s="4440" t="s">
        <v>2035</v>
      </c>
      <c r="F18" s="4441"/>
      <c r="G18" s="4441"/>
      <c r="H18" s="4441"/>
      <c r="I18" s="4441"/>
      <c r="K18" s="186" t="s">
        <v>1267</v>
      </c>
      <c r="L18" s="2665">
        <f>IF(C1="",'数据-汇总表'!E3,SUMIF(项目类型,C1,'数据-汇总表'!E17:E26)+SUMIF(项目类型,C1,'数据-汇总表'!I17:I26))</f>
        <v>54.09</v>
      </c>
      <c r="M18" s="2665">
        <f>IF(C1="",'数据-汇总表'!E3,SUMIF(项目类型,C1,'数据-汇总表'!E17:E26))</f>
        <v>54.09</v>
      </c>
    </row>
    <row r="19" spans="1:36" ht="15">
      <c r="A19" s="1260" t="s">
        <v>1268</v>
      </c>
      <c r="B19" s="1261" t="s">
        <v>1269</v>
      </c>
      <c r="C19" s="3626">
        <f ca="1">SUMIF(INDIRECT("'"&amp;C4&amp;"'"&amp;"!A:A"),结果表!B19,INDIRECT("'"&amp;C4&amp;"'"&amp;"!B:B"))</f>
        <v>118.6356</v>
      </c>
      <c r="D19" s="3627">
        <f ca="1">SUMIF(INDIRECT("'"&amp;D4&amp;"'"&amp;"!A:A"),结果表!B19,INDIRECT("'"&amp;D4&amp;"'"&amp;"!B:B"))</f>
        <v>60.771099999999997</v>
      </c>
      <c r="E19" s="1260" t="s">
        <v>1270</v>
      </c>
      <c r="F19" s="1261" t="s">
        <v>1269</v>
      </c>
      <c r="G19" s="3632">
        <f ca="1">ROUND(C19*$C$18+D19*$D$18,0)</f>
        <v>101</v>
      </c>
      <c r="H19" s="1262" t="s">
        <v>1271</v>
      </c>
      <c r="I19" s="47">
        <f ca="1">ROUND(C19*$C$18+D19*$D$18,4)</f>
        <v>101.27630000000001</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21933</v>
      </c>
      <c r="D20" s="3629">
        <f ca="1">SUMIF(INDIRECT("'"&amp;D4&amp;"'"&amp;"!A:A"),结果表!B20,INDIRECT("'"&amp;D4&amp;"'"&amp;"!B:B"))</f>
        <v>11235</v>
      </c>
      <c r="E20" s="1263"/>
      <c r="F20" s="25" t="s">
        <v>1273</v>
      </c>
      <c r="G20" s="3633">
        <f ca="1">ROUND(C20*$C$18+D20*$D$18,0)</f>
        <v>18724</v>
      </c>
      <c r="H20" s="527" t="s">
        <v>1274</v>
      </c>
      <c r="I20" s="47">
        <f ca="1">ROUND(G20*L18,0)</f>
        <v>1012781</v>
      </c>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t="str">
        <f ca="1">NUMBERSTRING(INT(I20),2)&amp;"元整"</f>
        <v>壹佰零壹万贰仟柒佰捌拾壹元整</v>
      </c>
    </row>
    <row r="22" spans="1:36" ht="15" thickBot="1">
      <c r="A22" s="1200" t="s">
        <v>1276</v>
      </c>
      <c r="B22" s="1264"/>
      <c r="C22" s="2588"/>
      <c r="D22" s="3881">
        <f ca="1">IF(C19&lt;D19,D19/C19-1,C19/D19-1)</f>
        <v>0.9521713446029445</v>
      </c>
      <c r="E22" s="3375"/>
      <c r="F22" s="3377"/>
      <c r="G22" s="3634" t="e">
        <f ca="1">ROUND(G19/('数据-汇总表'!D3/666.67),0)</f>
        <v>#DIV/0!</v>
      </c>
      <c r="H22" s="3376" t="s">
        <v>3617</v>
      </c>
      <c r="I22" s="47"/>
    </row>
    <row r="23" spans="1:36" ht="13.5" thickBot="1">
      <c r="A23" s="464"/>
      <c r="B23" s="464"/>
      <c r="C23" s="464"/>
      <c r="D23" s="464"/>
      <c r="E23" s="47"/>
      <c r="F23" s="47"/>
      <c r="G23" s="47"/>
      <c r="H23" s="47"/>
      <c r="I23" s="47"/>
    </row>
    <row r="24" spans="1:36" ht="14.25">
      <c r="A24" s="4386" t="s">
        <v>1277</v>
      </c>
      <c r="B24" s="1261" t="s">
        <v>1269</v>
      </c>
      <c r="C24" s="3632">
        <f>IF(B30=0,0,D30)</f>
        <v>0</v>
      </c>
      <c r="D24" s="3635"/>
      <c r="E24" s="47"/>
      <c r="F24" s="47"/>
      <c r="G24" s="47"/>
      <c r="H24" s="47"/>
      <c r="I24" s="47"/>
    </row>
    <row r="25" spans="1:36" ht="14.25">
      <c r="A25" s="4387"/>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18724</v>
      </c>
      <c r="D32" s="1267" t="s">
        <v>4092</v>
      </c>
      <c r="E32" s="47"/>
      <c r="F32" s="47"/>
      <c r="G32" s="47"/>
      <c r="H32" s="47"/>
      <c r="I32" s="47"/>
    </row>
    <row r="33" spans="1:19" ht="15">
      <c r="A33" s="516" t="s">
        <v>1284</v>
      </c>
      <c r="B33" s="49"/>
      <c r="C33" s="1268" t="s">
        <v>4091</v>
      </c>
      <c r="D33" s="1269" t="s">
        <v>4067</v>
      </c>
      <c r="E33" s="1270" t="s">
        <v>1285</v>
      </c>
      <c r="F33" s="1271" t="str">
        <f>IF(D32="楼面单价","取值（单价）","取值（总价）")</f>
        <v>取值（单价）</v>
      </c>
      <c r="G33" s="47"/>
      <c r="H33" s="47"/>
      <c r="I33" s="47"/>
    </row>
    <row r="34" spans="1:19" ht="15">
      <c r="A34" s="1272"/>
      <c r="B34" s="1273" t="s">
        <v>1286</v>
      </c>
      <c r="C34" s="3641">
        <f ca="1">IF(C33="自定义",F34,C32-C35)</f>
        <v>8501</v>
      </c>
      <c r="D34" s="3882">
        <f ca="1">IF(C33="自定义",ROUND(C34/C32,3),IF(C33="收益比率",SUMIF(INDIRECT("'"&amp;D33&amp;"'"&amp;"!b:b"),"土地收益比率",INDIRECT("'"&amp;D33&amp;"'"&amp;"!c:c")),SUMIF(INDIRECT("'"&amp;D33&amp;"'"&amp;"!b:b"),"土地成本比率",INDIRECT("'"&amp;D33&amp;"'"&amp;"!c:c"))))</f>
        <v>0.45399999999999996</v>
      </c>
      <c r="E34" s="1274" t="s">
        <v>1287</v>
      </c>
      <c r="F34" s="3643"/>
      <c r="G34" s="47"/>
      <c r="H34" s="47"/>
      <c r="I34" s="47"/>
    </row>
    <row r="35" spans="1:19" ht="15.75" thickBot="1">
      <c r="A35" s="1275"/>
      <c r="B35" s="1276" t="s">
        <v>1288</v>
      </c>
      <c r="C35" s="3642">
        <f ca="1">IF(C33="自定义",F35,ROUND(C32*D35,0))</f>
        <v>10223</v>
      </c>
      <c r="D35" s="3883">
        <f ca="1">IF(C33="自定义",ROUND(C35/C32,3),IF(C33="收益比率",SUMIF(INDIRECT("'"&amp;D33&amp;"'"&amp;"!b:b"),"建筑物收益比率",INDIRECT("'"&amp;D33&amp;"'"&amp;"!c:c")),SUMIF(INDIRECT("'"&amp;D33&amp;"'"&amp;"!b:b"),"建筑物成本比率",INDIRECT("'"&amp;D33&amp;"'"&amp;"!c:c"))))</f>
        <v>0.54600000000000004</v>
      </c>
      <c r="E35" s="1277" t="s">
        <v>1289</v>
      </c>
      <c r="F35" s="3644"/>
      <c r="G35" s="47"/>
      <c r="H35" s="47"/>
      <c r="I35" s="47"/>
    </row>
    <row r="36" spans="1:19" ht="15.75" thickBot="1">
      <c r="A36" s="4404" t="s">
        <v>1290</v>
      </c>
      <c r="B36" s="1278" t="s">
        <v>1291</v>
      </c>
      <c r="C36" s="3645"/>
      <c r="D36" s="1279"/>
      <c r="E36" s="1203"/>
      <c r="F36" s="1280"/>
      <c r="G36" s="47"/>
      <c r="H36" s="47"/>
      <c r="I36" s="47"/>
    </row>
    <row r="37" spans="1:19" ht="15.75" thickBot="1">
      <c r="A37" s="4405"/>
      <c r="B37" s="1191" t="s">
        <v>1292</v>
      </c>
      <c r="C37" s="3646"/>
      <c r="D37" s="763"/>
      <c r="E37" s="763"/>
      <c r="F37" s="1280"/>
      <c r="G37" s="47"/>
      <c r="H37" s="47"/>
      <c r="I37" s="47"/>
    </row>
    <row r="38" spans="1:19" ht="15.75" thickBot="1">
      <c r="A38" s="4406"/>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3" t="s">
        <v>1304</v>
      </c>
      <c r="B45" s="4384"/>
      <c r="C45" s="4385"/>
      <c r="D45" s="56">
        <f ca="1">ROUND(H101*F45,0)</f>
        <v>101</v>
      </c>
      <c r="E45" s="57" t="s">
        <v>1305</v>
      </c>
      <c r="F45" s="58">
        <v>1</v>
      </c>
      <c r="G45" s="59" t="s">
        <v>1306</v>
      </c>
      <c r="H45" s="47"/>
      <c r="I45" s="47"/>
      <c r="J45" s="4395" t="s">
        <v>1307</v>
      </c>
      <c r="K45" s="4395"/>
      <c r="L45" s="4395"/>
      <c r="M45" s="4395"/>
      <c r="N45" s="4395"/>
      <c r="O45" s="4395"/>
    </row>
    <row r="46" spans="1:19" ht="14.25" customHeight="1">
      <c r="A46" s="4380" t="s">
        <v>1308</v>
      </c>
      <c r="B46" s="4381"/>
      <c r="C46" s="4381"/>
      <c r="D46" s="4381"/>
      <c r="E46" s="4381"/>
      <c r="F46" s="4381"/>
      <c r="G46" s="4382"/>
      <c r="H46" s="1294"/>
      <c r="I46" s="60"/>
      <c r="J46" s="1848">
        <v>1</v>
      </c>
      <c r="K46" s="4396" t="s">
        <v>1309</v>
      </c>
      <c r="L46" s="4396"/>
      <c r="M46" s="4397"/>
      <c r="N46" s="4397"/>
      <c r="O46" s="4397"/>
    </row>
    <row r="47" spans="1:19" ht="12" customHeight="1">
      <c r="A47" s="61" t="s">
        <v>1310</v>
      </c>
      <c r="B47" s="62"/>
      <c r="C47" s="63"/>
      <c r="D47" s="724" t="s">
        <v>1311</v>
      </c>
      <c r="E47" s="186" t="s">
        <v>1312</v>
      </c>
      <c r="F47" s="64" t="s">
        <v>1313</v>
      </c>
      <c r="G47" s="1863" t="s">
        <v>1314</v>
      </c>
      <c r="H47" s="1864"/>
      <c r="I47" s="60"/>
      <c r="J47" s="1848">
        <v>2</v>
      </c>
      <c r="K47" s="4396" t="s">
        <v>1315</v>
      </c>
      <c r="L47" s="4396"/>
      <c r="M47" s="4398">
        <f>'数据-取费表'!B2</f>
        <v>46092</v>
      </c>
      <c r="N47" s="4398"/>
      <c r="O47" s="4398"/>
    </row>
    <row r="48" spans="1:19" ht="25.5">
      <c r="A48" s="4407" t="s">
        <v>1316</v>
      </c>
      <c r="B48" s="4408"/>
      <c r="C48" s="4408"/>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396" t="s">
        <v>1318</v>
      </c>
      <c r="L48" s="4396"/>
      <c r="M48" s="4399">
        <f ca="1">H101</f>
        <v>101.27809999999999</v>
      </c>
      <c r="N48" s="4399"/>
      <c r="O48" s="4399"/>
      <c r="R48" s="3401" t="s">
        <v>3634</v>
      </c>
      <c r="S48" s="3402"/>
    </row>
    <row r="49" spans="1:35" ht="25.5" customHeight="1">
      <c r="A49" s="3536" t="s">
        <v>1319</v>
      </c>
      <c r="B49" s="4378" t="s">
        <v>1320</v>
      </c>
      <c r="C49" s="4378"/>
      <c r="D49" s="3653">
        <v>0</v>
      </c>
      <c r="E49" s="207" t="s">
        <v>1321</v>
      </c>
      <c r="F49" s="3530" t="s">
        <v>26</v>
      </c>
      <c r="G49" s="4450"/>
      <c r="H49" s="3396" t="s">
        <v>2038</v>
      </c>
      <c r="I49" s="3397"/>
      <c r="J49" s="1848">
        <v>4</v>
      </c>
      <c r="K49" s="4396" t="str">
        <f>IF(项目基本情况!E8="房地产抵押价值","房地产抵押价值","抵押担保权已注销时的房地产抵押价值")</f>
        <v>房地产抵押价值</v>
      </c>
      <c r="L49" s="4396"/>
      <c r="M49" s="4399">
        <f ca="1">IF(项目基本情况!E8="房地产抵押价值",H107,H109)</f>
        <v>101.27809999999999</v>
      </c>
      <c r="N49" s="4399"/>
      <c r="O49" s="4399"/>
      <c r="R49" s="3403" t="s">
        <v>3635</v>
      </c>
      <c r="S49" s="3401" t="s">
        <v>3636</v>
      </c>
    </row>
    <row r="50" spans="1:35" ht="25.5" customHeight="1">
      <c r="A50" s="3537"/>
      <c r="B50" s="4378" t="s">
        <v>1322</v>
      </c>
      <c r="C50" s="4378"/>
      <c r="D50" s="3654"/>
      <c r="E50" s="214"/>
      <c r="F50" s="3530"/>
      <c r="G50" s="4451"/>
      <c r="H50" s="1302" t="s">
        <v>2039</v>
      </c>
      <c r="I50" s="3397"/>
      <c r="J50" s="4395" t="s">
        <v>1323</v>
      </c>
      <c r="K50" s="4395"/>
      <c r="L50" s="4395"/>
      <c r="M50" s="4395"/>
      <c r="N50" s="4395"/>
      <c r="O50" s="4395"/>
      <c r="R50" s="3403" t="s">
        <v>3637</v>
      </c>
      <c r="S50" s="3401" t="s">
        <v>3638</v>
      </c>
    </row>
    <row r="51" spans="1:35" ht="20.45" customHeight="1">
      <c r="A51" s="3538"/>
      <c r="B51" s="4378" t="s">
        <v>1324</v>
      </c>
      <c r="C51" s="4378"/>
      <c r="D51" s="709"/>
      <c r="E51" s="210"/>
      <c r="F51" s="3530"/>
      <c r="G51" s="4452"/>
      <c r="H51" s="1302" t="s">
        <v>2040</v>
      </c>
      <c r="I51" s="3397"/>
      <c r="J51" s="1849" t="s">
        <v>1325</v>
      </c>
      <c r="K51" s="4396" t="s">
        <v>1326</v>
      </c>
      <c r="L51" s="4396"/>
      <c r="M51" s="1849" t="s">
        <v>1327</v>
      </c>
      <c r="N51" s="1849" t="s">
        <v>1328</v>
      </c>
      <c r="O51" s="1849" t="s">
        <v>1329</v>
      </c>
      <c r="R51" s="3403" t="s">
        <v>3639</v>
      </c>
      <c r="S51" s="3402" t="s">
        <v>3640</v>
      </c>
    </row>
    <row r="52" spans="1:35" ht="24" customHeight="1">
      <c r="A52" s="1700" t="s">
        <v>1330</v>
      </c>
      <c r="B52" s="4378" t="s">
        <v>1331</v>
      </c>
      <c r="C52" s="4378"/>
      <c r="D52" s="709">
        <f ca="1">ROUND(D45*F52/(1+F52),0)</f>
        <v>3</v>
      </c>
      <c r="E52" s="899" t="s">
        <v>1332</v>
      </c>
      <c r="F52" s="1867">
        <v>0.03</v>
      </c>
      <c r="G52" s="894" t="s">
        <v>3681</v>
      </c>
      <c r="H52" s="1861"/>
      <c r="I52" s="1295"/>
      <c r="J52" s="1848">
        <v>1</v>
      </c>
      <c r="K52" s="4400" t="s">
        <v>1333</v>
      </c>
      <c r="L52" s="4400"/>
      <c r="M52" s="3656">
        <f>IF(D48&lt;=0,0,D48)</f>
        <v>0</v>
      </c>
      <c r="N52" s="1848" t="str">
        <f>E48</f>
        <v>销售额×税（费）率</v>
      </c>
      <c r="O52" s="3563">
        <f>F48</f>
        <v>0</v>
      </c>
      <c r="R52" s="3401" t="s">
        <v>3641</v>
      </c>
      <c r="S52" s="3401" t="s">
        <v>3645</v>
      </c>
    </row>
    <row r="53" spans="1:35" ht="12" customHeight="1">
      <c r="A53" s="1700" t="s">
        <v>1334</v>
      </c>
      <c r="B53" s="4402" t="s">
        <v>2186</v>
      </c>
      <c r="C53" s="4403"/>
      <c r="D53" s="709">
        <f ca="1">IF(G53="2016年5月1日之前项目",ROUND(D45*F53/(1+F53),0),H63)</f>
        <v>8</v>
      </c>
      <c r="E53" s="899" t="str">
        <f>IF(G53="2016年5月1日之前项目","全额计税","进销项计算")</f>
        <v>进销项计算</v>
      </c>
      <c r="F53" s="1867">
        <f>IF(G53="2016年5月1日之前项目",5%,9%)</f>
        <v>0.09</v>
      </c>
      <c r="G53" s="3617"/>
      <c r="H53" s="1861"/>
      <c r="I53" s="1295"/>
      <c r="J53" s="1848">
        <v>2</v>
      </c>
      <c r="K53" s="4400" t="s">
        <v>1335</v>
      </c>
      <c r="L53" s="4400"/>
      <c r="M53" s="3656">
        <f t="shared" ref="M53:O54" ca="1" si="0">D55</f>
        <v>0</v>
      </c>
      <c r="N53" s="1848" t="str">
        <f t="shared" si="0"/>
        <v>销售额×税（费）率</v>
      </c>
      <c r="O53" s="3563" t="str">
        <f t="shared" si="0"/>
        <v>免征</v>
      </c>
      <c r="R53" s="3401" t="s">
        <v>3642</v>
      </c>
      <c r="S53" s="3402" t="s">
        <v>3649</v>
      </c>
    </row>
    <row r="54" spans="1:35" ht="12" customHeight="1">
      <c r="A54" s="1700" t="s">
        <v>1336</v>
      </c>
      <c r="B54" s="4402" t="s">
        <v>2187</v>
      </c>
      <c r="C54" s="4403"/>
      <c r="D54" s="709">
        <f ca="1">IF(G54="2016年5月1日之前项目",C68,H63)</f>
        <v>8</v>
      </c>
      <c r="E54" s="3550" t="str">
        <f>IF(G54="2016年5月1日之前项目","差额计税","进销项计算")</f>
        <v>进销项计算</v>
      </c>
      <c r="F54" s="1867">
        <f>IF(G54="2016年5月1日之前项目",5%,9%)</f>
        <v>0.09</v>
      </c>
      <c r="G54" s="3617"/>
      <c r="H54" s="1869"/>
      <c r="I54" s="1295"/>
      <c r="J54" s="1848">
        <v>3</v>
      </c>
      <c r="K54" s="4400" t="s">
        <v>1337</v>
      </c>
      <c r="L54" s="4400"/>
      <c r="M54" s="3656" t="e">
        <f t="shared" ca="1" si="0"/>
        <v>#VALUE!</v>
      </c>
      <c r="N54" s="1848" t="str">
        <f t="shared" si="0"/>
        <v>增值额×税（费）率</v>
      </c>
      <c r="O54" s="3564" t="str">
        <f t="shared" si="0"/>
        <v>免征</v>
      </c>
      <c r="P54" s="47"/>
      <c r="R54" s="3403" t="s">
        <v>3643</v>
      </c>
      <c r="S54" s="3402" t="s">
        <v>3646</v>
      </c>
    </row>
    <row r="55" spans="1:35" ht="24" customHeight="1">
      <c r="A55" s="4435" t="s">
        <v>1338</v>
      </c>
      <c r="B55" s="4408"/>
      <c r="C55" s="4408"/>
      <c r="D55" s="3652">
        <f ca="1">IF(H55="个人住宅",0,ROUND(D45*I55,0))</f>
        <v>0</v>
      </c>
      <c r="E55" s="899" t="s">
        <v>1339</v>
      </c>
      <c r="F55" s="1867" t="str">
        <f>IF(H55="正常",I55,"免征")</f>
        <v>免征</v>
      </c>
      <c r="G55" s="1868"/>
      <c r="H55" s="1866"/>
      <c r="I55" s="65">
        <f>'数据-取费表'!B50</f>
        <v>5.0000000000000001E-4</v>
      </c>
      <c r="J55" s="1848">
        <f>IF(H59="非个人房产","",4)</f>
        <v>4</v>
      </c>
      <c r="K55" s="4400" t="str">
        <f>IF(H59="非个人房产","——","个人所得税")</f>
        <v>个人所得税</v>
      </c>
      <c r="L55" s="4400"/>
      <c r="M55" s="3657">
        <f ca="1">D59</f>
        <v>1</v>
      </c>
      <c r="N55" s="1478" t="str">
        <f>E59</f>
        <v>差额计税</v>
      </c>
      <c r="O55" s="3565">
        <f>F59</f>
        <v>0.01</v>
      </c>
      <c r="R55" s="3403" t="s">
        <v>3644</v>
      </c>
      <c r="S55" s="3402" t="s">
        <v>3647</v>
      </c>
    </row>
    <row r="56" spans="1:35" ht="24.75">
      <c r="A56" s="4435" t="s">
        <v>1340</v>
      </c>
      <c r="B56" s="4408"/>
      <c r="C56" s="4408"/>
      <c r="D56" s="4256"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55" t="str">
        <f>IF(项目基本情况!K6="上海银行","其他处置费用","")</f>
        <v/>
      </c>
      <c r="L56" s="4456"/>
      <c r="M56" s="3656" t="str">
        <f>IF(项目基本情况!K6="上海银行",M69,"")</f>
        <v/>
      </c>
      <c r="N56" s="4455" t="str">
        <f>IF(项目基本情况!K6="上海银行","包含处置中涉及的律师、诉讼、拍卖、评估等费用","")</f>
        <v/>
      </c>
      <c r="O56" s="4459"/>
      <c r="R56" s="3402"/>
      <c r="S56" s="3402" t="s">
        <v>3648</v>
      </c>
    </row>
    <row r="57" spans="1:35" ht="12.75">
      <c r="A57" s="1700" t="s">
        <v>1319</v>
      </c>
      <c r="B57" s="4402" t="s">
        <v>1343</v>
      </c>
      <c r="C57" s="4403"/>
      <c r="D57" s="3653">
        <v>0</v>
      </c>
      <c r="E57" s="207" t="s">
        <v>1321</v>
      </c>
      <c r="F57" s="186"/>
      <c r="G57" s="1868"/>
      <c r="H57" s="1872"/>
      <c r="I57" s="1296"/>
      <c r="J57" s="4400">
        <f>IF(AND(J55="",J56=""),4,IF(项目基本情况!K6="上海银行",结果表!J56+1,结果表!J55+1))</f>
        <v>5</v>
      </c>
      <c r="K57" s="4400" t="s">
        <v>1344</v>
      </c>
      <c r="L57" s="1850" t="s">
        <v>1345</v>
      </c>
      <c r="M57" s="1851"/>
      <c r="N57" s="3658">
        <f ca="1">SUMIF(M52:M56,"&lt;9e307")</f>
        <v>1</v>
      </c>
      <c r="O57" s="1852"/>
      <c r="P57" s="1952">
        <f ca="1">N57/M49</f>
        <v>9.873802924817902E-3</v>
      </c>
      <c r="R57" s="4369" t="s">
        <v>3692</v>
      </c>
      <c r="S57" s="4370"/>
    </row>
    <row r="58" spans="1:35" ht="24.75">
      <c r="A58" s="1700" t="s">
        <v>1330</v>
      </c>
      <c r="B58" s="4402" t="s">
        <v>1346</v>
      </c>
      <c r="C58" s="4378"/>
      <c r="D58" s="3652">
        <f ca="1">IF(H58="转让取得",C81,C97)</f>
        <v>30</v>
      </c>
      <c r="E58" s="899" t="s">
        <v>1341</v>
      </c>
      <c r="F58" s="186" t="s">
        <v>26</v>
      </c>
      <c r="G58" s="1868"/>
      <c r="H58" s="1871"/>
      <c r="I58" s="1296"/>
      <c r="J58" s="4400"/>
      <c r="K58" s="4400"/>
      <c r="L58" s="1850" t="s">
        <v>1347</v>
      </c>
      <c r="M58" s="1853"/>
      <c r="N58" s="1854" t="str">
        <f ca="1">NUMBERSTRING(INT(N57*10000),2)&amp;"元整"</f>
        <v>壹万元整</v>
      </c>
      <c r="O58" s="1855"/>
      <c r="R58" s="4371"/>
      <c r="S58" s="4372"/>
    </row>
    <row r="59" spans="1:35" ht="24.75" thickBot="1">
      <c r="A59" s="4448" t="s">
        <v>1348</v>
      </c>
      <c r="B59" s="4449"/>
      <c r="C59" s="4449"/>
      <c r="D59" s="3655">
        <f ca="1">IF(H59="非个人房产","——",IF(H59="个人住宅（满五唯一有凭证）",0,IF(H59="个人其他（无凭证）",ROUND(D45/(1+'数据-取费表'!C43)*F59,0),ROUND(C67*F59,0))))</f>
        <v>1</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46">
        <f>J57+1</f>
        <v>6</v>
      </c>
      <c r="K59" s="4400" t="s">
        <v>1349</v>
      </c>
      <c r="L59" s="1848" t="s">
        <v>1345</v>
      </c>
      <c r="M59" s="1856"/>
      <c r="N59" s="2589">
        <f ca="1">M49-N57</f>
        <v>100.27809999999999</v>
      </c>
      <c r="O59" s="1857"/>
      <c r="R59" s="3401" t="s">
        <v>3650</v>
      </c>
      <c r="S59" s="3401" t="s">
        <v>3651</v>
      </c>
    </row>
    <row r="60" spans="1:35" ht="12" customHeight="1" thickBot="1">
      <c r="A60" s="1297"/>
      <c r="B60" s="464"/>
      <c r="C60" s="464"/>
      <c r="D60" s="464"/>
      <c r="E60" s="1110"/>
      <c r="F60" s="1296"/>
      <c r="G60" s="1296"/>
      <c r="H60" s="60"/>
      <c r="I60" s="47"/>
      <c r="J60" s="4447"/>
      <c r="K60" s="4400"/>
      <c r="L60" s="1850" t="s">
        <v>1347</v>
      </c>
      <c r="M60" s="1853"/>
      <c r="N60" s="1854" t="str">
        <f ca="1">NUMBERSTRING(INT(N59*10000),2)&amp;"元整"</f>
        <v>壹佰万贰仟柒佰捌拾壹元整</v>
      </c>
      <c r="O60" s="1855"/>
      <c r="R60" s="3401" t="s">
        <v>3652</v>
      </c>
      <c r="S60" s="3401" t="s">
        <v>3691</v>
      </c>
    </row>
    <row r="61" spans="1:35" ht="14.25" thickBot="1">
      <c r="A61" s="4376" t="s">
        <v>3689</v>
      </c>
      <c r="B61" s="4377"/>
      <c r="C61" s="4377"/>
      <c r="D61" s="4377"/>
      <c r="E61" s="3555"/>
      <c r="F61" s="4442" t="s">
        <v>3690</v>
      </c>
      <c r="G61" s="4443"/>
      <c r="H61" s="4443"/>
      <c r="I61" s="4444"/>
      <c r="J61" s="3539">
        <f>J59+1</f>
        <v>7</v>
      </c>
      <c r="K61" s="4400" t="s">
        <v>1350</v>
      </c>
      <c r="L61" s="4400"/>
      <c r="M61" s="1858"/>
      <c r="N61" s="2590">
        <f ca="1">ROUND(N59*10000/'数据-汇总表'!E3,0)</f>
        <v>18539</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101</v>
      </c>
      <c r="D63" s="3552"/>
      <c r="E63" s="4373" t="s">
        <v>3694</v>
      </c>
      <c r="F63" s="4253">
        <v>1</v>
      </c>
      <c r="G63" s="4254" t="s">
        <v>4058</v>
      </c>
      <c r="H63" s="3178">
        <f ca="1">H64-H66</f>
        <v>8</v>
      </c>
      <c r="I63" s="2680"/>
      <c r="J63" s="4457" t="s">
        <v>1354</v>
      </c>
      <c r="K63" s="889" t="s">
        <v>1355</v>
      </c>
      <c r="L63" s="3674">
        <f ca="1">IF(M49&gt;10000,M49*0.5%,IF(AND(M49&gt;1000,M49&lt;=10000),M49*1%,IF(AND(M49&gt;100,M49&lt;=1000),M49*3%,IF(AND(M49&gt;10,M49&lt;=100),M49*5%,M49*8%))))</f>
        <v>3.0383429999999998</v>
      </c>
      <c r="M63" s="2665">
        <f ca="1">ROUND(L63,1)</f>
        <v>3</v>
      </c>
      <c r="N63" s="1860"/>
      <c r="Z63" s="1254"/>
      <c r="AI63" s="1197"/>
    </row>
    <row r="64" spans="1:35" ht="14.25" customHeight="1">
      <c r="A64" s="67" t="s">
        <v>323</v>
      </c>
      <c r="B64" s="3559" t="s">
        <v>3698</v>
      </c>
      <c r="C64" s="3541">
        <f ca="1">D45</f>
        <v>101</v>
      </c>
      <c r="D64" s="4238" t="s">
        <v>4053</v>
      </c>
      <c r="E64" s="4374"/>
      <c r="F64" s="4253">
        <v>2</v>
      </c>
      <c r="G64" s="4254" t="s">
        <v>3682</v>
      </c>
      <c r="H64" s="3178">
        <f ca="1">ROUND(H65*I64/(1+I64),0)</f>
        <v>8</v>
      </c>
      <c r="I64" s="3571">
        <v>0.09</v>
      </c>
      <c r="J64" s="4457"/>
      <c r="K64" s="889" t="s">
        <v>1356</v>
      </c>
      <c r="L64" s="3674">
        <f ca="1">IF(M49&gt;2000,M49*0.5%,IF(AND(M49&gt;1000,M49&lt;=2000),M49*0.6%,IF(AND(M49&gt;500,M49&lt;=1000),M49*0.7%,IF(AND(M49&gt;200,M49&lt;=500),M49*0.8%,IF(AND(M49&gt;100,M49&lt;=200),M49*0.9%,IF(AND(M49&gt;50,M49&lt;=100),M49*1%,IF(AND(M49&gt;20,M49&lt;=50),M49*1.5%,IF(AND(M49&gt;10,M49&lt;=20),M49*2%,IF(AND(M49&gt;1,M49&lt;=10),M49*2.5%)))))))))</f>
        <v>0.91150290000000012</v>
      </c>
      <c r="M64" s="2665">
        <f t="shared" ref="M64:M65" ca="1" si="1">ROUND(L64,1)</f>
        <v>0.9</v>
      </c>
      <c r="N64" s="1861" t="s">
        <v>1357</v>
      </c>
      <c r="Z64" s="1254"/>
      <c r="AI64" s="1197"/>
    </row>
    <row r="65" spans="1:35" ht="14.25" customHeight="1">
      <c r="A65" s="67" t="s">
        <v>324</v>
      </c>
      <c r="B65" s="3559" t="s">
        <v>3699</v>
      </c>
      <c r="C65" s="3660"/>
      <c r="D65" s="3553"/>
      <c r="E65" s="4374"/>
      <c r="F65" s="67" t="s">
        <v>323</v>
      </c>
      <c r="G65" s="3572" t="s">
        <v>3685</v>
      </c>
      <c r="H65" s="3178">
        <f ca="1">D45</f>
        <v>101</v>
      </c>
      <c r="I65" s="4240" t="s">
        <v>4054</v>
      </c>
      <c r="J65" s="4457"/>
      <c r="K65" s="889" t="s">
        <v>1358</v>
      </c>
      <c r="L65" s="3674">
        <f ca="1">IF(M49&gt;1000,M49*0.1%,IF(AND(M49&gt;500,M49&lt;=1000),M49*0.5%,IF(AND(M49&gt;50,M49&lt;=500),M49*1%,IF(AND(M49&gt;1,M49&lt;=50),M49*1.5%))))</f>
        <v>1.0127809999999999</v>
      </c>
      <c r="M65" s="2665">
        <f t="shared" ca="1" si="1"/>
        <v>1</v>
      </c>
      <c r="N65" s="1861" t="s">
        <v>1357</v>
      </c>
      <c r="Z65" s="1254"/>
      <c r="AI65" s="1197"/>
    </row>
    <row r="66" spans="1:35" ht="14.25" customHeight="1">
      <c r="A66" s="70" t="s">
        <v>325</v>
      </c>
      <c r="B66" s="3560" t="s">
        <v>3700</v>
      </c>
      <c r="C66" s="3660"/>
      <c r="D66" s="4239" t="s">
        <v>4053</v>
      </c>
      <c r="E66" s="4374"/>
      <c r="F66" s="4255">
        <v>3</v>
      </c>
      <c r="G66" s="4254" t="s">
        <v>3683</v>
      </c>
      <c r="H66" s="3213">
        <f>ROUND(H67*I67,0)+ROUND(H68*I68,0)</f>
        <v>0</v>
      </c>
      <c r="I66" s="4094"/>
      <c r="J66" s="4457"/>
      <c r="K66" s="889" t="s">
        <v>1359</v>
      </c>
      <c r="L66" s="3674">
        <f ca="1">M49*0.5%</f>
        <v>0.50639049999999997</v>
      </c>
      <c r="M66" s="2665">
        <f ca="1">IF(L66&gt;0.5,0.5,ROUND(L66,0))</f>
        <v>0.5</v>
      </c>
      <c r="N66" s="1861" t="s">
        <v>1360</v>
      </c>
      <c r="Z66" s="1254"/>
      <c r="AI66" s="1197"/>
    </row>
    <row r="67" spans="1:35" ht="14.25" customHeight="1">
      <c r="A67" s="70" t="s">
        <v>326</v>
      </c>
      <c r="B67" s="3557" t="s">
        <v>3696</v>
      </c>
      <c r="C67" s="3541">
        <f ca="1">C63-C66</f>
        <v>101</v>
      </c>
      <c r="D67" s="3553"/>
      <c r="E67" s="4374"/>
      <c r="F67" s="67" t="s">
        <v>323</v>
      </c>
      <c r="G67" s="3572" t="s">
        <v>3687</v>
      </c>
      <c r="H67" s="3649"/>
      <c r="I67" s="3571">
        <v>0.09</v>
      </c>
      <c r="J67" s="4457"/>
      <c r="K67" s="889" t="s">
        <v>1361</v>
      </c>
      <c r="L67" s="3674">
        <f ca="1">IF(M49&gt;=10000,(8.25+(M49-10000)*0.01%),IF(AND(M49&gt;=8000,M49&lt;10000),(7.85+(M49-8000)*0.02%),IF(AND(M49&gt;=5000,M49&lt;8000),(6.65+(M49-5000)*0.04%),IF(AND(M49&gt;=2000,M49&lt;5000),(4.25+(PM49-2000)*0.08%),IF(AND(M49&gt;=1000,M49&lt;2000),(2.75+(M49-1000)*0.15%),IF(AND(M49&gt;=100,M49&lt;1000),(0.5+(M49-100)*0.25%),IF(AND(M49&gt;0,M49&lt;100),M49*0.5%)))))))</f>
        <v>0.50319524999999998</v>
      </c>
      <c r="M67" s="2665">
        <f ca="1">ROUND(L67*0.9,1)</f>
        <v>0.5</v>
      </c>
      <c r="N67" s="1860"/>
      <c r="Z67" s="1254"/>
      <c r="AI67" s="1197"/>
    </row>
    <row r="68" spans="1:35" ht="14.25" customHeight="1" thickBot="1">
      <c r="A68" s="72" t="s">
        <v>327</v>
      </c>
      <c r="B68" s="4252" t="s">
        <v>4057</v>
      </c>
      <c r="C68" s="3547">
        <f ca="1">IF(C67&lt;=0,0,ROUND(C67*D68/(1+D68),0))</f>
        <v>5</v>
      </c>
      <c r="D68" s="3554">
        <v>0.05</v>
      </c>
      <c r="E68" s="4375"/>
      <c r="F68" s="3566" t="s">
        <v>324</v>
      </c>
      <c r="G68" s="3573" t="s">
        <v>3688</v>
      </c>
      <c r="H68" s="3651"/>
      <c r="I68" s="3574">
        <v>0.06</v>
      </c>
      <c r="J68" s="4457"/>
      <c r="K68" s="889" t="s">
        <v>1362</v>
      </c>
      <c r="L68" s="3674">
        <f ca="1">IF(M49&gt;10000,M49*0.5%,IF(AND(M49&gt;5000,M49&lt;=10000),M49*1%,IF(AND(M49&gt;1000,M49&lt;=5000),M49*2%,IF(AND(M49&gt;200,M49&lt;=1000),M49*3%,M49*5%))))</f>
        <v>5.0639050000000001</v>
      </c>
      <c r="M68" s="2665">
        <f ca="1">ROUND(L68,1)</f>
        <v>5.0999999999999996</v>
      </c>
      <c r="N68" s="1860"/>
      <c r="Z68" s="1254"/>
      <c r="AI68" s="1197"/>
    </row>
    <row r="69" spans="1:35" ht="16.5" customHeight="1">
      <c r="A69" s="1298"/>
      <c r="B69" s="1299"/>
      <c r="C69" s="1300"/>
      <c r="D69" s="1301"/>
      <c r="E69" s="1302"/>
      <c r="F69" s="1110"/>
      <c r="G69" s="1110"/>
      <c r="H69" s="1111"/>
      <c r="I69" s="464"/>
      <c r="J69" s="4458"/>
      <c r="K69" s="889" t="s">
        <v>1363</v>
      </c>
      <c r="L69" s="3674"/>
      <c r="M69" s="2665">
        <f ca="1">ROUND(SUM(M63:M68),0)</f>
        <v>11</v>
      </c>
      <c r="N69" s="1862">
        <f ca="1">M69/M49</f>
        <v>0.10861183217299693</v>
      </c>
      <c r="Z69" s="1254"/>
      <c r="AI69" s="1197"/>
    </row>
    <row r="70" spans="1:35" s="463" customFormat="1" ht="15" thickBot="1">
      <c r="A70" s="4427" t="s">
        <v>1364</v>
      </c>
      <c r="B70" s="4428"/>
      <c r="C70" s="4428"/>
      <c r="D70" s="4428"/>
      <c r="E70" s="4428"/>
      <c r="F70" s="4428"/>
      <c r="G70" s="4428"/>
      <c r="H70" s="442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0" t="s">
        <v>1351</v>
      </c>
      <c r="B71" s="4391"/>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93</v>
      </c>
      <c r="D72" s="4246"/>
      <c r="E72" s="4247" t="s">
        <v>4056</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-8</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02" t="s">
        <v>1372</v>
      </c>
      <c r="F76" s="4378"/>
      <c r="G76" s="4378"/>
      <c r="H76" s="442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-8</v>
      </c>
      <c r="D78" s="4244">
        <f>'数据-取费表'!B44</f>
        <v>0.12000000000000001</v>
      </c>
      <c r="E78" s="4392" t="s">
        <v>1376</v>
      </c>
      <c r="F78" s="4393"/>
      <c r="G78" s="4393"/>
      <c r="H78" s="439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101</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-12.625</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30</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7" t="s">
        <v>1380</v>
      </c>
      <c r="B83" s="4428"/>
      <c r="C83" s="4428"/>
      <c r="D83" s="4428"/>
      <c r="E83" s="4428"/>
      <c r="F83" s="4428"/>
      <c r="G83" s="4428"/>
      <c r="H83" s="442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0" t="s">
        <v>1351</v>
      </c>
      <c r="B84" s="4391"/>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93</v>
      </c>
      <c r="D85" s="4246"/>
      <c r="E85" s="4251" t="s">
        <v>4055</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-8</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60" t="s">
        <v>2033</v>
      </c>
      <c r="H90" s="4461"/>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88" t="s">
        <v>1389</v>
      </c>
      <c r="F91" s="4389"/>
      <c r="G91" s="4389"/>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88" t="s">
        <v>1392</v>
      </c>
      <c r="F92" s="4389"/>
      <c r="G92" s="4389"/>
      <c r="H92" s="4453"/>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-8</v>
      </c>
      <c r="D93" s="4244">
        <f>'数据-取费表'!B44</f>
        <v>0.12000000000000001</v>
      </c>
      <c r="E93" s="4436" t="s">
        <v>3679</v>
      </c>
      <c r="F93" s="4393"/>
      <c r="G93" s="4393"/>
      <c r="H93" s="4394"/>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37" t="s">
        <v>1396</v>
      </c>
      <c r="F94" s="4438"/>
      <c r="G94" s="4438"/>
      <c r="H94" s="4439"/>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101</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-12.625</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30</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9" t="s">
        <v>1398</v>
      </c>
      <c r="B100" s="4350"/>
      <c r="C100" s="4350"/>
      <c r="D100" s="4445"/>
      <c r="E100" s="4350" t="s">
        <v>1399</v>
      </c>
      <c r="F100" s="4350"/>
      <c r="G100" s="4350"/>
      <c r="H100" s="4445"/>
      <c r="I100" s="47"/>
    </row>
    <row r="101" spans="1:35" ht="18.75" customHeight="1">
      <c r="A101" s="4465" t="s">
        <v>1400</v>
      </c>
      <c r="B101" s="4466"/>
      <c r="C101" s="1877" t="str">
        <f>C4</f>
        <v>比较法-办公</v>
      </c>
      <c r="D101" s="1878" t="str">
        <f>D4</f>
        <v>收益法 (元)</v>
      </c>
      <c r="E101" s="4454" t="s">
        <v>1401</v>
      </c>
      <c r="F101" s="4362"/>
      <c r="G101" s="1311" t="s">
        <v>1402</v>
      </c>
      <c r="H101" s="3669">
        <f ca="1">I118</f>
        <v>101.27809999999999</v>
      </c>
      <c r="I101" s="47"/>
    </row>
    <row r="102" spans="1:35" ht="18.75" customHeight="1">
      <c r="A102" s="4421" t="s">
        <v>1403</v>
      </c>
      <c r="B102" s="1876" t="s">
        <v>1402</v>
      </c>
      <c r="C102" s="3665">
        <f ca="1">C19</f>
        <v>118.6356</v>
      </c>
      <c r="D102" s="3666">
        <f ca="1">D19</f>
        <v>60.771099999999997</v>
      </c>
      <c r="E102" s="4454"/>
      <c r="F102" s="4362"/>
      <c r="G102" s="1311" t="s">
        <v>1404</v>
      </c>
      <c r="H102" s="2766">
        <f ca="1">H118</f>
        <v>18724</v>
      </c>
      <c r="I102" s="47"/>
    </row>
    <row r="103" spans="1:35" ht="42.75" customHeight="1">
      <c r="A103" s="4421"/>
      <c r="B103" s="1876" t="s">
        <v>1404</v>
      </c>
      <c r="C103" s="3667">
        <f ca="1">C20</f>
        <v>21933</v>
      </c>
      <c r="D103" s="3668">
        <f ca="1">D20</f>
        <v>11235</v>
      </c>
      <c r="E103" s="4433" t="s">
        <v>1405</v>
      </c>
      <c r="F103" s="4434"/>
      <c r="G103" s="1312" t="s">
        <v>1406</v>
      </c>
      <c r="H103" s="3669">
        <f>IF(D36="正常操作",H104+H105+H106,H105+H106)</f>
        <v>0</v>
      </c>
      <c r="I103" s="47"/>
    </row>
    <row r="104" spans="1:35" ht="18.75" customHeight="1">
      <c r="A104" s="4421" t="s">
        <v>1407</v>
      </c>
      <c r="B104" s="1879" t="s">
        <v>1402</v>
      </c>
      <c r="C104" s="4471">
        <f ca="1">I118</f>
        <v>101.27809999999999</v>
      </c>
      <c r="D104" s="4472"/>
      <c r="E104" s="1191" t="s">
        <v>1408</v>
      </c>
      <c r="F104" s="1188"/>
      <c r="G104" s="1312" t="s">
        <v>1406</v>
      </c>
      <c r="H104" s="3670">
        <f>IF(D36="同一抵押权人同一抵押物续贷",C36&amp;"（续贷，未扣减，详见特别提示）",C36)</f>
        <v>0</v>
      </c>
      <c r="I104" s="47"/>
    </row>
    <row r="105" spans="1:35" ht="18.75" customHeight="1" thickBot="1">
      <c r="A105" s="4422"/>
      <c r="B105" s="1880" t="s">
        <v>1404</v>
      </c>
      <c r="C105" s="4473">
        <f ca="1">H118</f>
        <v>18724</v>
      </c>
      <c r="D105" s="4474"/>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61" t="str">
        <f>IF(项目基本情况!E8="已注销","——","3.房地产抵押价值")</f>
        <v>3.房地产抵押价值</v>
      </c>
      <c r="F107" s="4362"/>
      <c r="G107" s="1311" t="s">
        <v>1402</v>
      </c>
      <c r="H107" s="3669">
        <f ca="1">IF(E107="——","——",H101-H103)</f>
        <v>101.27809999999999</v>
      </c>
      <c r="I107" s="47"/>
    </row>
    <row r="108" spans="1:35" ht="18.75" customHeight="1">
      <c r="A108" s="47"/>
      <c r="B108" s="47"/>
      <c r="C108" s="47"/>
      <c r="D108" s="47"/>
      <c r="E108" s="4361"/>
      <c r="F108" s="4362"/>
      <c r="G108" s="1311" t="s">
        <v>1404</v>
      </c>
      <c r="H108" s="2766">
        <f ca="1">IF(H107=H101,H102,ROUND(H107*10000/'数据-汇总表'!E3,0))</f>
        <v>18724</v>
      </c>
      <c r="I108" s="47"/>
    </row>
    <row r="109" spans="1:35" ht="18.75" customHeight="1">
      <c r="A109" s="47"/>
      <c r="B109" s="47"/>
      <c r="C109" s="47"/>
      <c r="D109" s="47"/>
      <c r="E109" s="4361" t="str">
        <f>IF(项目基本情况!E8="已注销及未注销","4.抵押担保权已注销时的房地产抵押价值",IF(项目基本情况!E8="已注销","3.抵押担保权已注销时的房地产抵押价值","——"))</f>
        <v>——</v>
      </c>
      <c r="F109" s="4362"/>
      <c r="G109" s="1311" t="s">
        <v>1402</v>
      </c>
      <c r="H109" s="2761" t="str">
        <f>IF(E109="——","——",H101-H105-H106)</f>
        <v>——</v>
      </c>
      <c r="I109" s="47"/>
    </row>
    <row r="110" spans="1:35" ht="18.75" customHeight="1">
      <c r="A110" s="47"/>
      <c r="B110" s="47"/>
      <c r="C110" s="47"/>
      <c r="D110" s="47"/>
      <c r="E110" s="4361"/>
      <c r="F110" s="4362"/>
      <c r="G110" s="1311" t="s">
        <v>1404</v>
      </c>
      <c r="H110" s="2766" t="str">
        <f>IF(H109="——","——",ROUND(H109*10000/'数据-汇总表'!E3,0))</f>
        <v>——</v>
      </c>
      <c r="I110" s="47"/>
    </row>
    <row r="111" spans="1:35" ht="18.75" customHeight="1">
      <c r="A111" s="47"/>
      <c r="B111" s="47"/>
      <c r="C111" s="47"/>
      <c r="D111" s="47"/>
      <c r="E111" s="4467" t="str">
        <f>IF(项目基本情况!E9="抵押净值",IF(OR(项目基本情况!E8="已注销",项目基本情况!E8="房地产抵押价值"),"4.抵押净值","5.抵押净值"),"——")</f>
        <v>——</v>
      </c>
      <c r="F111" s="4468"/>
      <c r="G111" s="1311" t="s">
        <v>1402</v>
      </c>
      <c r="H111" s="3669" t="str">
        <f>IF(E111="——","——",N59)</f>
        <v>——</v>
      </c>
      <c r="I111" s="47"/>
    </row>
    <row r="112" spans="1:35" ht="18.75" customHeight="1" thickBot="1">
      <c r="A112" s="47"/>
      <c r="B112" s="47"/>
      <c r="C112" s="47"/>
      <c r="D112" s="47"/>
      <c r="E112" s="4469"/>
      <c r="F112" s="4470"/>
      <c r="G112" s="1314" t="s">
        <v>1404</v>
      </c>
      <c r="H112" s="3631" t="str">
        <f>IF(E111="——","——",N61)</f>
        <v>——</v>
      </c>
      <c r="I112" s="47"/>
    </row>
    <row r="113" spans="1:27" ht="18.75" customHeight="1">
      <c r="A113" s="47"/>
      <c r="B113" s="47"/>
      <c r="C113" s="47"/>
      <c r="D113" s="47"/>
      <c r="E113" s="4423" t="s">
        <v>1410</v>
      </c>
      <c r="F113" s="4423"/>
      <c r="G113" s="4423"/>
      <c r="H113" s="4423"/>
      <c r="I113" s="47"/>
    </row>
    <row r="114" spans="1:27" ht="3.75" customHeight="1">
      <c r="A114" s="464"/>
      <c r="B114" s="464"/>
      <c r="C114" s="464"/>
      <c r="D114" s="464"/>
      <c r="E114" s="1297"/>
      <c r="F114" s="1297"/>
      <c r="G114" s="1297"/>
      <c r="H114" s="1297"/>
      <c r="I114" s="464"/>
    </row>
    <row r="115" spans="1:27" ht="18.75" customHeight="1">
      <c r="A115" s="4430" t="s">
        <v>1412</v>
      </c>
      <c r="B115" s="4431"/>
      <c r="C115" s="4431"/>
      <c r="D115" s="4431"/>
      <c r="E115" s="4431"/>
      <c r="F115" s="4431"/>
      <c r="G115" s="4431"/>
      <c r="H115" s="4431"/>
      <c r="I115" s="4432"/>
    </row>
    <row r="116" spans="1:27" ht="27" customHeight="1">
      <c r="A116" s="4401" t="s">
        <v>1413</v>
      </c>
      <c r="B116" s="4424" t="s">
        <v>1414</v>
      </c>
      <c r="C116" s="4424" t="s">
        <v>1415</v>
      </c>
      <c r="D116" s="4463" t="s">
        <v>1416</v>
      </c>
      <c r="E116" s="4464"/>
      <c r="F116" s="4429"/>
      <c r="G116" s="4429"/>
      <c r="H116" s="4401" t="s">
        <v>1417</v>
      </c>
      <c r="I116" s="4401"/>
      <c r="K116" s="3032"/>
      <c r="L116" s="3033" t="s">
        <v>3470</v>
      </c>
      <c r="M116" s="3033" t="s">
        <v>3471</v>
      </c>
      <c r="N116" s="3033" t="s">
        <v>3472</v>
      </c>
    </row>
    <row r="117" spans="1:27" ht="18.75" customHeight="1">
      <c r="A117" s="4401"/>
      <c r="B117" s="4425"/>
      <c r="C117" s="4425"/>
      <c r="D117" s="1698" t="s">
        <v>1419</v>
      </c>
      <c r="E117" s="1698" t="s">
        <v>1418</v>
      </c>
      <c r="F117" s="1698" t="s">
        <v>1420</v>
      </c>
      <c r="G117" s="1698" t="s">
        <v>1418</v>
      </c>
      <c r="H117" s="1698" t="s">
        <v>1420</v>
      </c>
      <c r="I117" s="1698" t="s">
        <v>1418</v>
      </c>
      <c r="K117" s="3033" t="s">
        <v>3468</v>
      </c>
      <c r="L117" s="3672">
        <f ca="1">C34</f>
        <v>8501</v>
      </c>
      <c r="M117" s="3673">
        <f ca="1">C35</f>
        <v>10223</v>
      </c>
      <c r="N117" s="3673">
        <f ca="1">C32</f>
        <v>18724</v>
      </c>
    </row>
    <row r="118" spans="1:27" ht="24.75" customHeight="1">
      <c r="A118" s="1881" t="str">
        <f>项目基本情况!S2</f>
        <v>北京市房地产</v>
      </c>
      <c r="B118" s="2597">
        <f>M18</f>
        <v>54.09</v>
      </c>
      <c r="C118" s="2597">
        <f>M19</f>
        <v>0</v>
      </c>
      <c r="D118" s="679">
        <f ca="1">ROUND(IF(C33="自定义",IF(D32="楼面单价",L119,E118*10000/B118),H118-F118),0)</f>
        <v>18724</v>
      </c>
      <c r="E118" s="679">
        <f ca="1">ROUND(IF(D32="总价",L117,L119*B118/10000),0)</f>
        <v>46</v>
      </c>
      <c r="F118" s="679">
        <f>ROUND(IF(D32="楼面单价",,G118*10000/B118),0)</f>
        <v>0</v>
      </c>
      <c r="G118" s="679">
        <f ca="1">ROUND(IF(D32="总价",M117,M119*B118/10000),0)</f>
        <v>55</v>
      </c>
      <c r="H118" s="679">
        <f ca="1">ROUND(IF(D32="楼面单价",C32,N117*10000/B118),0)</f>
        <v>18724</v>
      </c>
      <c r="I118" s="679">
        <f ca="1">ROUND(IF(D32="总价",C32,N119*B118/10000),4)</f>
        <v>101.27809999999999</v>
      </c>
      <c r="K118" s="3032"/>
      <c r="L118" s="3032"/>
      <c r="M118" s="3032"/>
      <c r="N118" s="3032"/>
    </row>
    <row r="119" spans="1:27" ht="18.75" customHeight="1">
      <c r="A119" s="4401" t="s">
        <v>1421</v>
      </c>
      <c r="B119" s="4401"/>
      <c r="C119" s="4401"/>
      <c r="D119" s="4358" t="str">
        <f ca="1">NUMBERSTRING(INT(E118*10000),2)&amp;"元整"</f>
        <v>肆拾陆万元整</v>
      </c>
      <c r="E119" s="4360"/>
      <c r="F119" s="4358" t="str">
        <f ca="1">NUMBERSTRING(INT(G118*10000),2)&amp;"元整"</f>
        <v>伍拾伍万元整</v>
      </c>
      <c r="G119" s="4360"/>
      <c r="H119" s="4358" t="str">
        <f ca="1">NUMBERSTRING(INT(I118*10000),2)&amp;"元整"</f>
        <v>壹佰零壹万贰仟柒佰捌拾壹元整</v>
      </c>
      <c r="I119" s="4360"/>
      <c r="K119" s="3033" t="s">
        <v>3469</v>
      </c>
      <c r="L119" s="3673">
        <f ca="1">C34</f>
        <v>8501</v>
      </c>
      <c r="M119" s="3673">
        <f ca="1">C35</f>
        <v>10223</v>
      </c>
      <c r="N119" s="3673">
        <f ca="1">C32</f>
        <v>18724</v>
      </c>
    </row>
    <row r="120" spans="1:27" ht="18.75" hidden="1" customHeight="1">
      <c r="A120" s="4355" t="str">
        <f>IF(项目基本情况!B9="房地产市场价值","",MID(E103,3,LEN(E103)-2))</f>
        <v>估价师知悉的法定优先受偿款</v>
      </c>
      <c r="B120" s="4356"/>
      <c r="C120" s="4356"/>
      <c r="D120" s="4356"/>
      <c r="E120" s="4356"/>
      <c r="F120" s="4356"/>
      <c r="G120" s="4357"/>
      <c r="H120" s="4363">
        <f>H103</f>
        <v>0</v>
      </c>
      <c r="I120" s="4364"/>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58" t="s">
        <v>1421</v>
      </c>
      <c r="B121" s="4359"/>
      <c r="C121" s="4359"/>
      <c r="D121" s="4359"/>
      <c r="E121" s="4359"/>
      <c r="F121" s="4359"/>
      <c r="G121" s="4360"/>
      <c r="H121" s="4365" t="str">
        <f>IF(H120=0,"零元整",NUMBERSTRING(INT(H120*10000),2)&amp;"元整")</f>
        <v>零元整</v>
      </c>
      <c r="I121" s="4366"/>
      <c r="AA121" s="493"/>
    </row>
    <row r="122" spans="1:27" ht="18.75" hidden="1" customHeight="1">
      <c r="A122" s="4355" t="str">
        <f>IF(项目基本情况!B9="房地产市场价值","",MID(E107,3,LEN(E107)-2))</f>
        <v>房地产抵押价值</v>
      </c>
      <c r="B122" s="4356"/>
      <c r="C122" s="4356"/>
      <c r="D122" s="4356"/>
      <c r="E122" s="4356"/>
      <c r="F122" s="4356"/>
      <c r="G122" s="4357"/>
      <c r="H122" s="4367">
        <f ca="1">H107</f>
        <v>101.27809999999999</v>
      </c>
      <c r="I122" s="4368"/>
      <c r="AA122" s="493"/>
    </row>
    <row r="123" spans="1:27" ht="18.75" hidden="1" customHeight="1">
      <c r="A123" s="4358" t="s">
        <v>1421</v>
      </c>
      <c r="B123" s="4359"/>
      <c r="C123" s="4359"/>
      <c r="D123" s="4359"/>
      <c r="E123" s="4359"/>
      <c r="F123" s="4359"/>
      <c r="G123" s="4360"/>
      <c r="H123" s="4358" t="str">
        <f ca="1">NUMBERSTRING(INT(H122*10000),2)&amp;"元整"</f>
        <v>壹佰零壹万贰仟柒佰捌拾壹元整</v>
      </c>
      <c r="I123" s="4360"/>
      <c r="AA123" s="493"/>
    </row>
    <row r="124" spans="1:27" ht="18.75" hidden="1" customHeight="1">
      <c r="A124" s="4355" t="str">
        <f>IF(项目基本情况!B9="房地产市场价值","",MID(E109,3,LEN(E109)-2))</f>
        <v/>
      </c>
      <c r="B124" s="4356"/>
      <c r="C124" s="4356"/>
      <c r="D124" s="4356"/>
      <c r="E124" s="4356"/>
      <c r="F124" s="4356"/>
      <c r="G124" s="4357"/>
      <c r="H124" s="4367" t="str">
        <f>H109</f>
        <v>——</v>
      </c>
      <c r="I124" s="4368"/>
      <c r="AA124" s="493"/>
    </row>
    <row r="125" spans="1:27" ht="18.75" hidden="1" customHeight="1">
      <c r="A125" s="4358" t="s">
        <v>1421</v>
      </c>
      <c r="B125" s="4359"/>
      <c r="C125" s="4359"/>
      <c r="D125" s="4359"/>
      <c r="E125" s="4359"/>
      <c r="F125" s="4359"/>
      <c r="G125" s="4360"/>
      <c r="H125" s="4358" t="e">
        <f>NUMBERSTRING(INT(H124*10000),2)&amp;"元整"</f>
        <v>#VALUE!</v>
      </c>
      <c r="I125" s="4360"/>
      <c r="AA125" s="493"/>
    </row>
    <row r="126" spans="1:27" ht="18.75" hidden="1" customHeight="1">
      <c r="A126" s="4355" t="str">
        <f>IF(项目基本情况!B9="房地产市场价值","",MID(E111,3,LEN(E111)-2))</f>
        <v/>
      </c>
      <c r="B126" s="4356"/>
      <c r="C126" s="4356"/>
      <c r="D126" s="4356"/>
      <c r="E126" s="4356"/>
      <c r="F126" s="4356"/>
      <c r="G126" s="4357"/>
      <c r="H126" s="4367" t="str">
        <f>H111</f>
        <v>——</v>
      </c>
      <c r="I126" s="4368"/>
      <c r="AA126" s="493"/>
    </row>
    <row r="127" spans="1:27" ht="18.75" hidden="1" customHeight="1">
      <c r="A127" s="4358" t="s">
        <v>1421</v>
      </c>
      <c r="B127" s="4359"/>
      <c r="C127" s="4359"/>
      <c r="D127" s="4359"/>
      <c r="E127" s="4359"/>
      <c r="F127" s="4359"/>
      <c r="G127" s="4360"/>
      <c r="H127" s="4358" t="e">
        <f>NUMBERSTRING(INT(H126*10000),2)&amp;"元整"</f>
        <v>#VALUE!</v>
      </c>
      <c r="I127" s="4360"/>
      <c r="AA127" s="493"/>
    </row>
    <row r="128" spans="1:27" ht="21.75" hidden="1" customHeight="1">
      <c r="A128" s="4462" t="s">
        <v>1422</v>
      </c>
      <c r="B128" s="4462"/>
      <c r="C128" s="4462"/>
      <c r="D128" s="4462"/>
      <c r="E128" s="4462"/>
      <c r="F128" s="4462"/>
      <c r="G128" s="4462"/>
      <c r="H128" s="4462"/>
      <c r="I128" s="446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26</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4807</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31</v>
      </c>
      <c r="D5" s="2547"/>
      <c r="E5" s="2547"/>
      <c r="F5" s="2547"/>
      <c r="G5" s="2699" t="s">
        <v>3462</v>
      </c>
    </row>
    <row r="6" spans="1:9" s="2533" customFormat="1" ht="15">
      <c r="A6" s="2512" t="s">
        <v>3329</v>
      </c>
      <c r="B6" s="2571" t="s">
        <v>3330</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3278</v>
      </c>
      <c r="C9" s="2534">
        <f ca="1">C10+C11+C12+C13+C19+C20</f>
        <v>25</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19</v>
      </c>
      <c r="D10" s="2551"/>
      <c r="E10" s="144"/>
      <c r="F10" s="2559">
        <f ca="1">IF('数据-取费表'!B24=0,1,IF(B1="",'数据-取费表'!N16,INDIRECT("'数据-取费表'!n"&amp;$G$1)))</f>
        <v>1</v>
      </c>
      <c r="G10" s="156" t="s">
        <v>1467</v>
      </c>
    </row>
    <row r="11" spans="1:9" s="109" customFormat="1">
      <c r="A11" s="2574" t="s">
        <v>349</v>
      </c>
      <c r="B11" s="2575" t="s">
        <v>3314</v>
      </c>
      <c r="C11" s="2521">
        <f ca="1">ROUND(C10*F11,0)</f>
        <v>2</v>
      </c>
      <c r="D11" s="144"/>
      <c r="E11" s="144"/>
      <c r="F11" s="2532">
        <f>'数据-取费表'!B33</f>
        <v>0.08</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3984</v>
      </c>
    </row>
    <row r="13" spans="1:9" s="109" customFormat="1">
      <c r="A13" s="2574" t="s">
        <v>3279</v>
      </c>
      <c r="B13" s="2575" t="s">
        <v>3316</v>
      </c>
      <c r="C13" s="2521">
        <f ca="1">C14+C17+C18</f>
        <v>4</v>
      </c>
      <c r="D13" s="144"/>
      <c r="E13" s="2552"/>
      <c r="F13" s="2553"/>
      <c r="G13" s="156"/>
    </row>
    <row r="14" spans="1:9" s="118" customFormat="1">
      <c r="A14" s="2505" t="s">
        <v>3280</v>
      </c>
      <c r="B14" s="2576" t="s">
        <v>3312</v>
      </c>
      <c r="C14" s="2521">
        <f>IF(G14="已包含在土地购买价格中","0",IF(B1="",'数据-取费表'!B29,IF(G15="全部缴纳",C15+C16,H15)))</f>
        <v>1</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150</v>
      </c>
      <c r="F15" s="2553"/>
      <c r="G15" s="1339"/>
      <c r="H15" s="762"/>
      <c r="I15" s="1340" t="s">
        <v>1448</v>
      </c>
    </row>
    <row r="16" spans="1:9" s="109" customFormat="1">
      <c r="A16" s="2577" t="s">
        <v>354</v>
      </c>
      <c r="B16" s="2578" t="s">
        <v>1449</v>
      </c>
      <c r="C16" s="2561">
        <f ca="1">ROUND(D16*E16/10000,0)</f>
        <v>1</v>
      </c>
      <c r="D16" s="2561">
        <f ca="1">IF(B1="",'数据-汇总表'!E6,IF(INDIRECT("'数据-取费表'!c"&amp;$G$1)="住宅",INDIRECT("'数据-取费表'!s"&amp;$G$1),INDIRECT("'数据-取费表'!k"&amp;$G$1)+INDIRECT("'数据-取费表'!s"&amp;$G$1)))</f>
        <v>54.09</v>
      </c>
      <c r="E16" s="2561">
        <f>'数据-取费表'!B28</f>
        <v>190</v>
      </c>
      <c r="F16" s="2553"/>
      <c r="G16" s="121"/>
    </row>
    <row r="17" spans="1:7" s="109" customFormat="1">
      <c r="A17" s="2505" t="s">
        <v>3281</v>
      </c>
      <c r="B17" s="2579" t="s">
        <v>3286</v>
      </c>
      <c r="C17" s="2521">
        <f ca="1">IF(G17="已包含在土地取得成本中","0",ROUND(D17*E17/10000,0))</f>
        <v>1</v>
      </c>
      <c r="D17" s="2562">
        <f ca="1">D15+D16</f>
        <v>54.09</v>
      </c>
      <c r="E17" s="2562">
        <f>'数据-取费表'!B31</f>
        <v>120</v>
      </c>
      <c r="F17" s="2529"/>
      <c r="G17" s="1338"/>
    </row>
    <row r="18" spans="1:7" s="109" customFormat="1">
      <c r="A18" s="2580" t="s">
        <v>3282</v>
      </c>
      <c r="B18" s="2579" t="s">
        <v>1472</v>
      </c>
      <c r="C18" s="2521">
        <f ca="1">ROUND(E18*D18*F10/10000,0)</f>
        <v>2</v>
      </c>
      <c r="D18" s="2521">
        <f ca="1">D17</f>
        <v>54.09</v>
      </c>
      <c r="E18" s="2521">
        <f>'数据-取费表'!B35</f>
        <v>300</v>
      </c>
      <c r="F18" s="2532"/>
      <c r="G18" s="156" t="str">
        <f ca="1">IF(F10=100%,"","按工程进度计取")</f>
        <v/>
      </c>
    </row>
    <row r="19" spans="1:7" s="109" customFormat="1">
      <c r="A19" s="2574" t="s">
        <v>352</v>
      </c>
      <c r="B19" s="2575" t="s">
        <v>3317</v>
      </c>
      <c r="C19" s="2521">
        <f ca="1">ROUND(C10*F19,0)</f>
        <v>0</v>
      </c>
      <c r="D19" s="144"/>
      <c r="E19" s="144"/>
      <c r="F19" s="2532">
        <f>'数据-取费表'!B36</f>
        <v>1.4999999999999999E-2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1</v>
      </c>
      <c r="D21" s="2535"/>
      <c r="E21" s="2535"/>
      <c r="F21" s="2539">
        <f>'数据-取费表'!B38</f>
        <v>0.02</v>
      </c>
      <c r="G21" s="2536" t="s">
        <v>3333</v>
      </c>
    </row>
    <row r="22" spans="1:7" s="2533" customFormat="1" ht="15">
      <c r="A22" s="2512" t="s">
        <v>3334</v>
      </c>
      <c r="B22" s="2571" t="s">
        <v>3335</v>
      </c>
      <c r="C22" s="2537" t="str">
        <f>F22&amp;"V"</f>
        <v>0.01V</v>
      </c>
      <c r="D22" s="296"/>
      <c r="E22" s="2535"/>
      <c r="F22" s="2539">
        <f>'数据-取费表'!B39</f>
        <v>0.01</v>
      </c>
      <c r="G22" s="3531" t="s">
        <v>3978</v>
      </c>
    </row>
    <row r="23" spans="1:7" s="2533" customFormat="1" ht="15">
      <c r="A23" s="2512" t="s">
        <v>3336</v>
      </c>
      <c r="B23" s="2573" t="s">
        <v>3287</v>
      </c>
      <c r="C23" s="2513" t="str">
        <f ca="1">SUM(C24:C25)&amp;"+"&amp;C26&amp;"V"</f>
        <v>1+0.0003V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3979</v>
      </c>
    </row>
    <row r="25" spans="1:7" s="109" customFormat="1">
      <c r="A25" s="2581" t="s">
        <v>1453</v>
      </c>
      <c r="B25" s="2579" t="s">
        <v>3288</v>
      </c>
      <c r="C25" s="2527">
        <f ca="1">ROUND(IF('数据-取费表'!B22&lt;=1,(C9+C21)*F23*'数据-取费表'!B23/2,(C9+C21)*(POWER((1+F23),'数据-取费表'!B23/2)-1)),0)</f>
        <v>1</v>
      </c>
      <c r="D25" s="133"/>
      <c r="E25" s="133"/>
      <c r="F25" s="2528"/>
      <c r="G25" s="3911" t="s">
        <v>3980</v>
      </c>
    </row>
    <row r="26" spans="1:7" s="109" customFormat="1">
      <c r="A26" s="2581" t="s">
        <v>348</v>
      </c>
      <c r="B26" s="2579" t="s">
        <v>1454</v>
      </c>
      <c r="C26" s="2524">
        <f ca="1">ROUND(IF('数据-取费表'!B22&lt;=1,F22*F23*'数据-取费表'!B23/2,F22*(POWER((1+F23),'数据-取费表'!B23/2)-1)),4)</f>
        <v>2.9999999999999997E-4</v>
      </c>
      <c r="D26" s="133"/>
      <c r="E26" s="136"/>
      <c r="F26" s="2528"/>
      <c r="G26" s="4225" t="s">
        <v>3981</v>
      </c>
    </row>
    <row r="27" spans="1:7" s="2533" customFormat="1" ht="15">
      <c r="A27" s="2512" t="s">
        <v>3337</v>
      </c>
      <c r="B27" s="2573" t="s">
        <v>3289</v>
      </c>
      <c r="C27" s="2540" t="str">
        <f ca="1">C28&amp;"+"&amp;C29&amp;"V"</f>
        <v>4+0.0015V</v>
      </c>
      <c r="D27" s="2538"/>
      <c r="E27" s="296"/>
      <c r="F27" s="2541">
        <f ca="1">IF(B1="",'数据-取费表'!Q16,INDIRECT("'数据-取费表'!q"&amp;$G$1))</f>
        <v>0.15</v>
      </c>
      <c r="G27" s="2536" t="s">
        <v>3986</v>
      </c>
    </row>
    <row r="28" spans="1:7" s="109" customFormat="1">
      <c r="A28" s="2574" t="s">
        <v>344</v>
      </c>
      <c r="B28" s="2579" t="s">
        <v>1459</v>
      </c>
      <c r="C28" s="2506">
        <f ca="1">ROUND(C6*F27*'数据-取费表'!B23/'数据-取费表'!B22+(C9+C21)*F27,0)</f>
        <v>4</v>
      </c>
      <c r="D28" s="130"/>
      <c r="E28" s="131"/>
      <c r="F28" s="2529"/>
      <c r="G28" s="3031" t="str">
        <f ca="1">IF(F10=100%,"","其中：土地取得成本产生的利润按已建工期计算")</f>
        <v/>
      </c>
    </row>
    <row r="29" spans="1:7" s="109" customFormat="1">
      <c r="A29" s="2574" t="s">
        <v>345</v>
      </c>
      <c r="B29" s="2579" t="s">
        <v>1460</v>
      </c>
      <c r="C29" s="2524">
        <f ca="1">ROUND(F22*F27,4)</f>
        <v>1.5E-3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5</v>
      </c>
      <c r="D31" s="2516"/>
      <c r="E31" s="2516"/>
      <c r="F31" s="2530">
        <f>IF('数据-取费表'!B24=0,'数据-取费表'!N16,1)</f>
        <v>0.83</v>
      </c>
      <c r="G31" s="2517" t="s">
        <v>3800</v>
      </c>
    </row>
    <row r="32" spans="1:7" s="109" customFormat="1" ht="15.75">
      <c r="A32" s="2504" t="s">
        <v>3292</v>
      </c>
      <c r="B32" s="2503" t="s">
        <v>3293</v>
      </c>
      <c r="C32" s="2525">
        <f ca="1">C5-C31</f>
        <v>26</v>
      </c>
      <c r="D32" s="2516"/>
      <c r="E32" s="2516"/>
      <c r="F32" s="2515"/>
      <c r="G32" s="2518" t="s">
        <v>3324</v>
      </c>
    </row>
    <row r="33" spans="1:7" s="109" customFormat="1" ht="16.5" thickBot="1">
      <c r="A33" s="2584">
        <v>4</v>
      </c>
      <c r="B33" s="2585" t="s">
        <v>3325</v>
      </c>
      <c r="C33" s="2526">
        <f ca="1">ROUND(C32*(1+F33),0)</f>
        <v>28</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23</v>
      </c>
      <c r="D40" s="2779"/>
      <c r="E40" s="2779"/>
      <c r="F40" s="2779"/>
      <c r="G40" s="3983"/>
    </row>
    <row r="41" spans="1:7" ht="15.75">
      <c r="A41" s="2566" t="s">
        <v>3296</v>
      </c>
      <c r="B41" s="2630" t="str">
        <f t="shared" ref="B41:C43" si="0">B10</f>
        <v xml:space="preserve">  建安费用</v>
      </c>
      <c r="C41" s="2501">
        <f t="shared" ca="1" si="0"/>
        <v>19</v>
      </c>
      <c r="D41" s="2496"/>
      <c r="E41" s="2496"/>
      <c r="F41" s="2497"/>
      <c r="G41" s="3984"/>
    </row>
    <row r="42" spans="1:7" ht="15.75">
      <c r="A42" s="2566" t="s">
        <v>3297</v>
      </c>
      <c r="B42" s="2630" t="str">
        <f t="shared" si="0"/>
        <v xml:space="preserve">  前期费用</v>
      </c>
      <c r="C42" s="2501">
        <f t="shared" ca="1" si="0"/>
        <v>2</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2</v>
      </c>
      <c r="D44" s="2496"/>
      <c r="E44" s="2496"/>
      <c r="F44" s="2497"/>
      <c r="G44" s="3984"/>
    </row>
    <row r="45" spans="1:7" ht="15.75">
      <c r="A45" s="2581" t="s">
        <v>3298</v>
      </c>
      <c r="B45" s="2576" t="str">
        <f>B19</f>
        <v xml:space="preserve">  其他工程费</v>
      </c>
      <c r="C45" s="2506">
        <f ca="1">C19</f>
        <v>0</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0</v>
      </c>
      <c r="D47" s="2634"/>
      <c r="E47" s="2634"/>
      <c r="F47" s="2635">
        <f>F21</f>
        <v>0.02</v>
      </c>
      <c r="G47" s="2636" t="s">
        <v>3450</v>
      </c>
    </row>
    <row r="48" spans="1:7" ht="15">
      <c r="A48" s="2631" t="s">
        <v>3451</v>
      </c>
      <c r="B48" s="2632" t="s">
        <v>3452</v>
      </c>
      <c r="C48" s="2637" t="str">
        <f>F48&amp;"V建1"</f>
        <v>0.01V建1</v>
      </c>
      <c r="D48" s="2634"/>
      <c r="E48" s="2634"/>
      <c r="F48" s="2635">
        <f>F22</f>
        <v>0.01</v>
      </c>
      <c r="G48" s="4226" t="s">
        <v>3982</v>
      </c>
    </row>
    <row r="49" spans="1:7" ht="15">
      <c r="A49" s="2631" t="s">
        <v>3453</v>
      </c>
      <c r="B49" s="2638" t="s">
        <v>3359</v>
      </c>
      <c r="C49" s="2534" t="str">
        <f ca="1">C50&amp;"+"&amp;C51&amp;"V建1"</f>
        <v>1+0.0003V建1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1</v>
      </c>
      <c r="D50" s="1011"/>
      <c r="E50" s="1011"/>
      <c r="F50" s="994"/>
      <c r="G50" s="4475" t="str">
        <f ca="1">IF(F10=100%,"建设期均匀投入","已建工期均匀投入")</f>
        <v>建设期均匀投入</v>
      </c>
    </row>
    <row r="51" spans="1:7">
      <c r="A51" s="2566" t="s">
        <v>3297</v>
      </c>
      <c r="B51" s="2570" t="s">
        <v>3302</v>
      </c>
      <c r="C51" s="2651">
        <f ca="1">ROUND(IF('数据-取费表'!B22&lt;=1,F48*F23*'数据-取费表'!B22/2,F48*(POWER((1+F23),'数据-取费表'!B22/2)-1)),4)</f>
        <v>2.9999999999999997E-4</v>
      </c>
      <c r="D51" s="1011"/>
      <c r="E51" s="1011"/>
      <c r="F51" s="994"/>
      <c r="G51" s="4476"/>
    </row>
    <row r="52" spans="1:7" ht="15">
      <c r="A52" s="2631" t="s">
        <v>3454</v>
      </c>
      <c r="B52" s="2640" t="s">
        <v>3303</v>
      </c>
      <c r="C52" s="2641" t="str">
        <f ca="1">C53&amp;"+"&amp;C54&amp;"V建1"</f>
        <v>3+0.0015V建1</v>
      </c>
      <c r="D52" s="2642"/>
      <c r="E52" s="2634"/>
      <c r="F52" s="2643">
        <f ca="1">F27</f>
        <v>0.15</v>
      </c>
      <c r="G52" s="2644" t="s">
        <v>3455</v>
      </c>
    </row>
    <row r="53" spans="1:7">
      <c r="A53" s="2566" t="s">
        <v>3300</v>
      </c>
      <c r="B53" s="2569" t="s">
        <v>3304</v>
      </c>
      <c r="C53" s="2501">
        <f ca="1">ROUND((C40+C47)*F27,0)</f>
        <v>3</v>
      </c>
      <c r="D53" s="2502"/>
      <c r="E53" s="2498"/>
      <c r="F53" s="2499"/>
      <c r="G53" s="2500"/>
    </row>
    <row r="54" spans="1:7">
      <c r="A54" s="2566" t="s">
        <v>3301</v>
      </c>
      <c r="B54" s="2569" t="s">
        <v>3305</v>
      </c>
      <c r="C54" s="2565">
        <f ca="1">ROUND(F48*F27,4)</f>
        <v>1.5E-3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27</v>
      </c>
      <c r="D56" s="296"/>
      <c r="E56" s="296"/>
      <c r="F56" s="2647"/>
      <c r="G56" s="2646" t="s">
        <v>3309</v>
      </c>
    </row>
    <row r="57" spans="1:7" ht="15">
      <c r="A57" s="2512" t="s">
        <v>3425</v>
      </c>
      <c r="B57" s="2648" t="s">
        <v>3306</v>
      </c>
      <c r="C57" s="2534">
        <f ca="1">ROUND(C56*(1-F57),0)</f>
        <v>5</v>
      </c>
      <c r="D57" s="296"/>
      <c r="E57" s="296"/>
      <c r="F57" s="2647">
        <f>F31</f>
        <v>0.83</v>
      </c>
      <c r="G57" s="2646" t="s">
        <v>3310</v>
      </c>
    </row>
    <row r="58" spans="1:7" ht="16.5">
      <c r="A58" s="2512" t="s">
        <v>3459</v>
      </c>
      <c r="B58" s="2645" t="s">
        <v>3460</v>
      </c>
      <c r="C58" s="2534">
        <f ca="1">C56-C57</f>
        <v>22</v>
      </c>
      <c r="D58" s="296"/>
      <c r="E58" s="296"/>
      <c r="F58" s="2647"/>
      <c r="G58" s="2646" t="s">
        <v>3311</v>
      </c>
    </row>
    <row r="59" spans="1:7" ht="15.75" thickBot="1">
      <c r="A59" s="3988" t="s">
        <v>3362</v>
      </c>
      <c r="B59" s="3989" t="s">
        <v>3307</v>
      </c>
      <c r="C59" s="3990">
        <f ca="1">ROUND(C58*(1+F59),0)</f>
        <v>24</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0.15400000000000003</v>
      </c>
    </row>
    <row r="64" spans="1:7" ht="21" customHeight="1">
      <c r="B64" s="55" t="s">
        <v>788</v>
      </c>
      <c r="C64" s="4060">
        <f ca="1">ROUND(C58/C32,3)</f>
        <v>0.84599999999999997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0" t="str">
        <f>项目基本情况!B1</f>
        <v>北京市房地产抵押价值预评估</v>
      </c>
      <c r="C37" s="4260"/>
      <c r="D37" s="4260"/>
      <c r="E37" s="4260"/>
      <c r="F37" s="4260"/>
      <c r="G37" s="4260"/>
      <c r="H37" s="4260"/>
      <c r="I37" s="426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5">
        <f ca="1">ROUND(D3/10000,4)</f>
        <v>24.012699999999999</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4439</v>
      </c>
      <c r="C3" s="94" t="s">
        <v>1434</v>
      </c>
      <c r="D3" s="94">
        <f ca="1">IF(C1="含税",E2+C33,E2+C32)</f>
        <v>240127</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287688</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235942</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194724</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15578</v>
      </c>
      <c r="D11" s="144"/>
      <c r="E11" s="144"/>
      <c r="F11" s="2532">
        <f>'数据-取费表'!B33</f>
        <v>0.08</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3985</v>
      </c>
      <c r="J12" s="95"/>
    </row>
    <row r="13" spans="1:10" s="109" customFormat="1" ht="15">
      <c r="A13" s="2574" t="s">
        <v>3279</v>
      </c>
      <c r="B13" s="2575" t="s">
        <v>3316</v>
      </c>
      <c r="C13" s="2521">
        <f ca="1">C14+C17+C18</f>
        <v>22719</v>
      </c>
      <c r="D13" s="144"/>
      <c r="E13" s="2552"/>
      <c r="F13" s="2553"/>
      <c r="G13" s="156"/>
      <c r="J13" s="95"/>
    </row>
    <row r="14" spans="1:10" s="118" customFormat="1" ht="15">
      <c r="A14" s="2505" t="s">
        <v>3280</v>
      </c>
      <c r="B14" s="2576" t="s">
        <v>3312</v>
      </c>
      <c r="C14" s="2521">
        <f>IF(G14="已包含在土地购买价格中","0",IF(B1="",'数据-取费表'!B29,IF(G15="全部缴纳",C15+C16,H15)))</f>
        <v>1</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150</v>
      </c>
      <c r="F15" s="2553"/>
      <c r="G15" s="1339"/>
      <c r="H15" s="762"/>
      <c r="I15" s="1340" t="s">
        <v>1448</v>
      </c>
      <c r="J15" s="95"/>
    </row>
    <row r="16" spans="1:10" s="109" customFormat="1" ht="15">
      <c r="A16" s="2577" t="s">
        <v>354</v>
      </c>
      <c r="B16" s="2578" t="s">
        <v>1449</v>
      </c>
      <c r="C16" s="2561">
        <f ca="1">ROUND(D16*E16,0)</f>
        <v>10277</v>
      </c>
      <c r="D16" s="2561">
        <f ca="1">IF(B1="",'数据-汇总表'!E6,IF(INDIRECT("'数据-取费表'!c"&amp;$G$1)="住宅",INDIRECT("'数据-取费表'!s"&amp;$G$1),INDIRECT("'数据-取费表'!k"&amp;$G$1)+INDIRECT("'数据-取费表'!s"&amp;$G$1)))</f>
        <v>54.09</v>
      </c>
      <c r="E16" s="2561">
        <f>'数据-取费表'!B28</f>
        <v>190</v>
      </c>
      <c r="F16" s="2553"/>
      <c r="G16" s="121"/>
      <c r="J16" s="95"/>
    </row>
    <row r="17" spans="1:10" s="109" customFormat="1" ht="15">
      <c r="A17" s="2505" t="s">
        <v>3281</v>
      </c>
      <c r="B17" s="2579" t="s">
        <v>3286</v>
      </c>
      <c r="C17" s="2521">
        <f ca="1">IF(G17="已包含在土地取得成本中","0",ROUND(D17*E17,0))</f>
        <v>6491</v>
      </c>
      <c r="D17" s="2562">
        <f ca="1">D15+D16</f>
        <v>54.09</v>
      </c>
      <c r="E17" s="2562">
        <f>'数据-取费表'!B31</f>
        <v>120</v>
      </c>
      <c r="F17" s="2529"/>
      <c r="G17" s="1338"/>
      <c r="J17" s="95"/>
    </row>
    <row r="18" spans="1:10" s="109" customFormat="1" ht="15">
      <c r="A18" s="2580" t="s">
        <v>3282</v>
      </c>
      <c r="B18" s="2579" t="s">
        <v>1472</v>
      </c>
      <c r="C18" s="2521">
        <f ca="1">ROUND(E18*D18*F10,0)</f>
        <v>16227</v>
      </c>
      <c r="D18" s="2521">
        <f ca="1">D17</f>
        <v>54.09</v>
      </c>
      <c r="E18" s="2521">
        <f>'数据-取费表'!B35</f>
        <v>300</v>
      </c>
      <c r="F18" s="2532"/>
      <c r="G18" s="156" t="str">
        <f ca="1">IF(F10=100%,"","按工程进度计取")</f>
        <v/>
      </c>
      <c r="J18" s="95"/>
    </row>
    <row r="19" spans="1:10" s="109" customFormat="1" ht="15">
      <c r="A19" s="2574" t="s">
        <v>352</v>
      </c>
      <c r="B19" s="2575" t="s">
        <v>3317</v>
      </c>
      <c r="C19" s="2521">
        <f ca="1">ROUND(C10*F19,0)</f>
        <v>2921</v>
      </c>
      <c r="D19" s="144"/>
      <c r="E19" s="144"/>
      <c r="F19" s="2532">
        <f>'数据-取费表'!B36</f>
        <v>1.4999999999999999E-2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4719</v>
      </c>
      <c r="D21" s="2535"/>
      <c r="E21" s="2535"/>
      <c r="F21" s="2539">
        <f>'数据-取费表'!B38</f>
        <v>0.02</v>
      </c>
      <c r="G21" s="2536" t="s">
        <v>3333</v>
      </c>
      <c r="J21" s="95"/>
    </row>
    <row r="22" spans="1:10" s="2533" customFormat="1" ht="15">
      <c r="A22" s="2512" t="s">
        <v>3334</v>
      </c>
      <c r="B22" s="2571" t="s">
        <v>3335</v>
      </c>
      <c r="C22" s="2537" t="str">
        <f>F22&amp;"V"</f>
        <v>0.01V</v>
      </c>
      <c r="D22" s="296"/>
      <c r="E22" s="2535"/>
      <c r="F22" s="2539">
        <f>'数据-取费表'!B39</f>
        <v>0.01</v>
      </c>
      <c r="G22" s="3531" t="s">
        <v>3978</v>
      </c>
      <c r="J22" s="95"/>
    </row>
    <row r="23" spans="1:10" s="2533" customFormat="1" ht="15">
      <c r="A23" s="2512" t="s">
        <v>3336</v>
      </c>
      <c r="B23" s="2573" t="s">
        <v>3287</v>
      </c>
      <c r="C23" s="2513" t="str">
        <f ca="1">SUM(C24:C25)&amp;"+"&amp;C26&amp;"V"</f>
        <v>7533+0.0003V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7533</v>
      </c>
      <c r="D25" s="133"/>
      <c r="E25" s="133"/>
      <c r="F25" s="2528"/>
      <c r="G25" s="3911" t="s">
        <v>3980</v>
      </c>
      <c r="J25" s="95"/>
    </row>
    <row r="26" spans="1:10" s="109" customFormat="1" ht="15">
      <c r="A26" s="2581" t="s">
        <v>348</v>
      </c>
      <c r="B26" s="2579" t="s">
        <v>1454</v>
      </c>
      <c r="C26" s="2524">
        <f ca="1">ROUND(IF('数据-取费表'!B22&lt;=1,F22*F23*'数据-取费表'!B23/2,F22*(POWER((1+F23),'数据-取费表'!B23/2)-1)),4)</f>
        <v>2.9999999999999997E-4</v>
      </c>
      <c r="D26" s="133"/>
      <c r="E26" s="136"/>
      <c r="F26" s="2528"/>
      <c r="G26" s="4225" t="s">
        <v>3981</v>
      </c>
      <c r="J26" s="95"/>
    </row>
    <row r="27" spans="1:10" s="2533" customFormat="1" ht="15">
      <c r="A27" s="2512" t="s">
        <v>3337</v>
      </c>
      <c r="B27" s="2573" t="s">
        <v>3289</v>
      </c>
      <c r="C27" s="2540" t="str">
        <f ca="1">C28&amp;"+"&amp;C29&amp;"V"</f>
        <v>36099+0.0015V</v>
      </c>
      <c r="D27" s="2538"/>
      <c r="E27" s="296"/>
      <c r="F27" s="2541">
        <f ca="1">IF(B1="",'数据-取费表'!Q16,INDIRECT("'数据-取费表'!q"&amp;$G$1))</f>
        <v>0.15</v>
      </c>
      <c r="G27" s="2536" t="s">
        <v>3987</v>
      </c>
      <c r="J27" s="95"/>
    </row>
    <row r="28" spans="1:10" s="109" customFormat="1" ht="15">
      <c r="A28" s="2574" t="s">
        <v>344</v>
      </c>
      <c r="B28" s="2579" t="s">
        <v>1459</v>
      </c>
      <c r="C28" s="2506">
        <f ca="1">ROUND(C6*F27*'数据-取费表'!B23/'数据-取费表'!B22+(C9+C21)*F27,0)</f>
        <v>36099</v>
      </c>
      <c r="D28" s="130"/>
      <c r="E28" s="131"/>
      <c r="F28" s="2529"/>
      <c r="G28" s="142" t="str">
        <f ca="1">IF(F10=100%,"","其中：土地取得成本产生的利润按已建工期计算")</f>
        <v/>
      </c>
      <c r="J28" s="95"/>
    </row>
    <row r="29" spans="1:10" s="109" customFormat="1" ht="15">
      <c r="A29" s="2574" t="s">
        <v>345</v>
      </c>
      <c r="B29" s="2579" t="s">
        <v>1460</v>
      </c>
      <c r="C29" s="2524">
        <f ca="1">ROUND(F22*F27,4)</f>
        <v>1.5E-3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47561</v>
      </c>
      <c r="D31" s="2516"/>
      <c r="E31" s="2516"/>
      <c r="F31" s="2530">
        <f>IF('数据-取费表'!B24=0,'数据-取费表'!N16,1)</f>
        <v>0.83</v>
      </c>
      <c r="G31" s="2517" t="s">
        <v>3799</v>
      </c>
      <c r="J31" s="95"/>
    </row>
    <row r="32" spans="1:10" s="109" customFormat="1" ht="15.75">
      <c r="A32" s="2504" t="s">
        <v>3292</v>
      </c>
      <c r="B32" s="2503" t="s">
        <v>3293</v>
      </c>
      <c r="C32" s="2525">
        <f ca="1">C5-C31</f>
        <v>240127</v>
      </c>
      <c r="D32" s="2516"/>
      <c r="E32" s="2516"/>
      <c r="F32" s="2515"/>
      <c r="G32" s="2518" t="s">
        <v>3324</v>
      </c>
      <c r="J32" s="95"/>
    </row>
    <row r="33" spans="1:10" s="109" customFormat="1" ht="16.5" thickBot="1">
      <c r="A33" s="2584">
        <v>4</v>
      </c>
      <c r="B33" s="2585" t="s">
        <v>3325</v>
      </c>
      <c r="C33" s="2526">
        <f ca="1">ROUND(C32*(1+F33),0)</f>
        <v>261738</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0" t="s">
        <v>3320</v>
      </c>
      <c r="B39" s="2773" t="s">
        <v>3321</v>
      </c>
      <c r="C39" s="2775" t="s">
        <v>3942</v>
      </c>
      <c r="D39" s="2776" t="s">
        <v>3444</v>
      </c>
      <c r="E39" s="2777" t="s">
        <v>3445</v>
      </c>
      <c r="F39" s="2777" t="s">
        <v>3446</v>
      </c>
      <c r="G39" s="2778" t="s">
        <v>3322</v>
      </c>
    </row>
    <row r="40" spans="1:10" ht="15">
      <c r="A40" s="2632" t="s">
        <v>3447</v>
      </c>
      <c r="B40" s="4115" t="s">
        <v>3295</v>
      </c>
      <c r="C40" s="2781">
        <f ca="1">SUM(C41:C46)</f>
        <v>229450</v>
      </c>
      <c r="D40" s="2779"/>
      <c r="E40" s="2779"/>
      <c r="F40" s="2779"/>
      <c r="G40" s="3983"/>
    </row>
    <row r="41" spans="1:10" ht="15.75">
      <c r="A41" s="4111" t="s">
        <v>3296</v>
      </c>
      <c r="B41" s="4116" t="str">
        <f t="shared" ref="B41:C43" si="0">B10</f>
        <v xml:space="preserve">  建安费用</v>
      </c>
      <c r="C41" s="2501">
        <f t="shared" ca="1" si="0"/>
        <v>194724</v>
      </c>
      <c r="D41" s="2496"/>
      <c r="E41" s="2496"/>
      <c r="F41" s="2497"/>
      <c r="G41" s="3984"/>
    </row>
    <row r="42" spans="1:10" ht="15.75">
      <c r="A42" s="4111" t="s">
        <v>3297</v>
      </c>
      <c r="B42" s="4116" t="str">
        <f t="shared" si="0"/>
        <v xml:space="preserve">  前期费用</v>
      </c>
      <c r="C42" s="2501">
        <f t="shared" ca="1" si="0"/>
        <v>15578</v>
      </c>
      <c r="D42" s="2496"/>
      <c r="E42" s="2496"/>
      <c r="F42" s="2497"/>
      <c r="G42" s="3984"/>
    </row>
    <row r="43" spans="1:10" ht="15.75">
      <c r="A43" s="4111" t="s">
        <v>3361</v>
      </c>
      <c r="B43" s="4117" t="str">
        <f t="shared" si="0"/>
        <v xml:space="preserve">  公共配套设施费用</v>
      </c>
      <c r="C43" s="2501">
        <f t="shared" ca="1" si="0"/>
        <v>0</v>
      </c>
      <c r="D43" s="2496"/>
      <c r="E43" s="2496"/>
      <c r="F43" s="2497"/>
      <c r="G43" s="3984"/>
    </row>
    <row r="44" spans="1:10" ht="15.75">
      <c r="A44" s="4111" t="s">
        <v>3279</v>
      </c>
      <c r="B44" s="4117" t="str">
        <f>B18</f>
        <v>红线内市政费用</v>
      </c>
      <c r="C44" s="2501">
        <f ca="1">C18</f>
        <v>16227</v>
      </c>
      <c r="D44" s="2496"/>
      <c r="E44" s="2496"/>
      <c r="F44" s="2497"/>
      <c r="G44" s="3984"/>
    </row>
    <row r="45" spans="1:10" ht="15.75">
      <c r="A45" s="4112" t="s">
        <v>3298</v>
      </c>
      <c r="B45" s="4118" t="str">
        <f>B19</f>
        <v xml:space="preserve">  其他工程费</v>
      </c>
      <c r="C45" s="2506">
        <f ca="1">C19</f>
        <v>2921</v>
      </c>
      <c r="D45" s="2629"/>
      <c r="E45" s="2629"/>
      <c r="F45" s="2509"/>
      <c r="G45" s="3985"/>
    </row>
    <row r="46" spans="1:10" ht="15.75">
      <c r="A46" s="4112" t="s">
        <v>3360</v>
      </c>
      <c r="B46" s="4118" t="s">
        <v>3299</v>
      </c>
      <c r="C46" s="2506">
        <f ca="1">C20</f>
        <v>0</v>
      </c>
      <c r="D46" s="2629"/>
      <c r="E46" s="2629"/>
      <c r="F46" s="2509"/>
      <c r="G46" s="3985"/>
    </row>
    <row r="47" spans="1:10" ht="15">
      <c r="A47" s="4113" t="s">
        <v>3448</v>
      </c>
      <c r="B47" s="4113" t="s">
        <v>3449</v>
      </c>
      <c r="C47" s="2633">
        <f ca="1">ROUND(C40*F47,0)</f>
        <v>4589</v>
      </c>
      <c r="D47" s="2634"/>
      <c r="E47" s="2634"/>
      <c r="F47" s="2635">
        <f>F21</f>
        <v>0.02</v>
      </c>
      <c r="G47" s="2636" t="s">
        <v>3450</v>
      </c>
    </row>
    <row r="48" spans="1:10" ht="15">
      <c r="A48" s="4113" t="s">
        <v>3451</v>
      </c>
      <c r="B48" s="4113" t="s">
        <v>3452</v>
      </c>
      <c r="C48" s="2637" t="str">
        <f>F48&amp;"V建1"</f>
        <v>0.01V建1</v>
      </c>
      <c r="D48" s="2634"/>
      <c r="E48" s="2634"/>
      <c r="F48" s="2635">
        <f>F22</f>
        <v>0.01</v>
      </c>
      <c r="G48" s="4226" t="s">
        <v>3982</v>
      </c>
    </row>
    <row r="49" spans="1:7" ht="15">
      <c r="A49" s="4113" t="s">
        <v>3453</v>
      </c>
      <c r="B49" s="4119" t="s">
        <v>3359</v>
      </c>
      <c r="C49" s="2534" t="str">
        <f ca="1">C50&amp;"+"&amp;C51&amp;"V建1"</f>
        <v>7325+0.0003V建1</v>
      </c>
      <c r="D49" s="296"/>
      <c r="E49" s="296"/>
      <c r="F49" s="2639">
        <f ca="1">F23</f>
        <v>3.1300000000000001E-2</v>
      </c>
      <c r="G49" s="3986" t="str">
        <f>IF('数据-取费表'!B22&lt;=1,"单利计息","复利计息")</f>
        <v>复利计息</v>
      </c>
    </row>
    <row r="50" spans="1:7">
      <c r="A50" s="4111" t="s">
        <v>3296</v>
      </c>
      <c r="B50" s="4120" t="s">
        <v>3363</v>
      </c>
      <c r="C50" s="2650">
        <f ca="1">ROUND(IF('数据-取费表'!B22&lt;=1,(C40+C47)*F49*'数据-取费表'!B22/2,(C40+C47)*(POWER((1+F49),'数据-取费表'!B22/2)-1)),0)</f>
        <v>7325</v>
      </c>
      <c r="D50" s="1011"/>
      <c r="E50" s="1011"/>
      <c r="F50" s="994"/>
      <c r="G50" s="4475" t="str">
        <f ca="1">IF(F10=100%,"建设期均匀投入","已建工期均匀投入")</f>
        <v>建设期均匀投入</v>
      </c>
    </row>
    <row r="51" spans="1:7">
      <c r="A51" s="4111" t="s">
        <v>3297</v>
      </c>
      <c r="B51" s="4117" t="s">
        <v>3302</v>
      </c>
      <c r="C51" s="2651">
        <f ca="1">ROUND(IF('数据-取费表'!B22&lt;=1,F48*F23*'数据-取费表'!B22/2,F48*(POWER((1+F23),'数据-取费表'!B22/2)-1)),4)</f>
        <v>2.9999999999999997E-4</v>
      </c>
      <c r="D51" s="1011"/>
      <c r="E51" s="1011"/>
      <c r="F51" s="994"/>
      <c r="G51" s="4476"/>
    </row>
    <row r="52" spans="1:7" ht="15">
      <c r="A52" s="4113" t="s">
        <v>3454</v>
      </c>
      <c r="B52" s="2770" t="s">
        <v>3303</v>
      </c>
      <c r="C52" s="2641" t="str">
        <f ca="1">C53&amp;"+"&amp;C54&amp;"V建1"</f>
        <v>35106+0.0015V建1</v>
      </c>
      <c r="D52" s="2642"/>
      <c r="E52" s="2634"/>
      <c r="F52" s="2643">
        <f ca="1">F27</f>
        <v>0.15</v>
      </c>
      <c r="G52" s="2644" t="s">
        <v>3455</v>
      </c>
    </row>
    <row r="53" spans="1:7">
      <c r="A53" s="4111" t="s">
        <v>3296</v>
      </c>
      <c r="B53" s="4120" t="s">
        <v>3304</v>
      </c>
      <c r="C53" s="2501">
        <f ca="1">ROUND((C40+C47)*F27,0)</f>
        <v>35106</v>
      </c>
      <c r="D53" s="2502"/>
      <c r="E53" s="2498"/>
      <c r="F53" s="2499"/>
      <c r="G53" s="2500"/>
    </row>
    <row r="54" spans="1:7">
      <c r="A54" s="4111" t="s">
        <v>3297</v>
      </c>
      <c r="B54" s="4120" t="s">
        <v>3305</v>
      </c>
      <c r="C54" s="2565">
        <f ca="1">ROUND(F48*F27,4)</f>
        <v>1.5E-3</v>
      </c>
      <c r="D54" s="2502"/>
      <c r="E54" s="2498"/>
      <c r="F54" s="2499"/>
      <c r="G54" s="2500"/>
    </row>
    <row r="55" spans="1:7" ht="15">
      <c r="A55" s="4114" t="s">
        <v>3456</v>
      </c>
      <c r="B55" s="2512" t="s">
        <v>3457</v>
      </c>
      <c r="C55" s="3987">
        <v>0</v>
      </c>
      <c r="D55" s="2538"/>
      <c r="E55" s="296"/>
      <c r="F55" s="2639"/>
      <c r="G55" s="2646" t="s">
        <v>3308</v>
      </c>
    </row>
    <row r="56" spans="1:7" ht="16.5">
      <c r="A56" s="4114" t="s">
        <v>3461</v>
      </c>
      <c r="B56" s="4114" t="s">
        <v>3458</v>
      </c>
      <c r="C56" s="2534">
        <f ca="1">ROUND((C40+C47+C50+C53)/(1-F48-C51-C54),0)</f>
        <v>279771</v>
      </c>
      <c r="D56" s="296"/>
      <c r="E56" s="296"/>
      <c r="F56" s="2647"/>
      <c r="G56" s="2646" t="s">
        <v>3309</v>
      </c>
    </row>
    <row r="57" spans="1:7" ht="15">
      <c r="A57" s="4114" t="s">
        <v>3425</v>
      </c>
      <c r="B57" s="4121" t="s">
        <v>3291</v>
      </c>
      <c r="C57" s="2534">
        <f ca="1">ROUND(C56*(1-F57),0)</f>
        <v>47561</v>
      </c>
      <c r="D57" s="296"/>
      <c r="E57" s="296"/>
      <c r="F57" s="2647">
        <f>F31</f>
        <v>0.83</v>
      </c>
      <c r="G57" s="2646" t="s">
        <v>3310</v>
      </c>
    </row>
    <row r="58" spans="1:7" ht="16.5">
      <c r="A58" s="4114" t="s">
        <v>3459</v>
      </c>
      <c r="B58" s="4114" t="s">
        <v>3460</v>
      </c>
      <c r="C58" s="2534">
        <f ca="1">C56-C57</f>
        <v>232210</v>
      </c>
      <c r="D58" s="296"/>
      <c r="E58" s="296"/>
      <c r="F58" s="2647"/>
      <c r="G58" s="2646" t="s">
        <v>3311</v>
      </c>
    </row>
    <row r="59" spans="1:7" ht="15.75" thickBot="1">
      <c r="A59" s="2645" t="s">
        <v>3362</v>
      </c>
      <c r="B59" s="4122" t="s">
        <v>3307</v>
      </c>
      <c r="C59" s="3990">
        <f ca="1">ROUND(C58*(1+F59),0)</f>
        <v>253109</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3.3000000000000029E-2</v>
      </c>
    </row>
    <row r="64" spans="1:7" ht="21" customHeight="1">
      <c r="B64" s="55" t="s">
        <v>788</v>
      </c>
      <c r="C64" s="4060">
        <f ca="1">ROUND(C58/C32,3)</f>
        <v>0.96699999999999997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2609.8141999999998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482495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20640887</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10277</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10277</v>
      </c>
      <c r="D10" s="538">
        <f ca="1">IF(B1="",'数据-汇总表'!E6,IF(INDIRECT("'数据-取费表'!c"&amp;$G$1)="住宅",INDIRECT("'数据-取费表'!s"&amp;$G$1),INDIRECT("'数据-取费表'!k"&amp;$G$1)+INDIRECT("'数据-取费表'!s"&amp;$G$1)))</f>
        <v>54.09</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6491</v>
      </c>
      <c r="D19" s="107">
        <f ca="1">D9+D10</f>
        <v>54.09</v>
      </c>
      <c r="E19" s="106">
        <f>'数据-取费表'!B31</f>
        <v>120</v>
      </c>
      <c r="F19" s="126"/>
      <c r="G19" s="1338"/>
    </row>
    <row r="20" spans="1:7" s="109" customFormat="1" ht="13.5" customHeight="1">
      <c r="A20" s="150" t="s">
        <v>1510</v>
      </c>
      <c r="B20" s="105" t="s">
        <v>1511</v>
      </c>
      <c r="C20" s="127">
        <f ca="1">ROUND((C5+C19)*F20,0)</f>
        <v>412948</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1325679</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1312341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413</v>
      </c>
      <c r="D24" s="133"/>
      <c r="E24" s="133"/>
      <c r="F24" s="134"/>
      <c r="G24" s="135" t="s">
        <v>1522</v>
      </c>
    </row>
    <row r="25" spans="1:7" s="109" customFormat="1" ht="24">
      <c r="A25" s="513" t="s">
        <v>1445</v>
      </c>
      <c r="B25" s="110" t="s">
        <v>1523</v>
      </c>
      <c r="C25" s="133">
        <f ca="1">ROUND(IF('数据-取费表'!B22&lt;=1,C20*F22*'数据-取费表'!B22/2,C20*(POWER((1+F22),'数据-取费表'!B22/2)-1)),0)</f>
        <v>12925</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3159049</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3159049</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25865790</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229450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194724</v>
      </c>
      <c r="D34" s="112"/>
      <c r="E34" s="115"/>
      <c r="F34" s="152"/>
      <c r="G34" s="114"/>
    </row>
    <row r="35" spans="1:7" ht="13.5" customHeight="1">
      <c r="A35" s="513" t="s">
        <v>349</v>
      </c>
      <c r="B35" s="110" t="s">
        <v>1468</v>
      </c>
      <c r="C35" s="115">
        <f ca="1">ROUND(C34*F35,0)</f>
        <v>15578</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16227</v>
      </c>
      <c r="D37" s="112">
        <f ca="1">D19</f>
        <v>54.09</v>
      </c>
      <c r="E37" s="144">
        <f>'数据-取费表'!B35</f>
        <v>300</v>
      </c>
      <c r="F37" s="154"/>
      <c r="G37" s="156"/>
    </row>
    <row r="38" spans="1:7" ht="13.5" customHeight="1">
      <c r="A38" s="513" t="s">
        <v>352</v>
      </c>
      <c r="B38" s="110" t="s">
        <v>1473</v>
      </c>
      <c r="C38" s="115">
        <f ca="1">ROUND(C34*F38,0)</f>
        <v>2921</v>
      </c>
      <c r="D38" s="115"/>
      <c r="E38" s="115"/>
      <c r="F38" s="154">
        <f>'数据-取费表'!B36</f>
        <v>1.4999999999999999E-2</v>
      </c>
      <c r="G38" s="114" t="s">
        <v>1469</v>
      </c>
    </row>
    <row r="39" spans="1:7" s="109" customFormat="1" ht="13.5" customHeight="1">
      <c r="A39" s="150" t="s">
        <v>1474</v>
      </c>
      <c r="B39" s="105" t="s">
        <v>1475</v>
      </c>
      <c r="C39" s="127">
        <f ca="1">ROUND(C33*F20,0)</f>
        <v>4589</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7326</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7182</v>
      </c>
      <c r="D42" s="133"/>
      <c r="E42" s="133"/>
      <c r="F42" s="134"/>
      <c r="G42" s="4475" t="s">
        <v>1527</v>
      </c>
    </row>
    <row r="43" spans="1:7" ht="13.5" customHeight="1">
      <c r="A43" s="513" t="s">
        <v>345</v>
      </c>
      <c r="B43" s="110" t="s">
        <v>1484</v>
      </c>
      <c r="C43" s="133">
        <f ca="1">ROUND(IF('数据-取费表'!B22&lt;=1,C39*F22*'数据-取费表'!B20/2,C39*(POWER((1+F22),'数据-取费表'!B20/2)-1)),0)</f>
        <v>144</v>
      </c>
      <c r="D43" s="133"/>
      <c r="E43" s="133"/>
      <c r="F43" s="134"/>
      <c r="G43" s="4477"/>
    </row>
    <row r="44" spans="1:7" ht="13.5" customHeight="1">
      <c r="A44" s="513" t="s">
        <v>346</v>
      </c>
      <c r="B44" s="110" t="s">
        <v>1485</v>
      </c>
      <c r="C44" s="133">
        <f ca="1">ROUND(IF('数据-取费表'!B22&lt;=1,C40*F22*'数据-取费表'!B20/2,C40*(POWER((1+F22),'数据-取费表'!B20/2)-1)),4)</f>
        <v>2.9999999999999997E-4</v>
      </c>
      <c r="D44" s="133"/>
      <c r="E44" s="133"/>
      <c r="F44" s="134"/>
      <c r="G44" s="4476"/>
    </row>
    <row r="45" spans="1:7" s="109" customFormat="1" ht="13.5" customHeight="1">
      <c r="A45" s="150" t="s">
        <v>1486</v>
      </c>
      <c r="B45" s="139" t="s">
        <v>1456</v>
      </c>
      <c r="C45" s="140">
        <f ca="1">C46</f>
        <v>35106</v>
      </c>
      <c r="D45" s="130">
        <f ca="1">C47</f>
        <v>1.5E-3</v>
      </c>
      <c r="E45" s="131" t="s">
        <v>1479</v>
      </c>
      <c r="F45" s="141">
        <f ca="1">F27</f>
        <v>0.15</v>
      </c>
      <c r="G45" s="142" t="s">
        <v>1487</v>
      </c>
    </row>
    <row r="46" spans="1:7" s="109" customFormat="1" ht="13.5" customHeight="1">
      <c r="A46" s="513" t="s">
        <v>344</v>
      </c>
      <c r="B46" s="143" t="s">
        <v>1488</v>
      </c>
      <c r="C46" s="144">
        <f ca="1">ROUND((C33+C39)*F27,0)</f>
        <v>35106</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279942</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232352</v>
      </c>
      <c r="D51" s="127"/>
      <c r="E51" s="127"/>
      <c r="F51" s="159"/>
      <c r="G51" s="129" t="s">
        <v>1496</v>
      </c>
    </row>
    <row r="52" spans="1:7" s="103" customFormat="1" ht="16.5" thickBot="1">
      <c r="A52" s="160" t="s">
        <v>1497</v>
      </c>
      <c r="B52" s="161"/>
      <c r="C52" s="162">
        <f ca="1">C31+C51</f>
        <v>26098142</v>
      </c>
      <c r="D52" s="161"/>
      <c r="E52" s="161"/>
      <c r="F52" s="161"/>
      <c r="G52" s="163"/>
    </row>
    <row r="55" spans="1:7" ht="15">
      <c r="B55" s="165" t="s">
        <v>1498</v>
      </c>
      <c r="C55" s="166"/>
    </row>
    <row r="56" spans="1:7">
      <c r="B56" s="168" t="s">
        <v>787</v>
      </c>
      <c r="C56" s="170">
        <f ca="1">1-C57</f>
        <v>0.99099999999999999</v>
      </c>
    </row>
    <row r="57" spans="1:7">
      <c r="B57" s="168" t="s">
        <v>788</v>
      </c>
      <c r="C57" s="169">
        <f ca="1">ROUND(C51/C52,3)</f>
        <v>8.9999999999999993E-3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J4" sqref="J4"/>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0</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0</v>
      </c>
      <c r="D6" s="2715" t="s">
        <v>3789</v>
      </c>
      <c r="E6" s="2713" t="s">
        <v>3392</v>
      </c>
      <c r="F6" s="3028">
        <f ca="1">INDIRECT("'数据-取费表'!u"&amp;$G$1)</f>
        <v>0</v>
      </c>
      <c r="G6" s="935"/>
      <c r="H6" s="707" t="s">
        <v>392</v>
      </c>
      <c r="I6" s="2714" t="s">
        <v>3785</v>
      </c>
      <c r="J6" s="4087">
        <f ca="1">J7-J9</f>
        <v>0</v>
      </c>
      <c r="K6" s="2715" t="s">
        <v>3789</v>
      </c>
      <c r="L6" s="2713" t="s">
        <v>3392</v>
      </c>
      <c r="M6" s="3028">
        <f ca="1">INDIRECT("'数据-取费表'!z"&amp;$G$1)</f>
        <v>0</v>
      </c>
    </row>
    <row r="7" spans="1:37" ht="18" customHeight="1">
      <c r="A7" s="4478" t="s">
        <v>391</v>
      </c>
      <c r="B7" s="4481" t="s">
        <v>3783</v>
      </c>
      <c r="C7" s="4486">
        <f ca="1">ROUND(F6*F7*F8/10000,2)</f>
        <v>0</v>
      </c>
      <c r="D7" s="4480" t="s">
        <v>3463</v>
      </c>
      <c r="E7" s="714" t="s">
        <v>682</v>
      </c>
      <c r="F7" s="2761">
        <f ca="1">IF(INDIRECT("'数据-取费表'!ah"&amp;$G$1)="",INDIRECT("'数据-取费表'!k"&amp;$G$1),INDIRECT("'数据-取费表'!ah"&amp;$G$1))</f>
        <v>0</v>
      </c>
      <c r="G7" s="935"/>
      <c r="H7" s="4478" t="s">
        <v>391</v>
      </c>
      <c r="I7" s="4481" t="s">
        <v>3783</v>
      </c>
      <c r="J7" s="4483">
        <f ca="1">ROUND(M6*M8*M7/10000,2)</f>
        <v>0</v>
      </c>
      <c r="K7" s="4480" t="s">
        <v>3463</v>
      </c>
      <c r="L7" s="186" t="s">
        <v>682</v>
      </c>
      <c r="M7" s="2761">
        <f ca="1">F7</f>
        <v>0</v>
      </c>
    </row>
    <row r="8" spans="1:37" ht="18" customHeight="1">
      <c r="A8" s="4479"/>
      <c r="B8" s="4482"/>
      <c r="C8" s="4486"/>
      <c r="D8" s="4480"/>
      <c r="E8" s="186" t="str">
        <f ca="1">IF(F8=1,"年",IF(F8=12,"月","天"))</f>
        <v>天</v>
      </c>
      <c r="F8" s="3413">
        <f ca="1">INDIRECT("'数据-取费表'!ai"&amp;$G$1)</f>
        <v>0</v>
      </c>
      <c r="G8" s="935"/>
      <c r="H8" s="4479"/>
      <c r="I8" s="4482"/>
      <c r="J8" s="4483"/>
      <c r="K8" s="4480"/>
      <c r="L8" s="186" t="str">
        <f ca="1">IF(M8=1,"年",IF(M8=12,"月","天"))</f>
        <v>天</v>
      </c>
      <c r="M8" s="3413">
        <f ca="1">INDIRECT("'数据-取费表'!ai"&amp;$G$1)</f>
        <v>0</v>
      </c>
    </row>
    <row r="9" spans="1:37" ht="18" customHeight="1">
      <c r="A9" s="2700" t="s">
        <v>3393</v>
      </c>
      <c r="B9" s="4086" t="s">
        <v>3784</v>
      </c>
      <c r="C9" s="4085">
        <f ca="1">ROUND(C7*F9,2)</f>
        <v>0</v>
      </c>
      <c r="D9" s="2715" t="s">
        <v>3788</v>
      </c>
      <c r="E9" s="186" t="s">
        <v>684</v>
      </c>
      <c r="F9" s="2767">
        <f ca="1">INDIRECT("'数据-取费表'!w"&amp;$G$1)</f>
        <v>0</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v>
      </c>
      <c r="D10" s="59" t="s">
        <v>2021</v>
      </c>
      <c r="E10" s="197" t="s">
        <v>686</v>
      </c>
      <c r="F10" s="2763"/>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0</v>
      </c>
      <c r="D13" s="4005" t="s">
        <v>3876</v>
      </c>
      <c r="E13" s="4006"/>
      <c r="F13" s="4004"/>
      <c r="G13" s="4001"/>
      <c r="H13" s="716" t="s">
        <v>3668</v>
      </c>
      <c r="I13" s="717" t="s">
        <v>3875</v>
      </c>
      <c r="J13" s="3853">
        <f ca="1">ROUND(J14+J22+J24+J26,0)</f>
        <v>0</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0</v>
      </c>
      <c r="K14" s="2740" t="s">
        <v>3436</v>
      </c>
      <c r="L14" s="900" t="str">
        <f>E14</f>
        <v/>
      </c>
      <c r="M14" s="3837" t="str">
        <f>IF(M56="非住宅","",IF(M6*M7*M8/12/(1+'数据-取费表'!F30)&gt;100000,4%,2.5%))</f>
        <v/>
      </c>
    </row>
    <row r="15" spans="1:37" s="946" customFormat="1" ht="18" customHeight="1">
      <c r="A15" s="2700" t="s">
        <v>3395</v>
      </c>
      <c r="B15" s="2713" t="s">
        <v>3955</v>
      </c>
      <c r="C15" s="4087">
        <f ca="1">C18</f>
        <v>0</v>
      </c>
      <c r="D15" s="2430" t="s">
        <v>3964</v>
      </c>
      <c r="E15" s="4090"/>
      <c r="F15" s="4123"/>
      <c r="G15" s="945"/>
      <c r="H15" s="2700" t="s">
        <v>391</v>
      </c>
      <c r="I15" s="2713" t="s">
        <v>3955</v>
      </c>
      <c r="J15" s="4087">
        <f ca="1">J18</f>
        <v>0</v>
      </c>
      <c r="K15" s="2430" t="s">
        <v>3954</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0</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0</v>
      </c>
      <c r="D17" s="3978" t="s">
        <v>3847</v>
      </c>
      <c r="E17" s="2722"/>
      <c r="F17" s="2765">
        <v>0.06</v>
      </c>
      <c r="G17" s="945"/>
      <c r="H17" s="2505" t="s">
        <v>3281</v>
      </c>
      <c r="I17" s="2717" t="s">
        <v>3397</v>
      </c>
      <c r="J17" s="2741">
        <f ca="1">ROUND(J22*M16+((J24+J26)*M17),2)</f>
        <v>0</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0</v>
      </c>
      <c r="D18" s="2740" t="s">
        <v>3974</v>
      </c>
      <c r="E18" s="186" t="s">
        <v>3975</v>
      </c>
      <c r="F18" s="2765">
        <f>'数据-取费表'!B44</f>
        <v>0.12000000000000001</v>
      </c>
      <c r="G18" s="945"/>
      <c r="H18" s="2505" t="s">
        <v>3952</v>
      </c>
      <c r="I18" s="2717" t="s">
        <v>3951</v>
      </c>
      <c r="J18" s="2741">
        <f ca="1">ROUND((J16-J17)*M18,2)</f>
        <v>0</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3961</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0</v>
      </c>
      <c r="D20" s="207" t="s">
        <v>716</v>
      </c>
      <c r="E20" s="186" t="s">
        <v>717</v>
      </c>
      <c r="F20" s="2766">
        <f>'数据-取费表'!B53</f>
        <v>0</v>
      </c>
      <c r="G20" s="935"/>
      <c r="H20" s="4091" t="s">
        <v>666</v>
      </c>
      <c r="I20" s="927" t="s">
        <v>3957</v>
      </c>
      <c r="J20" s="4088">
        <f ca="1">ROUND(M20*M21/10000,2)</f>
        <v>0</v>
      </c>
      <c r="K20" s="207" t="s">
        <v>716</v>
      </c>
      <c r="L20" s="186" t="s">
        <v>717</v>
      </c>
      <c r="M20" s="2766">
        <f>'数据-取费表'!B53</f>
        <v>0</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3808</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0</v>
      </c>
      <c r="G23" s="945"/>
      <c r="H23" s="209"/>
      <c r="I23" s="195"/>
      <c r="J23" s="3861"/>
      <c r="K23" s="3926"/>
      <c r="L23" s="2713" t="s">
        <v>3809</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3434</v>
      </c>
      <c r="E24" s="186" t="s">
        <v>729</v>
      </c>
      <c r="F24" s="2767">
        <f ca="1">INDIRECT("'数据-取费表'!Al"&amp;$G$1)</f>
        <v>0</v>
      </c>
      <c r="G24" s="935"/>
      <c r="H24" s="3859" t="s">
        <v>431</v>
      </c>
      <c r="I24" s="56" t="s">
        <v>727</v>
      </c>
      <c r="J24" s="3860">
        <f ca="1">ROUND(J37*M24,2)</f>
        <v>0</v>
      </c>
      <c r="K24" s="1776" t="s">
        <v>3812</v>
      </c>
      <c r="L24" s="186" t="s">
        <v>729</v>
      </c>
      <c r="M24" s="2767">
        <f ca="1">INDIRECT("'数据-取费表'!Al"&amp;$G$1)</f>
        <v>0</v>
      </c>
    </row>
    <row r="25" spans="1:37" ht="18" customHeight="1">
      <c r="A25" s="209"/>
      <c r="B25" s="195"/>
      <c r="C25" s="3861"/>
      <c r="D25" s="3926"/>
      <c r="E25" s="3925" t="s">
        <v>3810</v>
      </c>
      <c r="F25" s="3413">
        <f ca="1">C53</f>
        <v>0</v>
      </c>
      <c r="G25" s="935"/>
      <c r="H25" s="209"/>
      <c r="I25" s="195"/>
      <c r="J25" s="3861"/>
      <c r="K25" s="3926"/>
      <c r="L25" s="3925" t="s">
        <v>3810</v>
      </c>
      <c r="M25" s="3413">
        <f ca="1">J37</f>
        <v>0</v>
      </c>
    </row>
    <row r="26" spans="1:37" s="946" customFormat="1" ht="18" customHeight="1" thickBot="1">
      <c r="A26" s="726" t="s">
        <v>670</v>
      </c>
      <c r="B26" s="727" t="s">
        <v>713</v>
      </c>
      <c r="C26" s="2719">
        <f ca="1">ROUND(C5*F26,2)</f>
        <v>0</v>
      </c>
      <c r="D26" s="729" t="s">
        <v>3853</v>
      </c>
      <c r="E26" s="727" t="s">
        <v>729</v>
      </c>
      <c r="F26" s="2830">
        <f ca="1">INDIRECT("'数据-取费表'!Am"&amp;$G$1)</f>
        <v>0</v>
      </c>
      <c r="G26" s="945"/>
      <c r="H26" s="726" t="s">
        <v>670</v>
      </c>
      <c r="I26" s="727" t="s">
        <v>713</v>
      </c>
      <c r="J26" s="2719">
        <f ca="1">ROUND(J5*M26,2)</f>
        <v>0</v>
      </c>
      <c r="K26" s="729" t="s">
        <v>3855</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0</v>
      </c>
      <c r="D27" s="4009" t="s">
        <v>3879</v>
      </c>
      <c r="E27" s="4010"/>
      <c r="F27" s="4011"/>
      <c r="G27" s="498"/>
      <c r="H27" s="716" t="s">
        <v>3292</v>
      </c>
      <c r="I27" s="731" t="s">
        <v>3878</v>
      </c>
      <c r="J27" s="3853">
        <f ca="1">J5-J13</f>
        <v>0</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0</v>
      </c>
      <c r="D28" s="4013" t="s">
        <v>3881</v>
      </c>
      <c r="E28" s="2725" t="s">
        <v>3882</v>
      </c>
      <c r="F28" s="2767">
        <f ca="1">INDIRECT("'数据-取费表'!I"&amp;$G$1)</f>
        <v>0</v>
      </c>
      <c r="G28" s="4001"/>
      <c r="H28" s="183" t="s">
        <v>3670</v>
      </c>
      <c r="I28" s="184" t="s">
        <v>3883</v>
      </c>
      <c r="J28" s="3928">
        <f ca="1">IF(J5&lt;&gt;0,ROUND(J27*(1-((1+M30)/(1+M28))^M29)/(M28-M30),0),0)</f>
        <v>0</v>
      </c>
      <c r="K28" s="4013" t="s">
        <v>3881</v>
      </c>
      <c r="L28" s="4014" t="s">
        <v>3882</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0</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0</v>
      </c>
      <c r="D31" s="4016" t="s">
        <v>3674</v>
      </c>
      <c r="E31" s="4017" t="str">
        <f>IF(D31="其他类型公式—收益价值×（1+9%）","销项税率","征收率")</f>
        <v>销项税率</v>
      </c>
      <c r="F31" s="2767">
        <f>IF(D31="其他类型公式—收益价值×（1+9%）",9%,3%)</f>
        <v>0.09</v>
      </c>
      <c r="G31" s="498"/>
      <c r="H31" s="199" t="s">
        <v>3671</v>
      </c>
      <c r="I31" s="2725" t="s">
        <v>3889</v>
      </c>
      <c r="J31" s="2743">
        <f ca="1">ROUND(J28/(1+F28)^F29,0)</f>
        <v>0</v>
      </c>
      <c r="K31" s="3922" t="s">
        <v>3802</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3890</v>
      </c>
      <c r="E32" s="217" t="s">
        <v>3891</v>
      </c>
      <c r="F32" s="2769">
        <f ca="1">INDIRECT("'数据-取费表'!k"&amp;$G$1)</f>
        <v>0</v>
      </c>
      <c r="G32" s="498"/>
      <c r="H32" s="3831" t="s">
        <v>3672</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0</v>
      </c>
      <c r="D35" s="3922" t="s">
        <v>3407</v>
      </c>
      <c r="E35" s="994"/>
      <c r="F35" s="3277"/>
      <c r="G35" s="935"/>
      <c r="H35" s="3923" t="s">
        <v>3399</v>
      </c>
      <c r="I35" s="3924" t="s">
        <v>3439</v>
      </c>
      <c r="J35" s="2702">
        <f ca="1">C51</f>
        <v>0</v>
      </c>
      <c r="K35" s="2739" t="s">
        <v>3435</v>
      </c>
      <c r="L35" s="55"/>
      <c r="M35" s="2680"/>
    </row>
    <row r="36" spans="1:37" ht="18" customHeight="1">
      <c r="A36" s="2700" t="s">
        <v>3395</v>
      </c>
      <c r="B36" s="2665" t="s">
        <v>692</v>
      </c>
      <c r="C36" s="2610">
        <f ca="1">INDIRECT("'数据-取费表'!m"&amp;$G$1)+INDIRECT("'数据-取费表'!t"&amp;$G$1)</f>
        <v>0</v>
      </c>
      <c r="D36" s="899" t="s">
        <v>693</v>
      </c>
      <c r="E36" s="899"/>
      <c r="F36" s="215"/>
      <c r="G36" s="935"/>
      <c r="H36" s="2747" t="s">
        <v>3440</v>
      </c>
      <c r="I36" s="2752" t="s">
        <v>3427</v>
      </c>
      <c r="J36" s="2650">
        <f ca="1">ROUND(J35*(1-M36),0)</f>
        <v>0</v>
      </c>
      <c r="K36" s="186" t="s">
        <v>3430</v>
      </c>
      <c r="L36" s="2715" t="s">
        <v>3442</v>
      </c>
      <c r="M36" s="2767">
        <f ca="1">INDIRECT("'数据-取费表'!ad"&amp;$G$1)</f>
        <v>0</v>
      </c>
    </row>
    <row r="37" spans="1:37" ht="18" customHeight="1" thickBot="1">
      <c r="A37" s="2700" t="s">
        <v>3401</v>
      </c>
      <c r="B37" s="2717" t="s">
        <v>3854</v>
      </c>
      <c r="C37" s="2702">
        <f ca="1">ROUND(C36*F37,0)</f>
        <v>0</v>
      </c>
      <c r="D37" s="186" t="s">
        <v>696</v>
      </c>
      <c r="E37" s="186" t="s">
        <v>697</v>
      </c>
      <c r="F37" s="2765">
        <f>'数据-取费表'!B33</f>
        <v>0.08</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0</v>
      </c>
      <c r="D39" s="186" t="s">
        <v>702</v>
      </c>
      <c r="E39" s="186" t="s">
        <v>3804</v>
      </c>
      <c r="F39" s="2766">
        <f>'数据-取费表'!B35</f>
        <v>300</v>
      </c>
      <c r="G39" s="935"/>
    </row>
    <row r="40" spans="1:37" ht="18" customHeight="1">
      <c r="A40" s="2700" t="s">
        <v>3404</v>
      </c>
      <c r="B40" s="2717" t="s">
        <v>3405</v>
      </c>
      <c r="C40" s="2702">
        <f ca="1">ROUND(C36*F40,0)</f>
        <v>0</v>
      </c>
      <c r="D40" s="186" t="s">
        <v>696</v>
      </c>
      <c r="E40" s="186" t="s">
        <v>697</v>
      </c>
      <c r="F40" s="2765">
        <f>'数据-取费表'!B36</f>
        <v>1.4999999999999999E-2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3805</v>
      </c>
      <c r="E43" s="2725" t="s">
        <v>3806</v>
      </c>
      <c r="F43" s="2767">
        <f>'数据-取费表'!B39</f>
        <v>0.01</v>
      </c>
      <c r="G43" s="935"/>
      <c r="H43" s="47"/>
      <c r="I43" s="47"/>
      <c r="J43" s="47"/>
      <c r="K43" s="1861"/>
      <c r="L43" s="47"/>
      <c r="M43" s="47"/>
    </row>
    <row r="44" spans="1:37" ht="18" customHeight="1">
      <c r="A44" s="199" t="s">
        <v>3422</v>
      </c>
      <c r="B44" s="2728" t="s">
        <v>3408</v>
      </c>
      <c r="C44" s="3416" t="str">
        <f ca="1">C45&amp;"+"&amp;C46&amp;"V建"</f>
        <v>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0</v>
      </c>
      <c r="D51" s="2739" t="s">
        <v>3435</v>
      </c>
      <c r="E51" s="2725"/>
      <c r="F51" s="2767"/>
      <c r="K51" s="951"/>
    </row>
    <row r="52" spans="1:18" s="935" customFormat="1" ht="18" customHeight="1">
      <c r="A52" s="2729" t="s">
        <v>3426</v>
      </c>
      <c r="B52" s="2728" t="s">
        <v>3427</v>
      </c>
      <c r="C52" s="2743">
        <f ca="1">ROUND(C51*(1-F52),0)</f>
        <v>0</v>
      </c>
      <c r="D52" s="2725" t="s">
        <v>3872</v>
      </c>
      <c r="E52" s="2725" t="s">
        <v>3873</v>
      </c>
      <c r="F52" s="2767">
        <f ca="1">INDIRECT("'数据-取费表'!y"&amp;$G$1)</f>
        <v>0</v>
      </c>
      <c r="K52" s="951"/>
    </row>
    <row r="53" spans="1:18" s="935" customFormat="1" ht="18" customHeight="1" thickBot="1">
      <c r="A53" s="2730" t="s">
        <v>3428</v>
      </c>
      <c r="B53" s="2738" t="s">
        <v>3433</v>
      </c>
      <c r="C53" s="2754">
        <f ca="1">C51-C52</f>
        <v>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t="e">
        <f ca="1">IF(D2="含税",C83-C31,C80-C28)</f>
        <v>#VALUE!</v>
      </c>
      <c r="D55" s="955" t="str">
        <f>C2</f>
        <v>万元</v>
      </c>
      <c r="E55" s="949"/>
      <c r="F55" s="949"/>
      <c r="I55" s="956" t="s">
        <v>795</v>
      </c>
      <c r="J55" s="957"/>
      <c r="K55" s="958"/>
      <c r="L55" s="3897" t="e">
        <f ca="1">IF(M56="住宅",0,IF(L57&gt;J60,L69,J69))</f>
        <v>#DIV/0!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c r="K56" s="965" t="s">
        <v>801</v>
      </c>
      <c r="L56" s="3898">
        <f ca="1">INDIRECT("'数据-取费表'!d"&amp;$G$1)</f>
        <v>0</v>
      </c>
      <c r="M56" s="931" t="str">
        <f>IF(ISNUMBER(FIND("住宅",C1)),"住宅","非住宅")</f>
        <v>非住宅</v>
      </c>
      <c r="O56" s="4038" t="s">
        <v>397</v>
      </c>
      <c r="P56" s="4039" t="s">
        <v>3900</v>
      </c>
      <c r="Q56" s="4041">
        <f ca="1">C28+J31</f>
        <v>0</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c r="K57" s="972" t="s">
        <v>805</v>
      </c>
      <c r="L57" s="3887">
        <f ca="1">INDIRECT("'数据-取费表'!f"&amp;$G$1)</f>
        <v>0</v>
      </c>
      <c r="O57" s="4038" t="s">
        <v>398</v>
      </c>
      <c r="P57" s="4039" t="s">
        <v>3902</v>
      </c>
      <c r="Q57" s="4041" t="e">
        <f ca="1">J69</f>
        <v>#DIV/0!</v>
      </c>
      <c r="R57" s="4040" t="s">
        <v>3903</v>
      </c>
    </row>
    <row r="58" spans="1:18" s="935" customFormat="1" ht="15.75" thickBot="1">
      <c r="A58" s="3864" t="s">
        <v>3794</v>
      </c>
      <c r="B58" s="2714" t="s">
        <v>3785</v>
      </c>
      <c r="C58" s="3856">
        <f ca="1">C59-C61</f>
        <v>0</v>
      </c>
      <c r="D58" s="2715" t="s">
        <v>3789</v>
      </c>
      <c r="E58" s="2737" t="s">
        <v>3432</v>
      </c>
      <c r="F58" s="3418"/>
      <c r="H58" s="491"/>
      <c r="I58" s="970" t="s">
        <v>808</v>
      </c>
      <c r="J58" s="3885"/>
      <c r="K58" s="972" t="s">
        <v>809</v>
      </c>
      <c r="L58" s="3899"/>
      <c r="O58" s="976" t="s">
        <v>399</v>
      </c>
      <c r="P58" s="968" t="s">
        <v>810</v>
      </c>
      <c r="Q58" s="3433">
        <f ca="1">C51</f>
        <v>0</v>
      </c>
      <c r="R58" s="969" t="s">
        <v>803</v>
      </c>
    </row>
    <row r="59" spans="1:18" s="935" customFormat="1" ht="13.5" thickBot="1">
      <c r="A59" s="3871" t="s">
        <v>3395</v>
      </c>
      <c r="B59" s="4487" t="s">
        <v>3783</v>
      </c>
      <c r="C59" s="4488">
        <f ca="1">ROUND(F58*F60*F59/10000,2)</f>
        <v>0</v>
      </c>
      <c r="D59" s="4480" t="s">
        <v>3463</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487"/>
      <c r="C60" s="4489"/>
      <c r="D60" s="4480"/>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3393</v>
      </c>
      <c r="B61" s="3572" t="s">
        <v>3784</v>
      </c>
      <c r="C61" s="3857">
        <f ca="1">ROUND(C59*F61,2)</f>
        <v>0</v>
      </c>
      <c r="D61" s="2715" t="s">
        <v>3788</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0</v>
      </c>
      <c r="K62" s="4484" t="s">
        <v>822</v>
      </c>
      <c r="L62" s="4485"/>
      <c r="O62" s="4038" t="s">
        <v>403</v>
      </c>
      <c r="P62" s="4042" t="s">
        <v>3907</v>
      </c>
      <c r="Q62" s="4041" t="e">
        <f ca="1">ROUND((Q56+Q57)*(1+F31),0)</f>
        <v>#DIV/0!</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t="e">
        <f ca="1">ROUND(IF(J56="钢混",J66/J59,1-(1-2%)*(J59-J66)/J59),3)</f>
        <v>#DIV/0!</v>
      </c>
      <c r="K64" s="992" t="s">
        <v>826</v>
      </c>
      <c r="L64" s="993"/>
      <c r="O64" s="4035" t="s">
        <v>1325</v>
      </c>
      <c r="P64" s="4036" t="s">
        <v>3897</v>
      </c>
      <c r="Q64" s="4037" t="s">
        <v>3898</v>
      </c>
      <c r="R64" s="4037" t="s">
        <v>3899</v>
      </c>
    </row>
    <row r="65" spans="1:18" s="935" customFormat="1" ht="25.5" thickTop="1" thickBot="1">
      <c r="A65" s="199" t="s">
        <v>3668</v>
      </c>
      <c r="B65" s="634" t="s">
        <v>3875</v>
      </c>
      <c r="C65" s="2743" t="e">
        <f ca="1">ROUND(C66+C74+C76+C78,0)</f>
        <v>#VALUE!</v>
      </c>
      <c r="D65" s="634" t="s">
        <v>3895</v>
      </c>
      <c r="E65" s="637"/>
      <c r="F65" s="638"/>
      <c r="I65" s="996" t="s">
        <v>827</v>
      </c>
      <c r="J65" s="3892"/>
      <c r="K65" s="970" t="s">
        <v>828</v>
      </c>
      <c r="L65" s="3887">
        <f ca="1">IF(L57&lt;J60,"——",L57-J62)</f>
        <v>0</v>
      </c>
      <c r="O65" s="4038" t="s">
        <v>397</v>
      </c>
      <c r="P65" s="4039" t="s">
        <v>3900</v>
      </c>
      <c r="Q65" s="4041">
        <f ca="1">C28+J31</f>
        <v>0</v>
      </c>
      <c r="R65" s="4040" t="s">
        <v>3901</v>
      </c>
    </row>
    <row r="66" spans="1:18" s="935" customFormat="1" ht="24.75" thickBot="1">
      <c r="A66" s="519" t="s">
        <v>392</v>
      </c>
      <c r="B66" s="2695" t="s">
        <v>3959</v>
      </c>
      <c r="C66" s="4087" t="e">
        <f ca="1">ROUND(IF(AND(项目基本情况!B11="自然人",项目基本情况!B10="北京市",M56="住宅"),C58*F66,C67+C71+C72),2)</f>
        <v>#VALUE!</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3904</v>
      </c>
      <c r="Q66" s="4043" t="e">
        <f ca="1">L69</f>
        <v>#DIV/0!</v>
      </c>
      <c r="R66" s="4040" t="s">
        <v>3905</v>
      </c>
    </row>
    <row r="67" spans="1:18" s="935" customFormat="1" ht="24.75" thickBot="1">
      <c r="A67" s="4091" t="s">
        <v>391</v>
      </c>
      <c r="B67" s="2713" t="s">
        <v>3955</v>
      </c>
      <c r="C67" s="4087">
        <f ca="1">C70</f>
        <v>0</v>
      </c>
      <c r="D67" s="2430" t="s">
        <v>3954</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v>
      </c>
      <c r="D69" s="3978" t="s">
        <v>3859</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3952</v>
      </c>
      <c r="B70" s="2717" t="s">
        <v>3951</v>
      </c>
      <c r="C70" s="4087">
        <f ca="1">ROUND((C68-C69)*F70,2)</f>
        <v>0</v>
      </c>
      <c r="D70" s="2740" t="s">
        <v>3974</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3962</v>
      </c>
      <c r="C71" s="4087" t="str">
        <f ca="1">IF(项目基本情况!B11="自然人","——",IF(D71="按不含税租金收入（有效毛租金收入）计税",ROUND(C58*F71/(1+'数据-取费表'!C43),2),IF(D71="按房产原值计税",ROUND(F74*F71*0.7,2),INDIRECT("'数据-取费表'!Aj"&amp;$G$1))))</f>
        <v>——</v>
      </c>
      <c r="D71" s="921"/>
      <c r="E71" s="626" t="s">
        <v>768</v>
      </c>
      <c r="F71" s="2765">
        <f t="shared" ref="F71:F73" si="1">F19</f>
        <v>1.2E-2</v>
      </c>
      <c r="I71" s="1009" t="s">
        <v>842</v>
      </c>
      <c r="J71" s="1010" t="s">
        <v>843</v>
      </c>
      <c r="K71" s="1010" t="s">
        <v>844</v>
      </c>
      <c r="L71" s="1010" t="s">
        <v>845</v>
      </c>
      <c r="M71" s="1011" t="s">
        <v>846</v>
      </c>
      <c r="O71" s="4038" t="s">
        <v>403</v>
      </c>
      <c r="P71" s="4042" t="s">
        <v>3907</v>
      </c>
      <c r="Q71" s="4043" t="e">
        <f ca="1">ROUND((Q65+Q66)*(1+F31),0)</f>
        <v>#DIV/0!</v>
      </c>
      <c r="R71" s="4040" t="s">
        <v>3908</v>
      </c>
    </row>
    <row r="72" spans="1:18" s="935" customFormat="1" ht="13.5" thickBot="1">
      <c r="A72" s="4091" t="s">
        <v>769</v>
      </c>
      <c r="B72" s="4083" t="s">
        <v>3957</v>
      </c>
      <c r="C72" s="4088" t="str">
        <f>IF(项目基本情况!B11="自然人","——",ROUND(F72*F73/10000,2))</f>
        <v>——</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3431</v>
      </c>
      <c r="E74" s="3875" t="s">
        <v>3790</v>
      </c>
      <c r="F74" s="3876">
        <f ca="1">C51</f>
        <v>0</v>
      </c>
      <c r="I74" s="1009" t="s">
        <v>851</v>
      </c>
      <c r="J74" s="223">
        <v>40</v>
      </c>
      <c r="K74" s="223">
        <v>30</v>
      </c>
      <c r="L74" s="223">
        <v>50</v>
      </c>
      <c r="M74" s="1012">
        <v>0.02</v>
      </c>
      <c r="O74" s="4038" t="s">
        <v>397</v>
      </c>
      <c r="P74" s="4039" t="s">
        <v>3900</v>
      </c>
      <c r="Q74" s="4041">
        <f ca="1">C28+J31</f>
        <v>0</v>
      </c>
      <c r="R74" s="4040" t="s">
        <v>3901</v>
      </c>
    </row>
    <row r="75" spans="1:18" s="935" customFormat="1" ht="15" thickBot="1">
      <c r="A75" s="3869"/>
      <c r="B75" s="632"/>
      <c r="C75" s="3861"/>
      <c r="D75" s="3863"/>
      <c r="E75" s="626" t="s">
        <v>768</v>
      </c>
      <c r="F75" s="2767">
        <f ca="1">F22</f>
        <v>0</v>
      </c>
      <c r="O75" s="4038" t="s">
        <v>398</v>
      </c>
      <c r="P75" s="4039" t="s">
        <v>3904</v>
      </c>
      <c r="Q75" s="4043" t="e">
        <f ca="1">L69</f>
        <v>#DIV/0!</v>
      </c>
      <c r="R75" s="4040" t="s">
        <v>3906</v>
      </c>
    </row>
    <row r="76" spans="1:18" s="935" customFormat="1" ht="13.5" thickBot="1">
      <c r="A76" s="3868" t="s">
        <v>777</v>
      </c>
      <c r="B76" s="625" t="s">
        <v>727</v>
      </c>
      <c r="C76" s="3860">
        <f ca="1">ROUND(F76*F77,2)</f>
        <v>0</v>
      </c>
      <c r="D76" s="3862" t="s">
        <v>3434</v>
      </c>
      <c r="E76" s="3875" t="s">
        <v>3791</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3856</v>
      </c>
      <c r="E78" s="626" t="s">
        <v>697</v>
      </c>
      <c r="F78" s="2767">
        <f ca="1">F26</f>
        <v>0</v>
      </c>
      <c r="O78" s="976"/>
      <c r="P78" s="968"/>
      <c r="Q78" s="3433"/>
      <c r="R78" s="969"/>
    </row>
    <row r="79" spans="1:18" s="935" customFormat="1" ht="16.5" thickBot="1">
      <c r="A79" s="633" t="s">
        <v>3792</v>
      </c>
      <c r="B79" s="643" t="s">
        <v>737</v>
      </c>
      <c r="C79" s="2743" t="e">
        <f ca="1">C57-C65</f>
        <v>#VALUE!</v>
      </c>
      <c r="D79" s="643" t="s">
        <v>3896</v>
      </c>
      <c r="E79" s="4027"/>
      <c r="F79" s="4028"/>
      <c r="O79" s="976" t="s">
        <v>400</v>
      </c>
      <c r="P79" s="1014" t="s">
        <v>855</v>
      </c>
      <c r="Q79" s="3433">
        <f ca="1">ROUND(Q80-Q81*Q82,0)</f>
        <v>0</v>
      </c>
      <c r="R79" s="969" t="s">
        <v>408</v>
      </c>
    </row>
    <row r="80" spans="1:18" s="935" customFormat="1" ht="13.5" thickBot="1">
      <c r="A80" s="3201" t="s">
        <v>3793</v>
      </c>
      <c r="B80" s="624" t="s">
        <v>759</v>
      </c>
      <c r="C80" s="3912" t="e">
        <f ca="1">ROUND(C79*(1-((1+F82)/(1+F80))^F81)/(F80-F82),0)</f>
        <v>#VALUE!</v>
      </c>
      <c r="D80" s="4029" t="s">
        <v>3881</v>
      </c>
      <c r="E80" s="634" t="s">
        <v>3882</v>
      </c>
      <c r="F80" s="2767">
        <f ca="1">F28</f>
        <v>0</v>
      </c>
      <c r="O80" s="976" t="s">
        <v>405</v>
      </c>
      <c r="P80" s="1014" t="s">
        <v>856</v>
      </c>
      <c r="Q80" s="3433">
        <f ca="1">C27</f>
        <v>0</v>
      </c>
      <c r="R80" s="969" t="s">
        <v>803</v>
      </c>
    </row>
    <row r="81" spans="1:18" s="935" customFormat="1" ht="13.5" thickBot="1">
      <c r="A81" s="3202"/>
      <c r="B81" s="628"/>
      <c r="C81" s="4093"/>
      <c r="D81" s="4030" t="s">
        <v>3886</v>
      </c>
      <c r="E81" s="634" t="s">
        <v>3885</v>
      </c>
      <c r="F81" s="2768">
        <f ca="1">F29</f>
        <v>0</v>
      </c>
      <c r="O81" s="976" t="s">
        <v>406</v>
      </c>
      <c r="P81" s="1014" t="s">
        <v>857</v>
      </c>
      <c r="Q81" s="3433">
        <f ca="1">C52</f>
        <v>0</v>
      </c>
      <c r="R81" s="969" t="s">
        <v>803</v>
      </c>
    </row>
    <row r="82" spans="1:18" s="935" customFormat="1" ht="13.5" thickBot="1">
      <c r="A82" s="3203"/>
      <c r="B82" s="2783"/>
      <c r="C82" s="2783"/>
      <c r="D82" s="4031"/>
      <c r="E82" s="634" t="s">
        <v>3887</v>
      </c>
      <c r="F82" s="2762"/>
      <c r="O82" s="976" t="s">
        <v>407</v>
      </c>
      <c r="P82" s="1014" t="s">
        <v>858</v>
      </c>
      <c r="Q82" s="3430">
        <f ca="1">C88</f>
        <v>0</v>
      </c>
      <c r="R82" s="969"/>
    </row>
    <row r="83" spans="1:18" s="935" customFormat="1" ht="13.5" thickBot="1">
      <c r="A83" s="630" t="s">
        <v>3796</v>
      </c>
      <c r="B83" s="2742" t="s">
        <v>3438</v>
      </c>
      <c r="C83" s="3853" t="e">
        <f ca="1">ROUND(C80*(1+F31),0)</f>
        <v>#VALUE!</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#VALUE!</v>
      </c>
      <c r="D84" s="4034" t="s">
        <v>3890</v>
      </c>
      <c r="E84" s="648" t="s">
        <v>3891</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t="e">
        <f ca="1">ROUND((Q74+Q75)*(1+F31),0)</f>
        <v>#DIV/0!</v>
      </c>
      <c r="R86" s="4040" t="s">
        <v>3908</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Normal="70" zoomScaleSheetLayoutView="100" workbookViewId="0">
      <selection activeCell="D105" sqref="D10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t="s">
        <v>19</v>
      </c>
      <c r="E1" s="2475" t="s">
        <v>4075</v>
      </c>
      <c r="F1" s="1353" t="s">
        <v>4076</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118.6356</v>
      </c>
      <c r="C2" s="2784" t="s">
        <v>4068</v>
      </c>
      <c r="D2" s="229">
        <f>IF(E1="项目模式",IF(E2="——",ROUND(C50*D3/10000,0),ROUND(C50*D3/10000,0)-F2),IF(E1="单套模式",IF(E2="——",ROUND(C50*D3/10000,4),ROUND(C50*D3/10000,4)-F2)))</f>
        <v>118.6356</v>
      </c>
      <c r="E2" s="1355" t="s">
        <v>41</v>
      </c>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21933</v>
      </c>
      <c r="C3" s="234" t="s">
        <v>1675</v>
      </c>
      <c r="D3" s="2880">
        <f>IF(D1="",'数据-汇总表'!E3,SUMIF('数据-汇总表'!$C19:$C33,D1,'数据-汇总表'!$E19:$E33))</f>
        <v>54.09</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09" t="s">
        <v>1677</v>
      </c>
      <c r="D4" s="4510"/>
      <c r="E4" s="4511" t="s">
        <v>1678</v>
      </c>
      <c r="F4" s="4512"/>
      <c r="G4" s="4509" t="s">
        <v>1679</v>
      </c>
      <c r="H4" s="4510"/>
      <c r="I4" s="4509" t="s">
        <v>1680</v>
      </c>
      <c r="J4" s="4510"/>
      <c r="K4" s="393" t="s">
        <v>1681</v>
      </c>
      <c r="L4" s="1974"/>
      <c r="M4" s="1975"/>
      <c r="N4" s="1975"/>
      <c r="O4" s="1975"/>
      <c r="P4" s="4513" t="s">
        <v>1682</v>
      </c>
      <c r="Q4" s="4514"/>
      <c r="R4" s="4519" t="s">
        <v>1678</v>
      </c>
      <c r="S4" s="4520"/>
      <c r="T4" s="4519" t="s">
        <v>1679</v>
      </c>
      <c r="U4" s="4520"/>
      <c r="V4" s="4525" t="s">
        <v>1680</v>
      </c>
      <c r="W4" s="4525"/>
      <c r="X4" s="1413"/>
      <c r="Y4" s="4535" t="s">
        <v>1682</v>
      </c>
      <c r="Z4" s="4536"/>
      <c r="AA4" s="4544" t="s">
        <v>1678</v>
      </c>
      <c r="AB4" s="4544" t="s">
        <v>1679</v>
      </c>
      <c r="AC4" s="4506" t="s">
        <v>1680</v>
      </c>
    </row>
    <row r="5" spans="1:29" ht="15">
      <c r="A5" s="238"/>
      <c r="B5" s="239"/>
      <c r="C5" s="4529" t="s">
        <v>4077</v>
      </c>
      <c r="D5" s="4530"/>
      <c r="E5" s="4547" t="s">
        <v>4077</v>
      </c>
      <c r="F5" s="4548"/>
      <c r="G5" s="4529" t="s">
        <v>4077</v>
      </c>
      <c r="H5" s="4530"/>
      <c r="I5" s="4529" t="s">
        <v>4077</v>
      </c>
      <c r="J5" s="4530"/>
      <c r="K5" s="393"/>
      <c r="L5" s="1974"/>
      <c r="M5" s="1975"/>
      <c r="N5" s="1975"/>
      <c r="O5" s="1975"/>
      <c r="P5" s="4515"/>
      <c r="Q5" s="4516"/>
      <c r="R5" s="4521"/>
      <c r="S5" s="4522"/>
      <c r="T5" s="4521"/>
      <c r="U5" s="4522"/>
      <c r="V5" s="4526"/>
      <c r="W5" s="4526"/>
      <c r="X5" s="909"/>
      <c r="Y5" s="4537"/>
      <c r="Z5" s="4538"/>
      <c r="AA5" s="4545"/>
      <c r="AB5" s="4545"/>
      <c r="AC5" s="4507"/>
    </row>
    <row r="6" spans="1:29" ht="15.75" thickBot="1">
      <c r="A6" s="240"/>
      <c r="B6" s="241"/>
      <c r="C6" s="4527"/>
      <c r="D6" s="4528"/>
      <c r="E6" s="4542"/>
      <c r="F6" s="4543"/>
      <c r="G6" s="4527"/>
      <c r="H6" s="4528"/>
      <c r="I6" s="4527"/>
      <c r="J6" s="4528"/>
      <c r="K6" s="393" t="s">
        <v>1585</v>
      </c>
      <c r="L6" s="1974"/>
      <c r="M6" s="1975"/>
      <c r="N6" s="1975"/>
      <c r="O6" s="1975"/>
      <c r="P6" s="4517"/>
      <c r="Q6" s="4518"/>
      <c r="R6" s="4521"/>
      <c r="S6" s="4522"/>
      <c r="T6" s="4523"/>
      <c r="U6" s="4524"/>
      <c r="V6" s="4526"/>
      <c r="W6" s="4526"/>
      <c r="X6" s="909"/>
      <c r="Y6" s="4539"/>
      <c r="Z6" s="4540"/>
      <c r="AA6" s="4546"/>
      <c r="AB6" s="4546"/>
      <c r="AC6" s="4508"/>
    </row>
    <row r="7" spans="1:29" s="46" customFormat="1" ht="15.75" thickBot="1">
      <c r="A7" s="242" t="s">
        <v>1586</v>
      </c>
      <c r="B7" s="243"/>
      <c r="C7" s="244">
        <f>'数据-取费表'!B2</f>
        <v>46092</v>
      </c>
      <c r="D7" s="2898">
        <v>100</v>
      </c>
      <c r="E7" s="245">
        <f>C7</f>
        <v>46092</v>
      </c>
      <c r="F7" s="3747">
        <f>SUMIF(59:59,YEAR(E7)&amp;"-"&amp;MONTH(E7),60:60)</f>
        <v>100</v>
      </c>
      <c r="G7" s="245">
        <f>E7</f>
        <v>46092</v>
      </c>
      <c r="H7" s="3753">
        <f>SUMIF(59:59,YEAR(G7)&amp;"-"&amp;MONTH(G7),60:60)</f>
        <v>100</v>
      </c>
      <c r="I7" s="245">
        <f>G7</f>
        <v>46092</v>
      </c>
      <c r="J7" s="3753">
        <f>SUMIF(59:59,YEAR(I7)&amp;"-"&amp;MONTH(I7),60:60)</f>
        <v>100</v>
      </c>
      <c r="K7" s="22"/>
      <c r="L7" s="1976"/>
      <c r="M7" s="1929"/>
      <c r="N7" s="1929"/>
      <c r="O7" s="1929"/>
      <c r="P7" s="4531" t="s">
        <v>1587</v>
      </c>
      <c r="Q7" s="4541"/>
      <c r="R7" s="3633" t="s">
        <v>13</v>
      </c>
      <c r="S7" s="3156">
        <f t="shared" ref="S7:S15" si="0">F7</f>
        <v>100</v>
      </c>
      <c r="T7" s="3633" t="s">
        <v>13</v>
      </c>
      <c r="U7" s="3156">
        <f t="shared" ref="U7:U15" si="1">H7</f>
        <v>100</v>
      </c>
      <c r="V7" s="3633" t="s">
        <v>13</v>
      </c>
      <c r="W7" s="3156">
        <f t="shared" ref="W7:W15" si="2">J7</f>
        <v>100</v>
      </c>
      <c r="X7" s="482"/>
      <c r="Y7" s="4533" t="s">
        <v>1587</v>
      </c>
      <c r="Z7" s="4534"/>
      <c r="AA7" s="28">
        <f>D7/F7</f>
        <v>1</v>
      </c>
      <c r="AB7" s="28">
        <f>D7/H7</f>
        <v>1</v>
      </c>
      <c r="AC7" s="545">
        <f>D7/J7</f>
        <v>1</v>
      </c>
    </row>
    <row r="8" spans="1:29" s="46" customFormat="1" ht="15.75" thickBot="1">
      <c r="A8" s="242" t="s">
        <v>1588</v>
      </c>
      <c r="B8" s="243"/>
      <c r="C8" s="246" t="s">
        <v>4078</v>
      </c>
      <c r="D8" s="2898">
        <v>100</v>
      </c>
      <c r="E8" s="246" t="s">
        <v>4080</v>
      </c>
      <c r="F8" s="3747">
        <f>SUMIF(62:62,E8,63:63)-SUMIF(62:62,C8,63:63)+100</f>
        <v>105</v>
      </c>
      <c r="G8" s="246" t="s">
        <v>4080</v>
      </c>
      <c r="H8" s="3753">
        <f>SUMIF(62:62,G8,63:63)-SUMIF(62:62,C8,63:63)+100</f>
        <v>105</v>
      </c>
      <c r="I8" s="246" t="s">
        <v>4080</v>
      </c>
      <c r="J8" s="3753">
        <f>SUMIF(62:62,I8,63:63)-SUMIF(62:62,C8,63:63)+100</f>
        <v>105</v>
      </c>
      <c r="K8" s="22"/>
      <c r="L8" s="1976"/>
      <c r="M8" s="1929"/>
      <c r="N8" s="1929"/>
      <c r="O8" s="1929"/>
      <c r="P8" s="4531" t="s">
        <v>1590</v>
      </c>
      <c r="Q8" s="4532"/>
      <c r="R8" s="3633" t="s">
        <v>13</v>
      </c>
      <c r="S8" s="3156">
        <f t="shared" si="0"/>
        <v>105</v>
      </c>
      <c r="T8" s="3633" t="s">
        <v>13</v>
      </c>
      <c r="U8" s="3156">
        <f t="shared" si="1"/>
        <v>105</v>
      </c>
      <c r="V8" s="3633" t="s">
        <v>13</v>
      </c>
      <c r="W8" s="3156">
        <f t="shared" si="2"/>
        <v>105</v>
      </c>
      <c r="X8" s="482"/>
      <c r="Y8" s="4533" t="s">
        <v>1590</v>
      </c>
      <c r="Z8" s="4534"/>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4079</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490" t="s">
        <v>1593</v>
      </c>
      <c r="Q9" s="1698" t="str">
        <f t="shared" ref="Q9:Q15" si="6">B9</f>
        <v>用途</v>
      </c>
      <c r="R9" s="3633" t="s">
        <v>13</v>
      </c>
      <c r="S9" s="3156">
        <f t="shared" si="0"/>
        <v>100</v>
      </c>
      <c r="T9" s="3633" t="s">
        <v>13</v>
      </c>
      <c r="U9" s="3156">
        <f t="shared" si="1"/>
        <v>100</v>
      </c>
      <c r="V9" s="3633" t="s">
        <v>13</v>
      </c>
      <c r="W9" s="3156">
        <f t="shared" si="2"/>
        <v>100</v>
      </c>
      <c r="X9" s="482"/>
      <c r="Y9" s="4505" t="s">
        <v>1594</v>
      </c>
      <c r="Z9" s="28" t="str">
        <f t="shared" ref="Z9:Z15" si="7">Q9</f>
        <v>用途</v>
      </c>
      <c r="AA9" s="28">
        <f t="shared" si="3"/>
        <v>1</v>
      </c>
      <c r="AB9" s="28">
        <f t="shared" si="4"/>
        <v>1</v>
      </c>
      <c r="AC9" s="545">
        <f t="shared" si="5"/>
        <v>1</v>
      </c>
    </row>
    <row r="10" spans="1:29" s="253" customFormat="1" ht="27">
      <c r="A10" s="251"/>
      <c r="B10" s="252" t="s">
        <v>1595</v>
      </c>
      <c r="C10" s="2476" t="s">
        <v>4081</v>
      </c>
      <c r="D10" s="2900">
        <v>100</v>
      </c>
      <c r="E10" s="2476" t="s">
        <v>4081</v>
      </c>
      <c r="F10" s="422">
        <f>SUMIF(66:66,E10,67:67)-SUMIF(66:66,C10,67:67)+100</f>
        <v>100</v>
      </c>
      <c r="G10" s="2477" t="s">
        <v>4081</v>
      </c>
      <c r="H10" s="422">
        <f>SUMIF(66:66,G10,67:67)-SUMIF(66:66,C10,67:67)+100</f>
        <v>100</v>
      </c>
      <c r="I10" s="2476" t="s">
        <v>4081</v>
      </c>
      <c r="J10" s="422">
        <f>SUMIF(66:66,I10,67:67)-SUMIF(66:66,C10,67:67)+100</f>
        <v>100</v>
      </c>
      <c r="K10" s="22"/>
      <c r="L10" s="1977"/>
      <c r="M10" s="1978"/>
      <c r="N10" s="1978"/>
      <c r="O10" s="1978"/>
      <c r="P10" s="4490"/>
      <c r="Q10" s="1698" t="str">
        <f t="shared" si="6"/>
        <v>土地使用年限（年）</v>
      </c>
      <c r="R10" s="3633" t="s">
        <v>13</v>
      </c>
      <c r="S10" s="3156">
        <f t="shared" si="0"/>
        <v>100</v>
      </c>
      <c r="T10" s="3633" t="s">
        <v>13</v>
      </c>
      <c r="U10" s="3156">
        <f t="shared" si="1"/>
        <v>100</v>
      </c>
      <c r="V10" s="3633" t="s">
        <v>13</v>
      </c>
      <c r="W10" s="3156">
        <f t="shared" si="2"/>
        <v>100</v>
      </c>
      <c r="X10" s="482"/>
      <c r="Y10" s="4505"/>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90"/>
      <c r="Q11" s="1698" t="str">
        <f t="shared" si="6"/>
        <v>容积率</v>
      </c>
      <c r="R11" s="3633" t="s">
        <v>13</v>
      </c>
      <c r="S11" s="3156">
        <f t="shared" si="0"/>
        <v>100</v>
      </c>
      <c r="T11" s="3633" t="s">
        <v>13</v>
      </c>
      <c r="U11" s="3156">
        <f t="shared" si="1"/>
        <v>100</v>
      </c>
      <c r="V11" s="3633" t="s">
        <v>13</v>
      </c>
      <c r="W11" s="3156">
        <f t="shared" si="2"/>
        <v>100</v>
      </c>
      <c r="X11" s="482"/>
      <c r="Y11" s="4505"/>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90"/>
      <c r="Q12" s="1698">
        <f t="shared" si="6"/>
        <v>111</v>
      </c>
      <c r="R12" s="3633" t="s">
        <v>13</v>
      </c>
      <c r="S12" s="3156">
        <f t="shared" si="0"/>
        <v>100</v>
      </c>
      <c r="T12" s="3633" t="s">
        <v>13</v>
      </c>
      <c r="U12" s="3156">
        <f t="shared" si="1"/>
        <v>100</v>
      </c>
      <c r="V12" s="3633" t="s">
        <v>13</v>
      </c>
      <c r="W12" s="3156">
        <f t="shared" si="2"/>
        <v>100</v>
      </c>
      <c r="X12" s="482"/>
      <c r="Y12" s="4505"/>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490"/>
      <c r="Q13" s="1698">
        <f t="shared" si="6"/>
        <v>111</v>
      </c>
      <c r="R13" s="3633" t="s">
        <v>13</v>
      </c>
      <c r="S13" s="3156">
        <f t="shared" si="0"/>
        <v>100</v>
      </c>
      <c r="T13" s="3633" t="s">
        <v>13</v>
      </c>
      <c r="U13" s="3156">
        <f t="shared" si="1"/>
        <v>100</v>
      </c>
      <c r="V13" s="3633" t="s">
        <v>13</v>
      </c>
      <c r="W13" s="3156">
        <f t="shared" si="2"/>
        <v>100</v>
      </c>
      <c r="X13" s="482"/>
      <c r="Y13" s="4505"/>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490"/>
      <c r="Q14" s="1698">
        <f t="shared" si="6"/>
        <v>111</v>
      </c>
      <c r="R14" s="3633" t="s">
        <v>13</v>
      </c>
      <c r="S14" s="3156">
        <f t="shared" si="0"/>
        <v>100</v>
      </c>
      <c r="T14" s="3633" t="s">
        <v>13</v>
      </c>
      <c r="U14" s="3156">
        <f t="shared" si="1"/>
        <v>100</v>
      </c>
      <c r="V14" s="3633" t="s">
        <v>13</v>
      </c>
      <c r="W14" s="3156">
        <f t="shared" si="2"/>
        <v>100</v>
      </c>
      <c r="X14" s="482"/>
      <c r="Y14" s="4505"/>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v>3</v>
      </c>
      <c r="L15" s="1980"/>
      <c r="M15" s="1975"/>
      <c r="N15" s="1975"/>
      <c r="O15" s="1975"/>
      <c r="P15" s="4496" t="s">
        <v>1598</v>
      </c>
      <c r="Q15" s="1507" t="str">
        <f t="shared" si="6"/>
        <v>办公集聚程度</v>
      </c>
      <c r="R15" s="3735" t="s">
        <v>13</v>
      </c>
      <c r="S15" s="3157">
        <f t="shared" si="0"/>
        <v>100</v>
      </c>
      <c r="T15" s="3735" t="s">
        <v>13</v>
      </c>
      <c r="U15" s="3157">
        <f t="shared" si="1"/>
        <v>100</v>
      </c>
      <c r="V15" s="3735" t="s">
        <v>13</v>
      </c>
      <c r="W15" s="3157">
        <f t="shared" si="2"/>
        <v>100</v>
      </c>
      <c r="X15" s="909"/>
      <c r="Y15" s="4498" t="s">
        <v>1598</v>
      </c>
      <c r="Z15" s="907" t="str">
        <f t="shared" si="7"/>
        <v>办公集聚程度</v>
      </c>
      <c r="AA15" s="907">
        <f t="shared" si="3"/>
        <v>1</v>
      </c>
      <c r="AB15" s="907">
        <f t="shared" si="4"/>
        <v>1</v>
      </c>
      <c r="AC15" s="1416">
        <f t="shared" si="5"/>
        <v>1</v>
      </c>
    </row>
    <row r="16" spans="1:29" ht="15">
      <c r="A16" s="254"/>
      <c r="B16" s="404"/>
      <c r="C16" s="1368" t="s">
        <v>3602</v>
      </c>
      <c r="D16" s="2905"/>
      <c r="E16" s="266" t="s">
        <v>3602</v>
      </c>
      <c r="F16" s="267"/>
      <c r="G16" s="1368" t="s">
        <v>3602</v>
      </c>
      <c r="H16" s="268"/>
      <c r="I16" s="266" t="s">
        <v>3602</v>
      </c>
      <c r="J16" s="267"/>
      <c r="K16" s="397"/>
      <c r="L16" s="1980"/>
      <c r="M16" s="1975"/>
      <c r="N16" s="1975"/>
      <c r="O16" s="1975"/>
      <c r="P16" s="4497"/>
      <c r="Q16" s="1507"/>
      <c r="R16" s="3735"/>
      <c r="S16" s="3157"/>
      <c r="T16" s="3735"/>
      <c r="U16" s="3157"/>
      <c r="V16" s="3735"/>
      <c r="W16" s="3157"/>
      <c r="X16" s="909"/>
      <c r="Y16" s="4499"/>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v>3</v>
      </c>
      <c r="L17" s="1980"/>
      <c r="M17" s="1975"/>
      <c r="N17" s="1975"/>
      <c r="O17" s="1975"/>
      <c r="P17" s="4497"/>
      <c r="Q17" s="1507" t="str">
        <f>B17</f>
        <v>交通便捷度</v>
      </c>
      <c r="R17" s="3735" t="s">
        <v>13</v>
      </c>
      <c r="S17" s="3157">
        <f>F17</f>
        <v>100</v>
      </c>
      <c r="T17" s="3735" t="s">
        <v>13</v>
      </c>
      <c r="U17" s="3157">
        <f>H17</f>
        <v>100</v>
      </c>
      <c r="V17" s="3735" t="s">
        <v>13</v>
      </c>
      <c r="W17" s="3157">
        <f>J17</f>
        <v>100</v>
      </c>
      <c r="X17" s="909"/>
      <c r="Y17" s="4499"/>
      <c r="Z17" s="907" t="str">
        <f>Q17</f>
        <v>交通便捷度</v>
      </c>
      <c r="AA17" s="907">
        <f t="shared" si="3"/>
        <v>1</v>
      </c>
      <c r="AB17" s="907">
        <f t="shared" si="4"/>
        <v>1</v>
      </c>
      <c r="AC17" s="1416">
        <f t="shared" si="5"/>
        <v>1</v>
      </c>
    </row>
    <row r="18" spans="1:29" ht="15">
      <c r="A18" s="254"/>
      <c r="B18" s="406"/>
      <c r="C18" s="1418" t="s">
        <v>3603</v>
      </c>
      <c r="D18" s="2906"/>
      <c r="E18" s="1366" t="s">
        <v>3603</v>
      </c>
      <c r="F18" s="268"/>
      <c r="G18" s="1367" t="s">
        <v>3603</v>
      </c>
      <c r="H18" s="267"/>
      <c r="I18" s="1367" t="s">
        <v>3603</v>
      </c>
      <c r="J18" s="267"/>
      <c r="K18" s="397"/>
      <c r="L18" s="1980"/>
      <c r="M18" s="1975"/>
      <c r="N18" s="1975"/>
      <c r="O18" s="1975"/>
      <c r="P18" s="4497"/>
      <c r="Q18" s="1507"/>
      <c r="R18" s="3735"/>
      <c r="S18" s="3157"/>
      <c r="T18" s="3735"/>
      <c r="U18" s="3157"/>
      <c r="V18" s="3735"/>
      <c r="W18" s="3157"/>
      <c r="X18" s="909"/>
      <c r="Y18" s="4499"/>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v>3</v>
      </c>
      <c r="L19" s="1980"/>
      <c r="M19" s="1975"/>
      <c r="N19" s="1975"/>
      <c r="O19" s="1975"/>
      <c r="P19" s="4497"/>
      <c r="Q19" s="1507" t="str">
        <f>B19</f>
        <v>公共配套设施</v>
      </c>
      <c r="R19" s="3735" t="s">
        <v>13</v>
      </c>
      <c r="S19" s="3157">
        <f>F19</f>
        <v>100</v>
      </c>
      <c r="T19" s="3735" t="s">
        <v>13</v>
      </c>
      <c r="U19" s="3157">
        <f>H19</f>
        <v>100</v>
      </c>
      <c r="V19" s="3735" t="s">
        <v>13</v>
      </c>
      <c r="W19" s="3157">
        <f>J19</f>
        <v>100</v>
      </c>
      <c r="X19" s="909"/>
      <c r="Y19" s="4499"/>
      <c r="Z19" s="907" t="str">
        <f>Q19</f>
        <v>公共配套设施</v>
      </c>
      <c r="AA19" s="907">
        <f t="shared" si="3"/>
        <v>1</v>
      </c>
      <c r="AB19" s="907">
        <f t="shared" si="4"/>
        <v>1</v>
      </c>
      <c r="AC19" s="1416">
        <f t="shared" si="5"/>
        <v>1</v>
      </c>
    </row>
    <row r="20" spans="1:29" ht="15">
      <c r="A20" s="254"/>
      <c r="B20" s="406"/>
      <c r="C20" s="1368" t="s">
        <v>3603</v>
      </c>
      <c r="D20" s="2905"/>
      <c r="E20" s="1362" t="s">
        <v>3603</v>
      </c>
      <c r="F20" s="267"/>
      <c r="G20" s="1363" t="s">
        <v>3603</v>
      </c>
      <c r="H20" s="267"/>
      <c r="I20" s="1363" t="s">
        <v>3603</v>
      </c>
      <c r="J20" s="267"/>
      <c r="K20" s="397"/>
      <c r="L20" s="1980"/>
      <c r="M20" s="1975"/>
      <c r="N20" s="1975"/>
      <c r="O20" s="1975"/>
      <c r="P20" s="4497"/>
      <c r="Q20" s="1507"/>
      <c r="R20" s="3735"/>
      <c r="S20" s="3157"/>
      <c r="T20" s="3735"/>
      <c r="U20" s="3157"/>
      <c r="V20" s="3735"/>
      <c r="W20" s="3157"/>
      <c r="X20" s="909"/>
      <c r="Y20" s="4499"/>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v>2</v>
      </c>
      <c r="L21" s="1980"/>
      <c r="M21" s="1975"/>
      <c r="N21" s="1975"/>
      <c r="O21" s="1975"/>
      <c r="P21" s="4497"/>
      <c r="Q21" s="1507" t="str">
        <f>B21</f>
        <v>基础设施水平</v>
      </c>
      <c r="R21" s="3735" t="s">
        <v>13</v>
      </c>
      <c r="S21" s="3157">
        <f>F21</f>
        <v>100</v>
      </c>
      <c r="T21" s="3735" t="s">
        <v>13</v>
      </c>
      <c r="U21" s="3157">
        <f>H21</f>
        <v>100</v>
      </c>
      <c r="V21" s="3735" t="s">
        <v>13</v>
      </c>
      <c r="W21" s="3157">
        <f>J21</f>
        <v>100</v>
      </c>
      <c r="X21" s="909"/>
      <c r="Y21" s="4499"/>
      <c r="Z21" s="907" t="str">
        <f>Q21</f>
        <v>基础设施水平</v>
      </c>
      <c r="AA21" s="907">
        <f t="shared" ref="AA21" si="8">D21/F21</f>
        <v>1</v>
      </c>
      <c r="AB21" s="907">
        <f t="shared" ref="AB21" si="9">D21/H21</f>
        <v>1</v>
      </c>
      <c r="AC21" s="1416">
        <f t="shared" ref="AC21" si="10">D21/J21</f>
        <v>1</v>
      </c>
    </row>
    <row r="22" spans="1:29" ht="15">
      <c r="A22" s="254"/>
      <c r="B22" s="407"/>
      <c r="C22" s="1418" t="s">
        <v>3604</v>
      </c>
      <c r="D22" s="2905"/>
      <c r="E22" s="266" t="s">
        <v>3604</v>
      </c>
      <c r="F22" s="267"/>
      <c r="G22" s="1368" t="s">
        <v>3604</v>
      </c>
      <c r="H22" s="267"/>
      <c r="I22" s="1368" t="s">
        <v>3604</v>
      </c>
      <c r="J22" s="267"/>
      <c r="K22" s="758"/>
      <c r="L22" s="1980"/>
      <c r="M22" s="1975"/>
      <c r="N22" s="1975"/>
      <c r="O22" s="1975"/>
      <c r="P22" s="4497"/>
      <c r="Q22" s="1507"/>
      <c r="R22" s="3735"/>
      <c r="S22" s="3157"/>
      <c r="T22" s="3735"/>
      <c r="U22" s="3157"/>
      <c r="V22" s="3735"/>
      <c r="W22" s="3157"/>
      <c r="X22" s="909"/>
      <c r="Y22" s="4499"/>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v>3</v>
      </c>
      <c r="L23" s="1980"/>
      <c r="M23" s="1975"/>
      <c r="N23" s="1975"/>
      <c r="O23" s="1975"/>
      <c r="P23" s="4497"/>
      <c r="Q23" s="1507" t="str">
        <f>B23</f>
        <v>环境质量</v>
      </c>
      <c r="R23" s="3735" t="s">
        <v>13</v>
      </c>
      <c r="S23" s="3157">
        <f>F23</f>
        <v>100</v>
      </c>
      <c r="T23" s="3735" t="s">
        <v>13</v>
      </c>
      <c r="U23" s="3157">
        <f>H23</f>
        <v>100</v>
      </c>
      <c r="V23" s="3735" t="s">
        <v>13</v>
      </c>
      <c r="W23" s="3157">
        <f>J23</f>
        <v>100</v>
      </c>
      <c r="X23" s="909"/>
      <c r="Y23" s="4499"/>
      <c r="Z23" s="907" t="str">
        <f>Q23</f>
        <v>环境质量</v>
      </c>
      <c r="AA23" s="907">
        <f t="shared" si="3"/>
        <v>1</v>
      </c>
      <c r="AB23" s="907">
        <f t="shared" si="4"/>
        <v>1</v>
      </c>
      <c r="AC23" s="1416">
        <f t="shared" si="5"/>
        <v>1</v>
      </c>
    </row>
    <row r="24" spans="1:29" ht="15">
      <c r="A24" s="254"/>
      <c r="B24" s="407"/>
      <c r="C24" s="1368" t="s">
        <v>3602</v>
      </c>
      <c r="D24" s="2905"/>
      <c r="E24" s="1362" t="s">
        <v>3602</v>
      </c>
      <c r="F24" s="267"/>
      <c r="G24" s="1363" t="s">
        <v>3602</v>
      </c>
      <c r="H24" s="267"/>
      <c r="I24" s="1363" t="s">
        <v>3602</v>
      </c>
      <c r="J24" s="267"/>
      <c r="K24" s="397"/>
      <c r="L24" s="1980"/>
      <c r="M24" s="1975"/>
      <c r="N24" s="1975"/>
      <c r="O24" s="1975"/>
      <c r="P24" s="4497"/>
      <c r="Q24" s="1507"/>
      <c r="R24" s="3735"/>
      <c r="S24" s="3157"/>
      <c r="T24" s="3735"/>
      <c r="U24" s="3157"/>
      <c r="V24" s="3735"/>
      <c r="W24" s="3157"/>
      <c r="X24" s="909"/>
      <c r="Y24" s="4499"/>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497"/>
      <c r="Q25" s="1507" t="str">
        <f>B25</f>
        <v>毗邻道路的类型与等级</v>
      </c>
      <c r="R25" s="3735" t="s">
        <v>13</v>
      </c>
      <c r="S25" s="3157">
        <f>F25</f>
        <v>100</v>
      </c>
      <c r="T25" s="3735" t="s">
        <v>13</v>
      </c>
      <c r="U25" s="3157">
        <f>H25</f>
        <v>100</v>
      </c>
      <c r="V25" s="3735" t="s">
        <v>13</v>
      </c>
      <c r="W25" s="3157">
        <f>J25</f>
        <v>100</v>
      </c>
      <c r="X25" s="909"/>
      <c r="Y25" s="4499"/>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497"/>
      <c r="Q26" s="1507"/>
      <c r="R26" s="3735"/>
      <c r="S26" s="3157"/>
      <c r="T26" s="3735"/>
      <c r="U26" s="3157"/>
      <c r="V26" s="3735"/>
      <c r="W26" s="3157"/>
      <c r="X26" s="909"/>
      <c r="Y26" s="4499"/>
      <c r="Z26" s="907"/>
      <c r="AA26" s="907">
        <v>1</v>
      </c>
      <c r="AB26" s="907">
        <v>1</v>
      </c>
      <c r="AC26" s="1416">
        <v>1</v>
      </c>
    </row>
    <row r="27" spans="1:29" ht="15">
      <c r="A27" s="254"/>
      <c r="B27" s="406" t="s">
        <v>1690</v>
      </c>
      <c r="C27" s="4259" t="s">
        <v>4089</v>
      </c>
      <c r="D27" s="2902">
        <v>100</v>
      </c>
      <c r="E27" s="398" t="s">
        <v>4082</v>
      </c>
      <c r="F27" s="3751">
        <f>SUMIF(89:89,E27,90:90)-SUMIF(89:89,C27,90:90)+100</f>
        <v>96</v>
      </c>
      <c r="G27" s="408" t="s">
        <v>4090</v>
      </c>
      <c r="H27" s="3751">
        <f>SUMIF(89:89,G27,90:90)-SUMIF(89:89,C27,90:90)+100</f>
        <v>98</v>
      </c>
      <c r="I27" s="398" t="s">
        <v>4090</v>
      </c>
      <c r="J27" s="3751">
        <f>SUMIF(89:89,I27,90:90)-SUMIF(89:89,C27,90:90)+100</f>
        <v>98</v>
      </c>
      <c r="K27" s="394">
        <v>2</v>
      </c>
      <c r="L27" s="1980"/>
      <c r="M27" s="1975"/>
      <c r="N27" s="1975"/>
      <c r="O27" s="1975"/>
      <c r="P27" s="4497"/>
      <c r="Q27" s="1507" t="str">
        <f t="shared" ref="Q27:Q47" si="11">B27</f>
        <v>楼层</v>
      </c>
      <c r="R27" s="3735" t="s">
        <v>13</v>
      </c>
      <c r="S27" s="3157">
        <f>F27</f>
        <v>96</v>
      </c>
      <c r="T27" s="3735" t="s">
        <v>13</v>
      </c>
      <c r="U27" s="3157">
        <f>H27</f>
        <v>98</v>
      </c>
      <c r="V27" s="3735" t="s">
        <v>13</v>
      </c>
      <c r="W27" s="3157">
        <f>J27</f>
        <v>98</v>
      </c>
      <c r="X27" s="909"/>
      <c r="Y27" s="4499"/>
      <c r="Z27" s="907" t="str">
        <f>Q27</f>
        <v>楼层</v>
      </c>
      <c r="AA27" s="907">
        <f t="shared" si="3"/>
        <v>1.0416666666666667</v>
      </c>
      <c r="AB27" s="907">
        <f t="shared" si="4"/>
        <v>1.0204081632653061</v>
      </c>
      <c r="AC27" s="1416">
        <f t="shared" si="5"/>
        <v>1.0204081632653061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97"/>
      <c r="Q28" s="1698" t="str">
        <f t="shared" si="11"/>
        <v>朝向</v>
      </c>
      <c r="R28" s="3633" t="s">
        <v>13</v>
      </c>
      <c r="S28" s="3156">
        <f>F28</f>
        <v>100</v>
      </c>
      <c r="T28" s="3633" t="s">
        <v>13</v>
      </c>
      <c r="U28" s="3156">
        <f>H28</f>
        <v>100</v>
      </c>
      <c r="V28" s="3633" t="s">
        <v>13</v>
      </c>
      <c r="W28" s="3156">
        <f>J28</f>
        <v>100</v>
      </c>
      <c r="X28" s="482"/>
      <c r="Y28" s="4499"/>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497"/>
      <c r="Q29" s="1507">
        <f t="shared" si="11"/>
        <v>111</v>
      </c>
      <c r="R29" s="3735" t="s">
        <v>13</v>
      </c>
      <c r="S29" s="3157">
        <f t="shared" ref="S29:S47" si="12">F29</f>
        <v>100</v>
      </c>
      <c r="T29" s="3735" t="s">
        <v>13</v>
      </c>
      <c r="U29" s="3157">
        <f t="shared" ref="U29:U47" si="13">H29</f>
        <v>100</v>
      </c>
      <c r="V29" s="3735" t="s">
        <v>13</v>
      </c>
      <c r="W29" s="3157">
        <f t="shared" ref="W29:W47" si="14">J29</f>
        <v>100</v>
      </c>
      <c r="X29" s="909"/>
      <c r="Y29" s="4499"/>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497"/>
      <c r="Q30" s="1507">
        <f t="shared" si="11"/>
        <v>111</v>
      </c>
      <c r="R30" s="3735" t="s">
        <v>13</v>
      </c>
      <c r="S30" s="3157">
        <f t="shared" si="12"/>
        <v>100</v>
      </c>
      <c r="T30" s="3735" t="s">
        <v>13</v>
      </c>
      <c r="U30" s="3157">
        <f t="shared" si="13"/>
        <v>100</v>
      </c>
      <c r="V30" s="3735" t="s">
        <v>13</v>
      </c>
      <c r="W30" s="3157">
        <f t="shared" si="14"/>
        <v>100</v>
      </c>
      <c r="X30" s="909"/>
      <c r="Y30" s="4499"/>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497"/>
      <c r="Q31" s="1507">
        <f t="shared" si="11"/>
        <v>111</v>
      </c>
      <c r="R31" s="3735" t="s">
        <v>13</v>
      </c>
      <c r="S31" s="3157">
        <f t="shared" si="12"/>
        <v>100</v>
      </c>
      <c r="T31" s="3735" t="s">
        <v>13</v>
      </c>
      <c r="U31" s="3157">
        <f t="shared" si="13"/>
        <v>100</v>
      </c>
      <c r="V31" s="3735" t="s">
        <v>13</v>
      </c>
      <c r="W31" s="3157">
        <f t="shared" si="14"/>
        <v>100</v>
      </c>
      <c r="X31" s="909"/>
      <c r="Y31" s="4499"/>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497"/>
      <c r="Q32" s="1507">
        <f t="shared" si="11"/>
        <v>111</v>
      </c>
      <c r="R32" s="3735" t="s">
        <v>13</v>
      </c>
      <c r="S32" s="3157">
        <f t="shared" si="12"/>
        <v>100</v>
      </c>
      <c r="T32" s="3735" t="s">
        <v>13</v>
      </c>
      <c r="U32" s="3157">
        <f t="shared" si="13"/>
        <v>100</v>
      </c>
      <c r="V32" s="3735" t="s">
        <v>13</v>
      </c>
      <c r="W32" s="3157">
        <f t="shared" si="14"/>
        <v>100</v>
      </c>
      <c r="X32" s="909"/>
      <c r="Y32" s="4499"/>
      <c r="Z32" s="907">
        <f t="shared" si="15"/>
        <v>111</v>
      </c>
      <c r="AA32" s="907">
        <f t="shared" si="3"/>
        <v>1</v>
      </c>
      <c r="AB32" s="907">
        <f t="shared" si="4"/>
        <v>1</v>
      </c>
      <c r="AC32" s="1416">
        <f t="shared" si="5"/>
        <v>1</v>
      </c>
    </row>
    <row r="33" spans="1:29" ht="15">
      <c r="A33" s="262" t="s">
        <v>1601</v>
      </c>
      <c r="B33" s="34" t="s">
        <v>1724</v>
      </c>
      <c r="C33" s="1420" t="s">
        <v>4083</v>
      </c>
      <c r="D33" s="2909">
        <v>100</v>
      </c>
      <c r="E33" s="1420" t="s">
        <v>4083</v>
      </c>
      <c r="F33" s="908">
        <f>SUMIF(101:101,E33,102:102)-SUMIF(101:101,C33,102:102)+100</f>
        <v>100</v>
      </c>
      <c r="G33" s="1420" t="s">
        <v>4083</v>
      </c>
      <c r="H33" s="3751">
        <f>SUMIF(101:101,G33,102:102)-SUMIF(101:101,C33,102:102)+100</f>
        <v>100</v>
      </c>
      <c r="I33" s="1420" t="s">
        <v>4083</v>
      </c>
      <c r="J33" s="3754">
        <f>SUMIF(101:101,I33,102:102)-SUMIF(101:101,C33,102:102)+100</f>
        <v>100</v>
      </c>
      <c r="K33" s="394"/>
      <c r="L33" s="1980"/>
      <c r="M33" s="1975"/>
      <c r="N33" s="1975"/>
      <c r="O33" s="1975"/>
      <c r="P33" s="4500" t="s">
        <v>1603</v>
      </c>
      <c r="Q33" s="1507" t="str">
        <f t="shared" si="11"/>
        <v>建筑类型</v>
      </c>
      <c r="R33" s="3735" t="s">
        <v>13</v>
      </c>
      <c r="S33" s="3157">
        <f t="shared" si="12"/>
        <v>100</v>
      </c>
      <c r="T33" s="3735" t="s">
        <v>13</v>
      </c>
      <c r="U33" s="3157">
        <f t="shared" si="13"/>
        <v>100</v>
      </c>
      <c r="V33" s="3735" t="s">
        <v>13</v>
      </c>
      <c r="W33" s="3157">
        <f t="shared" si="14"/>
        <v>100</v>
      </c>
      <c r="X33" s="909"/>
      <c r="Y33" s="4503" t="s">
        <v>1603</v>
      </c>
      <c r="Z33" s="907" t="str">
        <f t="shared" si="15"/>
        <v>建筑类型</v>
      </c>
      <c r="AA33" s="907">
        <f t="shared" si="3"/>
        <v>1</v>
      </c>
      <c r="AB33" s="907">
        <f t="shared" si="4"/>
        <v>1</v>
      </c>
      <c r="AC33" s="1416">
        <f t="shared" si="5"/>
        <v>1</v>
      </c>
    </row>
    <row r="34" spans="1:29" s="279" customFormat="1" ht="15">
      <c r="A34" s="277"/>
      <c r="B34" s="252" t="s">
        <v>1604</v>
      </c>
      <c r="C34" s="278">
        <f>'数据-汇总表'!E3</f>
        <v>54.09</v>
      </c>
      <c r="D34" s="2900">
        <v>100</v>
      </c>
      <c r="E34" s="256">
        <v>57.33</v>
      </c>
      <c r="F34" s="252">
        <f>LOOKUP(E34,104:104,105:105)-LOOKUP(C34,104:104,105:105)+100</f>
        <v>100</v>
      </c>
      <c r="G34" s="255">
        <v>48.48</v>
      </c>
      <c r="H34" s="422">
        <f>LOOKUP(G34,104:104,105:105)-LOOKUP(C34,104:104,105:105)+100</f>
        <v>100</v>
      </c>
      <c r="I34" s="255">
        <v>54.16</v>
      </c>
      <c r="J34" s="422">
        <f>LOOKUP(I34,104:104,105:105)-LOOKUP(C34,104:104,105:105)+100</f>
        <v>100</v>
      </c>
      <c r="K34" s="395"/>
      <c r="L34" s="1979"/>
      <c r="M34" s="1981"/>
      <c r="N34" s="1981"/>
      <c r="O34" s="1981"/>
      <c r="P34" s="4501"/>
      <c r="Q34" s="2864" t="str">
        <f t="shared" si="11"/>
        <v>项目建筑规模</v>
      </c>
      <c r="R34" s="3736" t="s">
        <v>13</v>
      </c>
      <c r="S34" s="3158">
        <f t="shared" si="12"/>
        <v>100</v>
      </c>
      <c r="T34" s="3736" t="s">
        <v>13</v>
      </c>
      <c r="U34" s="3158">
        <f t="shared" si="13"/>
        <v>100</v>
      </c>
      <c r="V34" s="3736" t="s">
        <v>13</v>
      </c>
      <c r="W34" s="3158">
        <f t="shared" si="14"/>
        <v>100</v>
      </c>
      <c r="X34" s="484"/>
      <c r="Y34" s="4503"/>
      <c r="Z34" s="485" t="str">
        <f t="shared" si="15"/>
        <v>项目建筑规模</v>
      </c>
      <c r="AA34" s="907">
        <f t="shared" si="3"/>
        <v>1</v>
      </c>
      <c r="AB34" s="907">
        <f t="shared" si="4"/>
        <v>1</v>
      </c>
      <c r="AC34" s="1416">
        <f t="shared" si="5"/>
        <v>1</v>
      </c>
    </row>
    <row r="35" spans="1:29" ht="15">
      <c r="A35" s="280"/>
      <c r="B35" s="252" t="s">
        <v>1605</v>
      </c>
      <c r="C35" s="275" t="s">
        <v>4072</v>
      </c>
      <c r="D35" s="2902">
        <v>100</v>
      </c>
      <c r="E35" s="275" t="s">
        <v>4072</v>
      </c>
      <c r="F35" s="908">
        <f>SUMIF(106:106,E35,107:107)-SUMIF(106:106,C35,107:107)+100</f>
        <v>100</v>
      </c>
      <c r="G35" s="275" t="s">
        <v>4072</v>
      </c>
      <c r="H35" s="3751">
        <f>SUMIF(106:106,G35,107:107)-SUMIF(106:106,C35,107:107)+100</f>
        <v>100</v>
      </c>
      <c r="I35" s="275" t="s">
        <v>4072</v>
      </c>
      <c r="J35" s="3751">
        <f>SUMIF(106:106,I35,107:107)-SUMIF(106:106,C35,107:107)+100</f>
        <v>100</v>
      </c>
      <c r="K35" s="394"/>
      <c r="L35" s="1980"/>
      <c r="M35" s="1975"/>
      <c r="N35" s="1975"/>
      <c r="O35" s="1975"/>
      <c r="P35" s="4501"/>
      <c r="Q35" s="1507" t="str">
        <f t="shared" si="11"/>
        <v>建筑结构</v>
      </c>
      <c r="R35" s="3735" t="s">
        <v>13</v>
      </c>
      <c r="S35" s="3157">
        <f t="shared" si="12"/>
        <v>100</v>
      </c>
      <c r="T35" s="3735" t="s">
        <v>13</v>
      </c>
      <c r="U35" s="3157">
        <f t="shared" si="13"/>
        <v>100</v>
      </c>
      <c r="V35" s="3735" t="s">
        <v>13</v>
      </c>
      <c r="W35" s="3157">
        <f t="shared" si="14"/>
        <v>100</v>
      </c>
      <c r="X35" s="909"/>
      <c r="Y35" s="4503"/>
      <c r="Z35" s="907" t="str">
        <f t="shared" si="15"/>
        <v>建筑结构</v>
      </c>
      <c r="AA35" s="907">
        <f t="shared" si="3"/>
        <v>1</v>
      </c>
      <c r="AB35" s="907">
        <f t="shared" si="4"/>
        <v>1</v>
      </c>
      <c r="AC35" s="1416">
        <f t="shared" si="5"/>
        <v>1</v>
      </c>
    </row>
    <row r="36" spans="1:29" ht="15">
      <c r="A36" s="280"/>
      <c r="B36" s="252" t="s">
        <v>1692</v>
      </c>
      <c r="C36" s="275" t="s">
        <v>4084</v>
      </c>
      <c r="D36" s="2902">
        <v>100</v>
      </c>
      <c r="E36" s="275" t="s">
        <v>4084</v>
      </c>
      <c r="F36" s="908">
        <f>SUMIF(108:108,E36,109:109)-SUMIF(108:108,C36,109:109)+100</f>
        <v>100</v>
      </c>
      <c r="G36" s="275" t="s">
        <v>4084</v>
      </c>
      <c r="H36" s="3751">
        <f>SUMIF(108:108,G36,109:109)-SUMIF(108:108,C36,109:109)+100</f>
        <v>100</v>
      </c>
      <c r="I36" s="275" t="s">
        <v>4084</v>
      </c>
      <c r="J36" s="3751">
        <f>SUMIF(108:108,I36,109:109)-SUMIF(108:108,C36,109:109)+100</f>
        <v>100</v>
      </c>
      <c r="K36" s="394"/>
      <c r="L36" s="1980"/>
      <c r="M36" s="1975"/>
      <c r="N36" s="1975"/>
      <c r="O36" s="1975"/>
      <c r="P36" s="4501"/>
      <c r="Q36" s="1507" t="str">
        <f t="shared" si="11"/>
        <v>公共部分装修</v>
      </c>
      <c r="R36" s="3735" t="s">
        <v>13</v>
      </c>
      <c r="S36" s="3157">
        <f t="shared" si="12"/>
        <v>100</v>
      </c>
      <c r="T36" s="3735" t="s">
        <v>13</v>
      </c>
      <c r="U36" s="3157">
        <f t="shared" si="13"/>
        <v>100</v>
      </c>
      <c r="V36" s="3735" t="s">
        <v>13</v>
      </c>
      <c r="W36" s="3157">
        <f t="shared" si="14"/>
        <v>100</v>
      </c>
      <c r="X36" s="909"/>
      <c r="Y36" s="4503"/>
      <c r="Z36" s="907" t="str">
        <f t="shared" si="15"/>
        <v>公共部分装修</v>
      </c>
      <c r="AA36" s="907">
        <f t="shared" si="3"/>
        <v>1</v>
      </c>
      <c r="AB36" s="907">
        <f t="shared" si="4"/>
        <v>1</v>
      </c>
      <c r="AC36" s="1416">
        <f t="shared" si="5"/>
        <v>1</v>
      </c>
    </row>
    <row r="37" spans="1:29" ht="15">
      <c r="A37" s="280"/>
      <c r="B37" s="252" t="s">
        <v>1693</v>
      </c>
      <c r="C37" s="282">
        <v>0.83</v>
      </c>
      <c r="D37" s="2902">
        <v>100</v>
      </c>
      <c r="E37" s="282">
        <v>0.83</v>
      </c>
      <c r="F37" s="908">
        <f>LOOKUP(E37,111:111,112:112)-LOOKUP(C37,111:111,112:112)+100</f>
        <v>100</v>
      </c>
      <c r="G37" s="282">
        <v>0.83</v>
      </c>
      <c r="H37" s="908">
        <f>LOOKUP(G37,111:111,112:112)-LOOKUP(C37,111:111,112:112)+100</f>
        <v>100</v>
      </c>
      <c r="I37" s="282">
        <v>0.83</v>
      </c>
      <c r="J37" s="3751">
        <f>LOOKUP(I37,111:111,112:112)-LOOKUP(C37,111:111,112:112)+100</f>
        <v>100</v>
      </c>
      <c r="K37" s="394"/>
      <c r="L37" s="1980"/>
      <c r="M37" s="1975"/>
      <c r="N37" s="1975"/>
      <c r="O37" s="1975"/>
      <c r="P37" s="4501"/>
      <c r="Q37" s="1507" t="str">
        <f t="shared" si="11"/>
        <v>成新度</v>
      </c>
      <c r="R37" s="3735" t="s">
        <v>13</v>
      </c>
      <c r="S37" s="3157">
        <f t="shared" si="12"/>
        <v>100</v>
      </c>
      <c r="T37" s="3735" t="s">
        <v>13</v>
      </c>
      <c r="U37" s="3157">
        <f t="shared" si="13"/>
        <v>100</v>
      </c>
      <c r="V37" s="3735" t="s">
        <v>13</v>
      </c>
      <c r="W37" s="3157">
        <f t="shared" si="14"/>
        <v>100</v>
      </c>
      <c r="X37" s="909"/>
      <c r="Y37" s="4503"/>
      <c r="Z37" s="907" t="str">
        <f t="shared" si="15"/>
        <v>成新度</v>
      </c>
      <c r="AA37" s="907">
        <f t="shared" si="3"/>
        <v>1</v>
      </c>
      <c r="AB37" s="907">
        <f t="shared" si="4"/>
        <v>1</v>
      </c>
      <c r="AC37" s="1416">
        <f t="shared" si="5"/>
        <v>1</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01"/>
      <c r="Q38" s="1698" t="str">
        <f t="shared" si="11"/>
        <v>写字楼等级</v>
      </c>
      <c r="R38" s="3633" t="s">
        <v>13</v>
      </c>
      <c r="S38" s="3156">
        <f t="shared" si="12"/>
        <v>100</v>
      </c>
      <c r="T38" s="3633" t="s">
        <v>13</v>
      </c>
      <c r="U38" s="3156">
        <f t="shared" si="13"/>
        <v>100</v>
      </c>
      <c r="V38" s="3633" t="s">
        <v>13</v>
      </c>
      <c r="W38" s="3156">
        <f t="shared" si="14"/>
        <v>100</v>
      </c>
      <c r="X38" s="482"/>
      <c r="Y38" s="4503"/>
      <c r="Z38" s="28" t="str">
        <f t="shared" si="15"/>
        <v>写字楼等级</v>
      </c>
      <c r="AA38" s="28">
        <f t="shared" si="3"/>
        <v>1</v>
      </c>
      <c r="AB38" s="28">
        <f t="shared" si="4"/>
        <v>1</v>
      </c>
      <c r="AC38" s="545">
        <f t="shared" si="5"/>
        <v>1</v>
      </c>
    </row>
    <row r="39" spans="1:29" ht="15">
      <c r="A39" s="280"/>
      <c r="B39" s="252" t="s">
        <v>1726</v>
      </c>
      <c r="C39" s="275" t="s">
        <v>4085</v>
      </c>
      <c r="D39" s="2902">
        <v>100</v>
      </c>
      <c r="E39" s="275" t="s">
        <v>4085</v>
      </c>
      <c r="F39" s="908">
        <f>SUMIF(115:115,E39,116:116)-SUMIF(115:115,C39,116:116)+100</f>
        <v>100</v>
      </c>
      <c r="G39" s="275" t="s">
        <v>4085</v>
      </c>
      <c r="H39" s="3751">
        <f>SUMIF(115:115,G39,116:116)-SUMIF(115:115,C39,116:116)+100</f>
        <v>100</v>
      </c>
      <c r="I39" s="275" t="s">
        <v>4085</v>
      </c>
      <c r="J39" s="3751">
        <f>SUMIF(115:115,I39,116:116)-SUMIF(115:115,C39,116:116)+100</f>
        <v>100</v>
      </c>
      <c r="K39" s="394"/>
      <c r="L39" s="1980"/>
      <c r="M39" s="1975"/>
      <c r="N39" s="1975"/>
      <c r="O39" s="1975"/>
      <c r="P39" s="4501" t="s">
        <v>1603</v>
      </c>
      <c r="Q39" s="1507" t="str">
        <f t="shared" si="11"/>
        <v>物业管理</v>
      </c>
      <c r="R39" s="3735" t="s">
        <v>13</v>
      </c>
      <c r="S39" s="3157">
        <f t="shared" si="12"/>
        <v>100</v>
      </c>
      <c r="T39" s="3735" t="s">
        <v>13</v>
      </c>
      <c r="U39" s="3157">
        <f t="shared" si="13"/>
        <v>100</v>
      </c>
      <c r="V39" s="3735" t="s">
        <v>13</v>
      </c>
      <c r="W39" s="3157">
        <f t="shared" si="14"/>
        <v>100</v>
      </c>
      <c r="X39" s="909"/>
      <c r="Y39" s="4503" t="s">
        <v>1603</v>
      </c>
      <c r="Z39" s="907" t="str">
        <f t="shared" si="15"/>
        <v>物业管理</v>
      </c>
      <c r="AA39" s="907">
        <f t="shared" si="3"/>
        <v>1</v>
      </c>
      <c r="AB39" s="907">
        <f t="shared" si="4"/>
        <v>1</v>
      </c>
      <c r="AC39" s="1416">
        <f t="shared" si="5"/>
        <v>1</v>
      </c>
    </row>
    <row r="40" spans="1:29" ht="15">
      <c r="A40" s="280"/>
      <c r="B40" s="252" t="s">
        <v>1694</v>
      </c>
      <c r="C40" s="275" t="s">
        <v>3605</v>
      </c>
      <c r="D40" s="2902">
        <v>100</v>
      </c>
      <c r="E40" s="275" t="s">
        <v>3605</v>
      </c>
      <c r="F40" s="908">
        <f>SUMIF(117:117,E40,118:118)-SUMIF(117:117,C40,118:118)+100</f>
        <v>100</v>
      </c>
      <c r="G40" s="275" t="s">
        <v>3605</v>
      </c>
      <c r="H40" s="3751">
        <f>SUMIF(117:117,G40,118:118)-SUMIF(117:117,C40,118:118)+100</f>
        <v>100</v>
      </c>
      <c r="I40" s="275" t="s">
        <v>3605</v>
      </c>
      <c r="J40" s="3751">
        <f>SUMIF(117:117,I40,118:118)-SUMIF(117:117,C40,118:118)+100</f>
        <v>100</v>
      </c>
      <c r="K40" s="394"/>
      <c r="L40" s="1980"/>
      <c r="M40" s="1975"/>
      <c r="N40" s="1975"/>
      <c r="O40" s="1975"/>
      <c r="P40" s="4501"/>
      <c r="Q40" s="1507" t="str">
        <f t="shared" si="11"/>
        <v>市政基础设施</v>
      </c>
      <c r="R40" s="3735" t="s">
        <v>13</v>
      </c>
      <c r="S40" s="3157">
        <f t="shared" si="12"/>
        <v>100</v>
      </c>
      <c r="T40" s="3735" t="s">
        <v>13</v>
      </c>
      <c r="U40" s="3157">
        <f t="shared" si="13"/>
        <v>100</v>
      </c>
      <c r="V40" s="3735" t="s">
        <v>13</v>
      </c>
      <c r="W40" s="3157">
        <f t="shared" si="14"/>
        <v>100</v>
      </c>
      <c r="X40" s="909"/>
      <c r="Y40" s="4503"/>
      <c r="Z40" s="907" t="str">
        <f t="shared" si="15"/>
        <v>市政基础设施</v>
      </c>
      <c r="AA40" s="907">
        <f t="shared" si="3"/>
        <v>1</v>
      </c>
      <c r="AB40" s="907">
        <f t="shared" si="4"/>
        <v>1</v>
      </c>
      <c r="AC40" s="1416">
        <f t="shared" si="5"/>
        <v>1</v>
      </c>
    </row>
    <row r="41" spans="1:29" ht="15">
      <c r="A41" s="280"/>
      <c r="B41" s="252" t="s">
        <v>1696</v>
      </c>
      <c r="C41" s="398" t="s">
        <v>4086</v>
      </c>
      <c r="D41" s="2902">
        <v>100</v>
      </c>
      <c r="E41" s="398" t="s">
        <v>4086</v>
      </c>
      <c r="F41" s="908">
        <f>SUMIF(119:119,E41,120:120)-SUMIF(119:119,C41,120:120)+100</f>
        <v>100</v>
      </c>
      <c r="G41" s="398" t="s">
        <v>4086</v>
      </c>
      <c r="H41" s="3751">
        <f>SUMIF(119:119,G41,120:120)-SUMIF(119:119,C41,120:120)+100</f>
        <v>100</v>
      </c>
      <c r="I41" s="398" t="s">
        <v>4086</v>
      </c>
      <c r="J41" s="3751">
        <f>SUMIF(119:119,I41,120:120)-SUMIF(119:119,C41,120:120)+100</f>
        <v>100</v>
      </c>
      <c r="K41" s="394"/>
      <c r="L41" s="1980"/>
      <c r="M41" s="1975"/>
      <c r="N41" s="1975"/>
      <c r="O41" s="1975"/>
      <c r="P41" s="4501"/>
      <c r="Q41" s="1507" t="str">
        <f t="shared" si="11"/>
        <v>层高</v>
      </c>
      <c r="R41" s="3735" t="s">
        <v>13</v>
      </c>
      <c r="S41" s="3157">
        <f t="shared" si="12"/>
        <v>100</v>
      </c>
      <c r="T41" s="3735" t="s">
        <v>13</v>
      </c>
      <c r="U41" s="3157">
        <f t="shared" si="13"/>
        <v>100</v>
      </c>
      <c r="V41" s="3735" t="s">
        <v>13</v>
      </c>
      <c r="W41" s="3157">
        <f t="shared" si="14"/>
        <v>100</v>
      </c>
      <c r="X41" s="909"/>
      <c r="Y41" s="4503"/>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01"/>
      <c r="Q42" s="2864" t="str">
        <f t="shared" si="11"/>
        <v>单套建筑面积</v>
      </c>
      <c r="R42" s="3736" t="s">
        <v>13</v>
      </c>
      <c r="S42" s="3158">
        <f t="shared" si="12"/>
        <v>100</v>
      </c>
      <c r="T42" s="3736" t="s">
        <v>13</v>
      </c>
      <c r="U42" s="3158">
        <f t="shared" si="13"/>
        <v>100</v>
      </c>
      <c r="V42" s="3736" t="s">
        <v>13</v>
      </c>
      <c r="W42" s="3158">
        <f t="shared" si="14"/>
        <v>100</v>
      </c>
      <c r="X42" s="484"/>
      <c r="Y42" s="4503"/>
      <c r="Z42" s="485" t="str">
        <f t="shared" si="15"/>
        <v>单套建筑面积</v>
      </c>
      <c r="AA42" s="907">
        <f t="shared" si="3"/>
        <v>1</v>
      </c>
      <c r="AB42" s="907">
        <f t="shared" si="4"/>
        <v>1</v>
      </c>
      <c r="AC42" s="1416">
        <f t="shared" si="5"/>
        <v>1</v>
      </c>
    </row>
    <row r="43" spans="1:29" ht="15">
      <c r="A43" s="280"/>
      <c r="B43" s="252" t="s">
        <v>1699</v>
      </c>
      <c r="C43" s="275" t="s">
        <v>4087</v>
      </c>
      <c r="D43" s="2902">
        <v>100</v>
      </c>
      <c r="E43" s="275" t="s">
        <v>4087</v>
      </c>
      <c r="F43" s="908">
        <f>SUMIF(123:123,E43,124:124)-SUMIF(123:123,C43,124:124)+100</f>
        <v>100</v>
      </c>
      <c r="G43" s="275" t="s">
        <v>4087</v>
      </c>
      <c r="H43" s="3751">
        <f>SUMIF(123:123,G43,124:124)-SUMIF(123:123,C43,124:124)+100</f>
        <v>100</v>
      </c>
      <c r="I43" s="275" t="s">
        <v>4087</v>
      </c>
      <c r="J43" s="3751">
        <f>SUMIF(123:123,I43,124:124)-SUMIF(123:123,C43,124:124)+100</f>
        <v>100</v>
      </c>
      <c r="K43" s="394"/>
      <c r="L43" s="1980"/>
      <c r="M43" s="1975"/>
      <c r="N43" s="1975"/>
      <c r="O43" s="1975"/>
      <c r="P43" s="4501"/>
      <c r="Q43" s="1507" t="str">
        <f t="shared" si="11"/>
        <v>内部装修</v>
      </c>
      <c r="R43" s="3735" t="s">
        <v>13</v>
      </c>
      <c r="S43" s="3157">
        <f t="shared" si="12"/>
        <v>100</v>
      </c>
      <c r="T43" s="3735" t="s">
        <v>13</v>
      </c>
      <c r="U43" s="3157">
        <f t="shared" si="13"/>
        <v>100</v>
      </c>
      <c r="V43" s="3735" t="s">
        <v>13</v>
      </c>
      <c r="W43" s="3157">
        <f t="shared" si="14"/>
        <v>100</v>
      </c>
      <c r="X43" s="909"/>
      <c r="Y43" s="4503"/>
      <c r="Z43" s="907" t="str">
        <f t="shared" si="15"/>
        <v>内部装修</v>
      </c>
      <c r="AA43" s="907">
        <f t="shared" si="3"/>
        <v>1</v>
      </c>
      <c r="AB43" s="907">
        <f t="shared" si="4"/>
        <v>1</v>
      </c>
      <c r="AC43" s="1416">
        <f t="shared" si="5"/>
        <v>1</v>
      </c>
    </row>
    <row r="44" spans="1:29" ht="15">
      <c r="A44" s="280"/>
      <c r="B44" s="252" t="s">
        <v>1614</v>
      </c>
      <c r="C44" s="275" t="s">
        <v>3603</v>
      </c>
      <c r="D44" s="2902">
        <v>100</v>
      </c>
      <c r="E44" s="1369" t="s">
        <v>3603</v>
      </c>
      <c r="F44" s="908">
        <f>SUMIF(125:125,E44,126:126)-SUMIF(125:125,C44,126:126)+100</f>
        <v>100</v>
      </c>
      <c r="G44" s="1369" t="s">
        <v>3603</v>
      </c>
      <c r="H44" s="3751">
        <f>SUMIF(125:125,G44,126:126)-SUMIF(125:125,C44,126:126)+100</f>
        <v>100</v>
      </c>
      <c r="I44" s="1369" t="s">
        <v>3603</v>
      </c>
      <c r="J44" s="3751">
        <f>SUMIF(125:125,I44,126:126)-SUMIF(125:125,C44,126:126)+100</f>
        <v>100</v>
      </c>
      <c r="K44" s="394"/>
      <c r="L44" s="1980"/>
      <c r="M44" s="1975"/>
      <c r="N44" s="1975"/>
      <c r="O44" s="1975"/>
      <c r="P44" s="4501"/>
      <c r="Q44" s="1507" t="str">
        <f t="shared" si="11"/>
        <v>内部装修维护情况</v>
      </c>
      <c r="R44" s="3735" t="s">
        <v>13</v>
      </c>
      <c r="S44" s="3157">
        <f t="shared" si="12"/>
        <v>100</v>
      </c>
      <c r="T44" s="3735" t="s">
        <v>13</v>
      </c>
      <c r="U44" s="3157">
        <f t="shared" si="13"/>
        <v>100</v>
      </c>
      <c r="V44" s="3735" t="s">
        <v>13</v>
      </c>
      <c r="W44" s="3157">
        <f t="shared" si="14"/>
        <v>100</v>
      </c>
      <c r="X44" s="909"/>
      <c r="Y44" s="4503"/>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01"/>
      <c r="Q45" s="1698">
        <f t="shared" si="11"/>
        <v>111</v>
      </c>
      <c r="R45" s="3633" t="s">
        <v>13</v>
      </c>
      <c r="S45" s="3156">
        <f t="shared" si="12"/>
        <v>100</v>
      </c>
      <c r="T45" s="3633" t="s">
        <v>13</v>
      </c>
      <c r="U45" s="3156">
        <f t="shared" si="13"/>
        <v>100</v>
      </c>
      <c r="V45" s="3633" t="s">
        <v>13</v>
      </c>
      <c r="W45" s="3156">
        <f t="shared" si="14"/>
        <v>100</v>
      </c>
      <c r="X45" s="482"/>
      <c r="Y45" s="4503"/>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01"/>
      <c r="Q46" s="1507">
        <f t="shared" si="11"/>
        <v>111</v>
      </c>
      <c r="R46" s="3735" t="s">
        <v>13</v>
      </c>
      <c r="S46" s="3157">
        <f t="shared" si="12"/>
        <v>100</v>
      </c>
      <c r="T46" s="3735" t="s">
        <v>13</v>
      </c>
      <c r="U46" s="3157">
        <f t="shared" si="13"/>
        <v>100</v>
      </c>
      <c r="V46" s="3735" t="s">
        <v>13</v>
      </c>
      <c r="W46" s="3157">
        <f t="shared" si="14"/>
        <v>100</v>
      </c>
      <c r="X46" s="909"/>
      <c r="Y46" s="4503"/>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02"/>
      <c r="Q47" s="1507">
        <f t="shared" si="11"/>
        <v>111</v>
      </c>
      <c r="R47" s="3735" t="s">
        <v>13</v>
      </c>
      <c r="S47" s="3157">
        <f t="shared" si="12"/>
        <v>100</v>
      </c>
      <c r="T47" s="3735" t="s">
        <v>13</v>
      </c>
      <c r="U47" s="3157">
        <f t="shared" si="13"/>
        <v>100</v>
      </c>
      <c r="V47" s="3735" t="s">
        <v>13</v>
      </c>
      <c r="W47" s="3157">
        <f t="shared" si="14"/>
        <v>100</v>
      </c>
      <c r="X47" s="909"/>
      <c r="Y47" s="4504"/>
      <c r="Z47" s="907">
        <f t="shared" si="15"/>
        <v>111</v>
      </c>
      <c r="AA47" s="907">
        <f t="shared" si="3"/>
        <v>1</v>
      </c>
      <c r="AB47" s="907">
        <f t="shared" si="4"/>
        <v>1</v>
      </c>
      <c r="AC47" s="1416">
        <f t="shared" si="5"/>
        <v>1</v>
      </c>
    </row>
    <row r="48" spans="1:29" ht="15">
      <c r="A48" s="286" t="s">
        <v>1615</v>
      </c>
      <c r="B48" s="287"/>
      <c r="C48" s="765" t="s">
        <v>0</v>
      </c>
      <c r="D48" s="288"/>
      <c r="E48" s="3205">
        <v>20583</v>
      </c>
      <c r="F48" s="3153"/>
      <c r="G48" s="3206">
        <v>22690</v>
      </c>
      <c r="H48" s="3154"/>
      <c r="I48" s="3205">
        <v>24003</v>
      </c>
      <c r="J48" s="3154"/>
      <c r="K48" s="2862"/>
      <c r="L48" s="1982"/>
      <c r="M48" s="1975"/>
      <c r="N48" s="1975"/>
      <c r="O48" s="1975"/>
      <c r="P48" s="4490" t="str">
        <f>A48</f>
        <v>成交单价（元/平方米）</v>
      </c>
      <c r="Q48" s="4491"/>
      <c r="R48" s="4492">
        <f>E48</f>
        <v>20583</v>
      </c>
      <c r="S48" s="4492"/>
      <c r="T48" s="4492">
        <f>G48</f>
        <v>22690</v>
      </c>
      <c r="U48" s="4492"/>
      <c r="V48" s="4492">
        <f>I48</f>
        <v>24003</v>
      </c>
      <c r="W48" s="4492"/>
      <c r="X48" s="265"/>
      <c r="Y48" s="486"/>
      <c r="Z48" s="265"/>
      <c r="AA48" s="265"/>
      <c r="AB48" s="265"/>
      <c r="AC48" s="404"/>
    </row>
    <row r="49" spans="1:29" ht="15.75" thickBot="1">
      <c r="A49" s="289" t="s">
        <v>1700</v>
      </c>
      <c r="B49" s="290"/>
      <c r="C49" s="3733">
        <f>R50</f>
        <v>21933</v>
      </c>
      <c r="D49" s="3846" t="s">
        <v>2042</v>
      </c>
      <c r="E49" s="3744">
        <f>R49</f>
        <v>20420</v>
      </c>
      <c r="F49" s="2801"/>
      <c r="G49" s="3733">
        <f>T49</f>
        <v>22051</v>
      </c>
      <c r="H49" s="2801"/>
      <c r="I49" s="3744">
        <f>V49</f>
        <v>23327</v>
      </c>
      <c r="J49" s="2801"/>
      <c r="K49" s="2855">
        <f>F49+H49+J49</f>
        <v>0</v>
      </c>
      <c r="L49" s="1982"/>
      <c r="M49" s="1975"/>
      <c r="N49" s="1975"/>
      <c r="O49" s="1975"/>
      <c r="P49" s="4490" t="str">
        <f>A49</f>
        <v>比较价值（元/平方米）</v>
      </c>
      <c r="Q49" s="4491"/>
      <c r="R49" s="4492">
        <f>IF(F1="售价",ROUND(PRODUCT(R48,AA7:AA47),0),ROUND(PRODUCT(R48,AA7:AA47),1))</f>
        <v>20420</v>
      </c>
      <c r="S49" s="4492"/>
      <c r="T49" s="4492">
        <f>IF(F1="售价",ROUND(PRODUCT(T48,AB7:AB47),0),ROUND(PRODUCT(T48,AB7:AB47),1))</f>
        <v>22051</v>
      </c>
      <c r="U49" s="4492"/>
      <c r="V49" s="4492">
        <f>IF(F1="售价",ROUND(PRODUCT(V48,AC7:AC47),0),ROUND(PRODUCT(V48,AC7:AC47),1))</f>
        <v>23327</v>
      </c>
      <c r="W49" s="4492"/>
      <c r="X49" s="265"/>
      <c r="Y49" s="265"/>
      <c r="Z49" s="265"/>
      <c r="AA49" s="265"/>
      <c r="AB49" s="265"/>
      <c r="AC49" s="404"/>
    </row>
    <row r="50" spans="1:29" ht="15.75" thickBot="1">
      <c r="A50" s="291" t="s">
        <v>1701</v>
      </c>
      <c r="B50" s="292"/>
      <c r="C50" s="3745">
        <f>R50</f>
        <v>21933</v>
      </c>
      <c r="D50" s="241"/>
      <c r="E50" s="241"/>
      <c r="F50" s="241"/>
      <c r="G50" s="241"/>
      <c r="H50" s="241"/>
      <c r="I50" s="241"/>
      <c r="J50" s="293"/>
      <c r="K50" s="487"/>
      <c r="L50" s="1982"/>
      <c r="M50" s="1975"/>
      <c r="N50" s="1975"/>
      <c r="O50" s="1975"/>
      <c r="P50" s="4493" t="str">
        <f>A50</f>
        <v>估价对象XX用房的比较价值（楼面单价，元/平方米）</v>
      </c>
      <c r="Q50" s="4494"/>
      <c r="R50" s="4495">
        <f>IF(F1="售价",ROUND(IF(D49="简单平均",AVERAGE(R49:V49),R49*F49+T49*H49+V49*J49),0),ROUND(IF(D49="简单平均",AVERAGE(R49:V49),R49*F49+T49*H49+V49*J49),1))</f>
        <v>21933</v>
      </c>
      <c r="S50" s="4495"/>
      <c r="T50" s="4495"/>
      <c r="U50" s="4495"/>
      <c r="V50" s="4495"/>
      <c r="W50" s="449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7.9823702252692641E-3</v>
      </c>
      <c r="F53" s="299" t="str">
        <f>IF(OR(E53&gt;=0.3,E53&lt;=-0.3),"超过30%","")</f>
        <v/>
      </c>
      <c r="G53" s="298">
        <f>IF(G48&lt;G49,G49/G48-1,G48/G49-1)</f>
        <v>2.8978277629132521E-2</v>
      </c>
      <c r="H53" s="299" t="str">
        <f>IF(OR(G53&gt;=0.3,G53&lt;=-0.3),"超过30%","")</f>
        <v/>
      </c>
      <c r="I53" s="298">
        <f>IF(I48&lt;I49,I49/I48-1,I48/I49-1)</f>
        <v>2.8979294379903209E-2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7.9872673849167519E-2</v>
      </c>
      <c r="F54" s="299" t="str">
        <f>IF(OR(E54&gt;=0.2,E54&lt;=-0.2),"超过20%","")</f>
        <v/>
      </c>
      <c r="G54" s="298">
        <f>IF(G49&lt;I49,I49/G49-1,G49/I49-1)</f>
        <v>5.7865856423744866E-2</v>
      </c>
      <c r="H54" s="299" t="str">
        <f>IF(OR(G54&gt;=0.2,G54&lt;=-0.2),"超过20%","")</f>
        <v/>
      </c>
      <c r="I54" s="298">
        <f>IF(I49&lt;E49,E49/I49-1,I49/E49-1)</f>
        <v>0.14236043095004902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0.10236603021911295</v>
      </c>
      <c r="F55" s="299" t="str">
        <f>IF(OR(E55&gt;=0.3,E55&lt;=-0.3),"超过30%","")</f>
        <v/>
      </c>
      <c r="G55" s="298">
        <f>IF(G48&lt;I48,I48/G48-1,G48/I48-1)</f>
        <v>5.7866901718818919E-2</v>
      </c>
      <c r="H55" s="299" t="str">
        <f>IF(OR(G55&gt;=0.3,G55&lt;=-0.3),"超过30%","")</f>
        <v/>
      </c>
      <c r="I55" s="298">
        <f>IF(I48&lt;E48,E48/I48-1,I48/E48-1)</f>
        <v>0.16615653694796673</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t="s">
        <v>4080</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4088</v>
      </c>
      <c r="D89" s="347" t="s">
        <v>4090</v>
      </c>
      <c r="E89" s="347" t="s">
        <v>4082</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0(含)-60</v>
      </c>
      <c r="D103" s="368" t="str">
        <f t="shared" ref="D103:L103" si="23">D104&amp;"(含)"&amp;"-"&amp;E104</f>
        <v>60(含)-100</v>
      </c>
      <c r="E103" s="368" t="str">
        <f t="shared" si="23"/>
        <v>100(含)-150</v>
      </c>
      <c r="F103" s="368" t="str">
        <f t="shared" si="23"/>
        <v>150(含)-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60</v>
      </c>
      <c r="E104" s="5">
        <v>100</v>
      </c>
      <c r="F104" s="5">
        <v>150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F36" sqref="F3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t="s">
        <v>41</v>
      </c>
      <c r="E1" s="915" t="s">
        <v>665</v>
      </c>
      <c r="F1" s="704">
        <f ca="1">J62</f>
        <v>34.46</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60.771099999999997</v>
      </c>
      <c r="C2" s="932" t="s">
        <v>790</v>
      </c>
      <c r="D2" s="3323" t="s">
        <v>4068</v>
      </c>
      <c r="E2" s="937"/>
      <c r="F2" s="938"/>
      <c r="G2" s="1966"/>
      <c r="H2" s="1956"/>
      <c r="I2" s="1956"/>
      <c r="J2" s="1956"/>
      <c r="K2" s="1957"/>
      <c r="L2" s="1956"/>
      <c r="M2" s="1956"/>
    </row>
    <row r="3" spans="1:37" ht="18" customHeight="1" thickBot="1">
      <c r="A3" s="939" t="s">
        <v>791</v>
      </c>
      <c r="B3" s="940">
        <f ca="1">IF(ISERROR(D3/F32),0,ROUND(D3/F32,0))</f>
        <v>11235</v>
      </c>
      <c r="C3" s="932" t="s">
        <v>792</v>
      </c>
      <c r="D3" s="932">
        <f ca="1">IF(D2="含税",ROUND((C28+J31+L55)*(1+F31),0),C28+J31+L55)</f>
        <v>607711</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35581</v>
      </c>
      <c r="D5" s="4002" t="s">
        <v>3874</v>
      </c>
      <c r="E5" s="4003"/>
      <c r="F5" s="4004"/>
      <c r="G5" s="4001"/>
      <c r="H5" s="183">
        <v>1</v>
      </c>
      <c r="I5" s="184" t="s">
        <v>3909</v>
      </c>
      <c r="J5" s="4093">
        <f ca="1">J6+J10+J12</f>
        <v>0</v>
      </c>
      <c r="K5" s="4002" t="s">
        <v>3874</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8">
        <f ca="1">C7-C9</f>
        <v>35537</v>
      </c>
      <c r="D6" s="2715" t="s">
        <v>3789</v>
      </c>
      <c r="E6" s="2713" t="s">
        <v>3972</v>
      </c>
      <c r="F6" s="3420">
        <f ca="1">INDIRECT("'数据-取费表'!u"&amp;$G$1)</f>
        <v>2</v>
      </c>
      <c r="G6" s="935"/>
      <c r="H6" s="707" t="s">
        <v>392</v>
      </c>
      <c r="I6" s="2714" t="s">
        <v>3785</v>
      </c>
      <c r="J6" s="2702">
        <f ca="1">J7-J9</f>
        <v>0</v>
      </c>
      <c r="K6" s="2715" t="s">
        <v>3789</v>
      </c>
      <c r="L6" s="2713" t="s">
        <v>3972</v>
      </c>
      <c r="M6" s="3438">
        <f ca="1">INDIRECT("'数据-取费表'!z"&amp;$G$1)</f>
        <v>0</v>
      </c>
    </row>
    <row r="7" spans="1:37" ht="18" customHeight="1">
      <c r="A7" s="4478" t="s">
        <v>391</v>
      </c>
      <c r="B7" s="4481" t="s">
        <v>3783</v>
      </c>
      <c r="C7" s="4550">
        <f ca="1">ROUND(F6*F7*F8,0)</f>
        <v>39486</v>
      </c>
      <c r="D7" s="4480" t="s">
        <v>3463</v>
      </c>
      <c r="E7" s="714" t="s">
        <v>682</v>
      </c>
      <c r="F7" s="2761">
        <f ca="1">IF(INDIRECT("'数据-取费表'!ah"&amp;$G$1)="",INDIRECT("'数据-取费表'!k"&amp;$G$1),INDIRECT("'数据-取费表'!ah"&amp;$G$1))</f>
        <v>54.09</v>
      </c>
      <c r="G7" s="935"/>
      <c r="H7" s="4478" t="s">
        <v>391</v>
      </c>
      <c r="I7" s="4481" t="s">
        <v>3783</v>
      </c>
      <c r="J7" s="4549">
        <f ca="1">ROUND(M6*M8*M7,0)</f>
        <v>0</v>
      </c>
      <c r="K7" s="4480" t="s">
        <v>3463</v>
      </c>
      <c r="L7" s="186" t="s">
        <v>682</v>
      </c>
      <c r="M7" s="4217">
        <f ca="1">F7</f>
        <v>54.09</v>
      </c>
    </row>
    <row r="8" spans="1:37" ht="18" customHeight="1">
      <c r="A8" s="4479"/>
      <c r="B8" s="4482"/>
      <c r="C8" s="4550"/>
      <c r="D8" s="4480"/>
      <c r="E8" s="186" t="str">
        <f ca="1">IF(F8=1,"年",IF(F8=12,"月","天"))</f>
        <v>天</v>
      </c>
      <c r="F8" s="3413">
        <f ca="1">INDIRECT("'数据-取费表'!ai"&amp;$G$1)</f>
        <v>365</v>
      </c>
      <c r="G8" s="935"/>
      <c r="H8" s="4479"/>
      <c r="I8" s="4482"/>
      <c r="J8" s="4549"/>
      <c r="K8" s="4480"/>
      <c r="L8" s="186" t="str">
        <f ca="1">IF(M8=1,"年",IF(M8=12,"月","天"))</f>
        <v>天</v>
      </c>
      <c r="M8" s="3440">
        <f ca="1">INDIRECT("'数据-取费表'!ai"&amp;$G$1)</f>
        <v>365</v>
      </c>
    </row>
    <row r="9" spans="1:37" ht="18" customHeight="1">
      <c r="A9" s="2700" t="s">
        <v>3393</v>
      </c>
      <c r="B9" s="4086" t="s">
        <v>3784</v>
      </c>
      <c r="C9" s="4093">
        <f ca="1">ROUND(C7*F9,0)</f>
        <v>3949</v>
      </c>
      <c r="D9" s="2715" t="s">
        <v>3788</v>
      </c>
      <c r="E9" s="186" t="s">
        <v>684</v>
      </c>
      <c r="F9" s="2767">
        <f ca="1">INDIRECT("'数据-取费表'!w"&amp;$G$1)</f>
        <v>0.1</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44</v>
      </c>
      <c r="D10" s="59" t="s">
        <v>2020</v>
      </c>
      <c r="E10" s="197" t="s">
        <v>686</v>
      </c>
      <c r="F10" s="749" t="s">
        <v>4069</v>
      </c>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5785</v>
      </c>
      <c r="D13" s="4222" t="s">
        <v>3911</v>
      </c>
      <c r="E13" s="4006"/>
      <c r="F13" s="4004"/>
      <c r="G13" s="4001"/>
      <c r="H13" s="716" t="s">
        <v>3668</v>
      </c>
      <c r="I13" s="717" t="s">
        <v>3910</v>
      </c>
      <c r="J13" s="3853">
        <f ca="1">ROUND(J14+J22+J24+J26,0)</f>
        <v>2904</v>
      </c>
      <c r="K13" s="4221" t="s">
        <v>3912</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4637</v>
      </c>
      <c r="D14" s="900" t="s">
        <v>3437</v>
      </c>
      <c r="E14" s="900" t="str">
        <f>IF(M56="非住宅","","综合税率")</f>
        <v/>
      </c>
      <c r="F14" s="3837" t="str">
        <f>IF(M56="非住宅","",IF(F6*F7*F8/12/(1+'数据-取费表'!F30)&gt;100000,4%,2.5%))</f>
        <v/>
      </c>
      <c r="G14" s="935"/>
      <c r="H14" s="658" t="s">
        <v>392</v>
      </c>
      <c r="I14" s="2713" t="s">
        <v>3963</v>
      </c>
      <c r="J14" s="2702">
        <f ca="1">ROUND(IF(AND(项目基本情况!B11="自然人",项目基本情况!B10="北京市",M56="住宅"),J6*M14/(1+'数据-取费表'!C43),J15+J19+J20),0)</f>
        <v>2344</v>
      </c>
      <c r="K14" s="2740" t="s">
        <v>3436</v>
      </c>
      <c r="L14" s="900" t="str">
        <f>E14</f>
        <v/>
      </c>
      <c r="M14" s="3837" t="str">
        <f>IF(M56="非住宅","",IF(M6*M7*M8/12/(1+'数据-取费表'!F30)&gt;100000,4%,2.5%))</f>
        <v/>
      </c>
    </row>
    <row r="15" spans="1:37" s="946" customFormat="1" ht="18" customHeight="1">
      <c r="A15" s="2700" t="s">
        <v>391</v>
      </c>
      <c r="B15" s="2713" t="s">
        <v>3955</v>
      </c>
      <c r="C15" s="2702">
        <f ca="1">C18</f>
        <v>373</v>
      </c>
      <c r="D15" s="2430" t="s">
        <v>3954</v>
      </c>
      <c r="E15" s="4090"/>
      <c r="F15" s="4123"/>
      <c r="G15" s="945"/>
      <c r="H15" s="2700" t="s">
        <v>391</v>
      </c>
      <c r="I15" s="2713" t="s">
        <v>3955</v>
      </c>
      <c r="J15" s="2702">
        <f ca="1">J18</f>
        <v>-6</v>
      </c>
      <c r="K15" s="2715" t="s">
        <v>3954</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3198</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86</v>
      </c>
      <c r="D17" s="3978" t="s">
        <v>3851</v>
      </c>
      <c r="E17" s="2722"/>
      <c r="F17" s="2765">
        <v>0.06</v>
      </c>
      <c r="G17" s="945"/>
      <c r="H17" s="2505" t="s">
        <v>3281</v>
      </c>
      <c r="I17" s="2717" t="s">
        <v>3397</v>
      </c>
      <c r="J17" s="3024">
        <f ca="1">ROUND(J22*M16+((J24+J26)*M17),0)</f>
        <v>50</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373</v>
      </c>
      <c r="D18" s="2740" t="s">
        <v>3974</v>
      </c>
      <c r="E18" s="186" t="s">
        <v>3975</v>
      </c>
      <c r="F18" s="2765">
        <f>'数据-取费表'!B44</f>
        <v>0.12000000000000001</v>
      </c>
      <c r="G18" s="945"/>
      <c r="H18" s="2505" t="s">
        <v>3952</v>
      </c>
      <c r="I18" s="2717" t="s">
        <v>3951</v>
      </c>
      <c r="J18" s="3024">
        <f ca="1">ROUND((J16-J17)*M18,0)</f>
        <v>-6</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f ca="1">IF(AND(项目基本情况!B11="自然人",M56="住宅"),"——",IF(D19="按不含税租金收入（有效毛租金收入）计税",ROUND(C6*F19,0),IF(D19="按房产原值计税",ROUND(C51*F19*0.7,0),INDIRECT("'数据-取费表'!Aj"&amp;$G$1))))</f>
        <v>4264</v>
      </c>
      <c r="D19" s="2716" t="s">
        <v>4070</v>
      </c>
      <c r="E19" s="186" t="s">
        <v>697</v>
      </c>
      <c r="F19" s="2765">
        <f>IF(D19="按票据","——",IF(D19="按不含税租金收入（有效毛租金收入）计税",'数据-取费表'!B52,'数据-取费表'!B51))</f>
        <v>0.12</v>
      </c>
      <c r="G19" s="945"/>
      <c r="H19" s="2700" t="s">
        <v>393</v>
      </c>
      <c r="I19" s="2713" t="s">
        <v>3961</v>
      </c>
      <c r="J19" s="2702">
        <f ca="1">IF(K19="按不含税租金收入（有效毛租金收入）计税",ROUND(J6*M19,0),ROUND(C51*M19*0.7,0))</f>
        <v>2350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f ca="1">IF(AND(项目基本情况!B11="自然人",M56="住宅"),"——",ROUND(F20*F21,0))</f>
        <v>0</v>
      </c>
      <c r="D20" s="207" t="s">
        <v>716</v>
      </c>
      <c r="E20" s="186" t="s">
        <v>717</v>
      </c>
      <c r="F20" s="3420">
        <f>'数据-取费表'!B53</f>
        <v>0</v>
      </c>
      <c r="G20" s="935"/>
      <c r="H20" s="4091" t="s">
        <v>666</v>
      </c>
      <c r="I20" s="3925" t="s">
        <v>3957</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560</v>
      </c>
      <c r="D22" s="1776" t="s">
        <v>724</v>
      </c>
      <c r="E22" s="186" t="s">
        <v>697</v>
      </c>
      <c r="F22" s="2767">
        <f ca="1">INDIRECT("'数据-取费表'!Ak"&amp;$G$1)</f>
        <v>2E-3</v>
      </c>
      <c r="G22" s="945"/>
      <c r="H22" s="3859" t="s">
        <v>396</v>
      </c>
      <c r="I22" s="56" t="s">
        <v>723</v>
      </c>
      <c r="J22" s="3879">
        <f ca="1">ROUND(J35*M22,0)</f>
        <v>560</v>
      </c>
      <c r="K22" s="1776" t="s">
        <v>724</v>
      </c>
      <c r="L22" s="186" t="s">
        <v>697</v>
      </c>
      <c r="M22" s="3901">
        <f ca="1">INDIRECT("'数据-取费表'!Ak"&amp;$G$1)</f>
        <v>2E-3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279772</v>
      </c>
      <c r="G23" s="945"/>
      <c r="H23" s="209"/>
      <c r="I23" s="195"/>
      <c r="J23" s="3880"/>
      <c r="K23" s="3926"/>
      <c r="L23" s="2713" t="s">
        <v>3809</v>
      </c>
      <c r="M23" s="3440">
        <f ca="1">J35</f>
        <v>279772</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232</v>
      </c>
      <c r="D24" s="1776" t="s">
        <v>3434</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3810</v>
      </c>
      <c r="F25" s="3413">
        <f ca="1">C53</f>
        <v>232211</v>
      </c>
      <c r="G25" s="935"/>
      <c r="H25" s="209"/>
      <c r="I25" s="195"/>
      <c r="J25" s="3880"/>
      <c r="K25" s="3926"/>
      <c r="L25" s="3925" t="s">
        <v>3810</v>
      </c>
      <c r="M25" s="3440">
        <f ca="1">J37</f>
        <v>0</v>
      </c>
    </row>
    <row r="26" spans="1:37" s="946" customFormat="1" ht="18" customHeight="1" thickBot="1">
      <c r="A26" s="726" t="s">
        <v>669</v>
      </c>
      <c r="B26" s="727" t="s">
        <v>713</v>
      </c>
      <c r="C26" s="3027">
        <f ca="1">ROUND(C5*F26,0)</f>
        <v>356</v>
      </c>
      <c r="D26" s="729" t="s">
        <v>3855</v>
      </c>
      <c r="E26" s="727" t="s">
        <v>697</v>
      </c>
      <c r="F26" s="2830">
        <f ca="1">INDIRECT("'数据-取费表'!Am"&amp;$G$1)</f>
        <v>0.01</v>
      </c>
      <c r="G26" s="945"/>
      <c r="H26" s="726" t="s">
        <v>669</v>
      </c>
      <c r="I26" s="727" t="s">
        <v>713</v>
      </c>
      <c r="J26" s="3027">
        <f ca="1">ROUND(J5*M26,0)</f>
        <v>0</v>
      </c>
      <c r="K26" s="729" t="s">
        <v>3855</v>
      </c>
      <c r="L26" s="727" t="s">
        <v>697</v>
      </c>
      <c r="M26" s="3437">
        <f ca="1">INDIRECT("'数据-取费表'!Am"&amp;$G$1)</f>
        <v>0.01</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29796</v>
      </c>
      <c r="D27" s="4221" t="s">
        <v>3896</v>
      </c>
      <c r="E27" s="4010"/>
      <c r="F27" s="4011"/>
      <c r="G27" s="498"/>
      <c r="H27" s="716" t="s">
        <v>3292</v>
      </c>
      <c r="I27" s="731" t="s">
        <v>3913</v>
      </c>
      <c r="J27" s="3853">
        <f ca="1">J5-J13</f>
        <v>-2904</v>
      </c>
      <c r="K27" s="4221"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f ca="1">ROUND(C27*(1-((1+F30)/(1+F28))^F29)/(F28-F30),0)</f>
        <v>548275</v>
      </c>
      <c r="D28" s="4013" t="s">
        <v>3914</v>
      </c>
      <c r="E28" s="2725" t="s">
        <v>3882</v>
      </c>
      <c r="F28" s="2767">
        <f ca="1">INDIRECT("'数据-取费表'!I"&amp;$G$1)</f>
        <v>5.5E-2</v>
      </c>
      <c r="G28" s="4001"/>
      <c r="H28" s="183" t="s">
        <v>3670</v>
      </c>
      <c r="I28" s="3913" t="s">
        <v>3801</v>
      </c>
      <c r="J28" s="3928">
        <f ca="1">IF(J5&lt;&gt;0,ROUND(J27*(1-((1+M30)/(1+M28))^M29)/(M28-M30),0),0)</f>
        <v>0</v>
      </c>
      <c r="K28" s="4013" t="s">
        <v>3914</v>
      </c>
      <c r="L28" s="4014" t="s">
        <v>3882</v>
      </c>
      <c r="M28" s="3434">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34.46</v>
      </c>
      <c r="G29" s="4001"/>
      <c r="H29" s="188"/>
      <c r="I29" s="189"/>
      <c r="J29" s="3929"/>
      <c r="K29" s="4015"/>
      <c r="L29" s="2725" t="s">
        <v>3885</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1.4999999999999999E-2</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597620</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5">
        <f ca="1">INDIRECT("'数据-取费表'!k"&amp;$G$1)</f>
        <v>54.09</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11049</v>
      </c>
      <c r="D32" s="4018" t="s">
        <v>3890</v>
      </c>
      <c r="E32" s="217" t="s">
        <v>3891</v>
      </c>
      <c r="F32" s="2769">
        <f ca="1">INDIRECT("'数据-取费表'!k"&amp;$G$1)</f>
        <v>54.09</v>
      </c>
      <c r="G32" s="498"/>
      <c r="H32" s="3831" t="s">
        <v>3673</v>
      </c>
      <c r="I32" s="3832" t="s">
        <v>3892</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0.16258677383997078</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229450</v>
      </c>
      <c r="D35" s="2736" t="s">
        <v>3407</v>
      </c>
      <c r="E35" s="2732"/>
      <c r="F35" s="2733"/>
      <c r="G35" s="935"/>
      <c r="H35" s="2746" t="s">
        <v>3399</v>
      </c>
      <c r="I35" s="2749" t="s">
        <v>3439</v>
      </c>
      <c r="J35" s="2750">
        <f ca="1">C51</f>
        <v>279772</v>
      </c>
      <c r="K35" s="3200" t="s">
        <v>3435</v>
      </c>
      <c r="L35" s="2751"/>
      <c r="M35" s="3034"/>
    </row>
    <row r="36" spans="1:37" ht="18" customHeight="1">
      <c r="A36" s="2700" t="s">
        <v>391</v>
      </c>
      <c r="B36" s="2665" t="s">
        <v>692</v>
      </c>
      <c r="C36" s="2610">
        <f ca="1">ROUND(INDIRECT("'数据-取费表'!l"&amp;$G$1)*F32+'数据-取费表'!L14*INDIRECT("'数据-取费表'!S"&amp;$G$1),0)</f>
        <v>194724</v>
      </c>
      <c r="D36" s="899" t="s">
        <v>693</v>
      </c>
      <c r="E36" s="899"/>
      <c r="F36" s="215"/>
      <c r="G36" s="935"/>
      <c r="H36" s="2747" t="s">
        <v>396</v>
      </c>
      <c r="I36" s="2752" t="s">
        <v>3427</v>
      </c>
      <c r="J36" s="2650">
        <f ca="1">ROUND(J35*(1-M36),0)</f>
        <v>279772</v>
      </c>
      <c r="K36" s="186" t="s">
        <v>3430</v>
      </c>
      <c r="L36" s="2715" t="s">
        <v>3442</v>
      </c>
      <c r="M36" s="2767">
        <f ca="1">INDIRECT("'数据-取费表'!ad"&amp;$G$1)</f>
        <v>0</v>
      </c>
    </row>
    <row r="37" spans="1:37" ht="18" customHeight="1" thickBot="1">
      <c r="A37" s="2700" t="s">
        <v>3393</v>
      </c>
      <c r="B37" s="2665" t="s">
        <v>695</v>
      </c>
      <c r="C37" s="2702">
        <f ca="1">ROUND(C36*F37,0)</f>
        <v>15578</v>
      </c>
      <c r="D37" s="186" t="s">
        <v>696</v>
      </c>
      <c r="E37" s="186" t="s">
        <v>697</v>
      </c>
      <c r="F37" s="2765">
        <f>'数据-取费表'!B33</f>
        <v>0.08</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16227</v>
      </c>
      <c r="D39" s="186" t="s">
        <v>702</v>
      </c>
      <c r="E39" s="186" t="s">
        <v>3862</v>
      </c>
      <c r="F39" s="3423">
        <f>'数据-取费表'!B35</f>
        <v>300</v>
      </c>
      <c r="G39" s="935"/>
    </row>
    <row r="40" spans="1:37" ht="18" customHeight="1">
      <c r="A40" s="2700" t="s">
        <v>668</v>
      </c>
      <c r="B40" s="2717" t="s">
        <v>3284</v>
      </c>
      <c r="C40" s="2702">
        <f ca="1">ROUND(C36*F40,0)</f>
        <v>2921</v>
      </c>
      <c r="D40" s="186" t="s">
        <v>696</v>
      </c>
      <c r="E40" s="186" t="s">
        <v>697</v>
      </c>
      <c r="F40" s="2765">
        <f>'数据-取费表'!B36</f>
        <v>1.4999999999999999E-2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4589</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7326+0.0003V建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7326</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35106+0.0015V建</v>
      </c>
      <c r="D47" s="2684" t="s">
        <v>3424</v>
      </c>
      <c r="E47" s="200"/>
      <c r="F47" s="2766"/>
      <c r="G47" s="935"/>
      <c r="H47" s="47"/>
      <c r="I47" s="47"/>
      <c r="J47" s="47"/>
      <c r="K47" s="1861"/>
      <c r="L47" s="47"/>
      <c r="M47" s="47"/>
    </row>
    <row r="48" spans="1:37" ht="18" customHeight="1">
      <c r="A48" s="2700" t="s">
        <v>391</v>
      </c>
      <c r="B48" s="186" t="s">
        <v>739</v>
      </c>
      <c r="C48" s="2702">
        <f ca="1">ROUND((C35+C42)*F48,0)</f>
        <v>35106</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4">
        <f ca="1">ROUND(F43*F48,4)</f>
        <v>1.5E-3</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279772</v>
      </c>
      <c r="D51" s="2739" t="s">
        <v>3435</v>
      </c>
      <c r="E51" s="2725"/>
      <c r="F51" s="2767"/>
      <c r="K51" s="4050"/>
      <c r="Q51" s="4045"/>
    </row>
    <row r="52" spans="1:37" s="4001" customFormat="1" ht="18" customHeight="1">
      <c r="A52" s="2729" t="s">
        <v>3425</v>
      </c>
      <c r="B52" s="2728" t="s">
        <v>3427</v>
      </c>
      <c r="C52" s="2743">
        <f ca="1">ROUND(C51*(1-F52),0)</f>
        <v>47561</v>
      </c>
      <c r="D52" s="2725" t="s">
        <v>3924</v>
      </c>
      <c r="E52" s="2725" t="s">
        <v>3925</v>
      </c>
      <c r="F52" s="2767">
        <f ca="1">INDIRECT("'数据-取费表'!y"&amp;$G$1)</f>
        <v>0.83</v>
      </c>
      <c r="K52" s="4050"/>
      <c r="Q52" s="4045"/>
    </row>
    <row r="53" spans="1:37" s="4001" customFormat="1" ht="18" customHeight="1" thickBot="1">
      <c r="A53" s="2730" t="s">
        <v>3920</v>
      </c>
      <c r="B53" s="2738" t="s">
        <v>3433</v>
      </c>
      <c r="C53" s="2754">
        <f ca="1">C51-C52</f>
        <v>232211</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4" t="e">
        <f ca="1">ROUND(IF(D2="含税",C83-C31,C80-C28)/10000,4)</f>
        <v>#VALUE!</v>
      </c>
      <c r="D55" s="955" t="str">
        <f>C2</f>
        <v>万元</v>
      </c>
      <c r="E55" s="949"/>
      <c r="F55" s="949"/>
      <c r="I55" s="956" t="s">
        <v>795</v>
      </c>
      <c r="J55" s="957"/>
      <c r="K55" s="958"/>
      <c r="L55" s="3897">
        <f ca="1">IF(M56="住宅",0,IF(L57&gt;J60,L69,J69))</f>
        <v>9258</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t="s">
        <v>4072</v>
      </c>
      <c r="K56" s="965" t="s">
        <v>801</v>
      </c>
      <c r="L56" s="3898">
        <f ca="1">INDIRECT("'数据-取费表'!d"&amp;$G$1)</f>
        <v>50</v>
      </c>
      <c r="M56" s="931" t="str">
        <f>IF(ISNUMBER(FIND("住宅",C1)),"住宅","非住宅")</f>
        <v>非住宅</v>
      </c>
      <c r="O56" s="4038" t="s">
        <v>397</v>
      </c>
      <c r="P56" s="4042" t="s">
        <v>3937</v>
      </c>
      <c r="Q56" s="4043">
        <f ca="1">C28+J31</f>
        <v>548275</v>
      </c>
      <c r="R56" s="4040" t="s">
        <v>3901</v>
      </c>
    </row>
    <row r="57" spans="1:37" s="935" customFormat="1" ht="42.75" thickBot="1">
      <c r="A57" s="652" t="s">
        <v>432</v>
      </c>
      <c r="B57" s="184" t="s">
        <v>3893</v>
      </c>
      <c r="C57" s="4025">
        <f ca="1">C58+C62+C64</f>
        <v>0</v>
      </c>
      <c r="D57" s="4002" t="s">
        <v>3927</v>
      </c>
      <c r="E57" s="4026"/>
      <c r="F57" s="4052"/>
      <c r="G57" s="490"/>
      <c r="H57" s="491"/>
      <c r="I57" s="970" t="s">
        <v>804</v>
      </c>
      <c r="J57" s="971" t="s">
        <v>4071</v>
      </c>
      <c r="K57" s="972" t="s">
        <v>805</v>
      </c>
      <c r="L57" s="3887">
        <f ca="1">INDIRECT("'数据-取费表'!f"&amp;$G$1)</f>
        <v>34.46</v>
      </c>
      <c r="O57" s="4038" t="s">
        <v>398</v>
      </c>
      <c r="P57" s="4039" t="s">
        <v>3902</v>
      </c>
      <c r="Q57" s="4043">
        <f ca="1">J69</f>
        <v>9258</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v>2016</v>
      </c>
      <c r="K58" s="972" t="s">
        <v>809</v>
      </c>
      <c r="L58" s="3899"/>
      <c r="O58" s="976" t="s">
        <v>399</v>
      </c>
      <c r="P58" s="4058" t="s">
        <v>3938</v>
      </c>
      <c r="Q58" s="3429">
        <f ca="1">C51</f>
        <v>279772</v>
      </c>
      <c r="R58" s="969" t="s">
        <v>803</v>
      </c>
    </row>
    <row r="59" spans="1:37" s="935" customFormat="1" ht="15" customHeight="1" thickBot="1">
      <c r="A59" s="3871" t="s">
        <v>3786</v>
      </c>
      <c r="B59" s="4481" t="s">
        <v>3783</v>
      </c>
      <c r="C59" s="3912">
        <f ca="1">ROUND(F58*F60*F59,0)</f>
        <v>0</v>
      </c>
      <c r="D59" s="4480" t="s">
        <v>3463</v>
      </c>
      <c r="E59" s="698" t="s">
        <v>682</v>
      </c>
      <c r="F59" s="2760">
        <f ca="1">F7</f>
        <v>54.09</v>
      </c>
      <c r="H59" s="491"/>
      <c r="I59" s="970" t="s">
        <v>811</v>
      </c>
      <c r="J59" s="3903">
        <f>SUMPRODUCT((I72:I74=J56)*(J71:L71=J57)*(J72:L74))</f>
        <v>60</v>
      </c>
      <c r="K59" s="972" t="s">
        <v>812</v>
      </c>
      <c r="L59" s="3899"/>
      <c r="M59" s="978"/>
      <c r="O59" s="976" t="s">
        <v>400</v>
      </c>
      <c r="P59" s="968" t="s">
        <v>813</v>
      </c>
      <c r="Q59" s="3430">
        <f ca="1">J67</f>
        <v>0.4</v>
      </c>
      <c r="R59" s="969"/>
    </row>
    <row r="60" spans="1:37" s="935" customFormat="1" ht="15" customHeight="1" thickBot="1">
      <c r="A60" s="4124"/>
      <c r="B60" s="4482"/>
      <c r="C60" s="3852"/>
      <c r="D60" s="4480"/>
      <c r="E60" s="657" t="str">
        <f ca="1">IF(F60=1,"年",IF(F60=12,"月","天"))</f>
        <v>天</v>
      </c>
      <c r="F60" s="2761">
        <f ca="1">F8</f>
        <v>365</v>
      </c>
      <c r="I60" s="980" t="s">
        <v>814</v>
      </c>
      <c r="J60" s="3887">
        <f>IF(J58="",J59,J58+J59-YEAR('数据-取费表'!B2))</f>
        <v>50</v>
      </c>
      <c r="K60" s="981" t="s">
        <v>815</v>
      </c>
      <c r="L60" s="3876">
        <f ca="1">ROUND(-PV(INDIRECT("'数据-取费表'!h"&amp;$G$1),J60,(C27-C52*C88),0),0)</f>
        <v>483175</v>
      </c>
      <c r="M60" s="983"/>
      <c r="O60" s="976" t="s">
        <v>401</v>
      </c>
      <c r="P60" s="968" t="s">
        <v>816</v>
      </c>
      <c r="Q60" s="3430">
        <f>J61</f>
        <v>7.4999999999999997E-2</v>
      </c>
      <c r="R60" s="969"/>
    </row>
    <row r="61" spans="1:37" s="935" customFormat="1" ht="15" customHeight="1" thickBot="1">
      <c r="A61" s="3851" t="s">
        <v>3787</v>
      </c>
      <c r="B61" s="4086" t="s">
        <v>3784</v>
      </c>
      <c r="C61" s="2758">
        <f ca="1">ROUND(C59*F61,0)</f>
        <v>0</v>
      </c>
      <c r="D61" s="2715" t="s">
        <v>3788</v>
      </c>
      <c r="E61" s="657" t="s">
        <v>684</v>
      </c>
      <c r="F61" s="2762"/>
      <c r="I61" s="984" t="s">
        <v>817</v>
      </c>
      <c r="J61" s="3888">
        <v>7.4999999999999997E-2</v>
      </c>
      <c r="K61" s="984" t="s">
        <v>818</v>
      </c>
      <c r="L61" s="3902"/>
      <c r="O61" s="976" t="s">
        <v>402</v>
      </c>
      <c r="P61" s="968" t="s">
        <v>819</v>
      </c>
      <c r="Q61" s="3429">
        <f ca="1">J62</f>
        <v>34.46</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34.46</v>
      </c>
      <c r="K62" s="4484" t="s">
        <v>822</v>
      </c>
      <c r="L62" s="4485"/>
      <c r="O62" s="4038" t="s">
        <v>403</v>
      </c>
      <c r="P62" s="4042" t="s">
        <v>3939</v>
      </c>
      <c r="Q62" s="4043">
        <f ca="1">ROUND((Q56+Q57)*(1+F31),0)</f>
        <v>607711</v>
      </c>
      <c r="R62" s="4040" t="s">
        <v>3941</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f ca="1">ROUND(IF(J56="钢混",J66/J59,1-(1-2%)*(J59-J66)/J59),3)</f>
        <v>0.25900000000000001</v>
      </c>
      <c r="K64" s="992" t="s">
        <v>826</v>
      </c>
      <c r="L64" s="993"/>
      <c r="O64" s="4035" t="s">
        <v>1325</v>
      </c>
      <c r="P64" s="4036" t="s">
        <v>3897</v>
      </c>
      <c r="Q64" s="4056" t="s">
        <v>3898</v>
      </c>
      <c r="R64" s="4037" t="s">
        <v>3899</v>
      </c>
    </row>
    <row r="65" spans="1:18" s="935" customFormat="1" ht="25.5" thickTop="1" thickBot="1">
      <c r="A65" s="199" t="s">
        <v>3928</v>
      </c>
      <c r="B65" s="634" t="s">
        <v>3910</v>
      </c>
      <c r="C65" s="2743" t="e">
        <f ca="1">ROUND(C66+C74+C76+C78,0)</f>
        <v>#VALUE!</v>
      </c>
      <c r="D65" s="634" t="s">
        <v>3929</v>
      </c>
      <c r="E65" s="4053"/>
      <c r="F65" s="638"/>
      <c r="I65" s="996" t="s">
        <v>827</v>
      </c>
      <c r="J65" s="997" t="s">
        <v>4073</v>
      </c>
      <c r="K65" s="970" t="s">
        <v>828</v>
      </c>
      <c r="L65" s="3887" t="str">
        <f ca="1">IF(L57&lt;J60,"——",L57-J62)</f>
        <v>——</v>
      </c>
      <c r="O65" s="4038" t="s">
        <v>397</v>
      </c>
      <c r="P65" s="4042" t="s">
        <v>3937</v>
      </c>
      <c r="Q65" s="4043">
        <f ca="1">C28+J31</f>
        <v>548275</v>
      </c>
      <c r="R65" s="4040" t="s">
        <v>3901</v>
      </c>
    </row>
    <row r="66" spans="1:18" s="935" customFormat="1" ht="24.75" thickBot="1">
      <c r="A66" s="519" t="s">
        <v>392</v>
      </c>
      <c r="B66" s="2695" t="s">
        <v>3963</v>
      </c>
      <c r="C66" s="2702" t="e">
        <f ca="1">ROUND(IF(AND(项目基本情况!B11="自然人",项目基本情况!B10="北京市",M56="住宅"),C58*F66,C67+C71+C72),0)</f>
        <v>#VALUE!</v>
      </c>
      <c r="D66" s="639" t="s">
        <v>3437</v>
      </c>
      <c r="E66" s="639" t="str">
        <f>E14</f>
        <v/>
      </c>
      <c r="F66" s="3837" t="str">
        <f>IF(M56="非住宅","",IF(F58*F59*F60/12/(1+'数据-取费表'!F30)&gt;100000,4%,2.5%))</f>
        <v/>
      </c>
      <c r="I66" s="1002" t="s">
        <v>829</v>
      </c>
      <c r="J66" s="3893">
        <f ca="1">IF(OR(M56="住宅",J60&lt;L57,J65="是"),"——",J60-L57)</f>
        <v>15.54</v>
      </c>
      <c r="K66" s="970" t="s">
        <v>830</v>
      </c>
      <c r="L66" s="3900" t="str">
        <f ca="1">IF(L57&lt;J60,"——",IF(L64="比较法",L58,IF(L64="基准地价",L59,L60)))</f>
        <v>——</v>
      </c>
      <c r="O66" s="4038" t="s">
        <v>398</v>
      </c>
      <c r="P66" s="4039" t="s">
        <v>3904</v>
      </c>
      <c r="Q66" s="4043">
        <f ca="1">L69</f>
        <v>0</v>
      </c>
      <c r="R66" s="4040" t="s">
        <v>3905</v>
      </c>
    </row>
    <row r="67" spans="1:18" s="935" customFormat="1" ht="24.75" thickBot="1">
      <c r="A67" s="2700" t="s">
        <v>391</v>
      </c>
      <c r="B67" s="2713" t="s">
        <v>3955</v>
      </c>
      <c r="C67" s="2702">
        <f ca="1">C70</f>
        <v>-8</v>
      </c>
      <c r="D67" s="2715" t="s">
        <v>3954</v>
      </c>
      <c r="E67" s="4090"/>
      <c r="F67" s="4123"/>
      <c r="I67" s="1002" t="s">
        <v>832</v>
      </c>
      <c r="J67" s="3894">
        <f ca="1">IF(J64&lt;0.4,0.4,J64)</f>
        <v>0.4</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f ca="1">IF(OR(M56="住宅",J60&lt;L57,J65="是"),"——",ROUND(C51*J67,0))</f>
        <v>111909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64</v>
      </c>
      <c r="D69" s="3978" t="s">
        <v>3851</v>
      </c>
      <c r="E69" s="2722"/>
      <c r="F69" s="2765">
        <f>F17</f>
        <v>0.06</v>
      </c>
      <c r="I69" s="1005" t="s">
        <v>837</v>
      </c>
      <c r="J69" s="3896">
        <f ca="1">IF(OR(M56="住宅",J60&lt;L57,J65="是"),"0",ROUND(J68/(1+J61)^J62,0))</f>
        <v>9258</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2702">
        <f ca="1">ROUND((C68-C69)*F70,0)</f>
        <v>-8</v>
      </c>
      <c r="D70" s="2740" t="s">
        <v>3974</v>
      </c>
      <c r="E70" s="186" t="s">
        <v>3976</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13.5" thickBot="1">
      <c r="A71" s="2700" t="s">
        <v>766</v>
      </c>
      <c r="B71" s="2695" t="s">
        <v>3961</v>
      </c>
      <c r="C71" s="2702" t="str">
        <f ca="1">IF(项目基本情况!B11="自然人","——",IF(D71="按不含税租金收入（有效毛租金收入）计税",ROUND(C58*F71/(1+'数据-取费表'!C43),0),IF(D71="按房产原值计税",ROUND(F74*F71*0.7,0),INDIRECT("'数据-取费表'!Aj"&amp;$G$1))))</f>
        <v>——</v>
      </c>
      <c r="D71" s="921"/>
      <c r="E71" s="626" t="s">
        <v>697</v>
      </c>
      <c r="F71" s="2765">
        <f t="shared" ref="F71:F73" si="0">F19</f>
        <v>0.12</v>
      </c>
      <c r="I71" s="1009" t="s">
        <v>842</v>
      </c>
      <c r="J71" s="1010" t="s">
        <v>843</v>
      </c>
      <c r="K71" s="1010" t="s">
        <v>844</v>
      </c>
      <c r="L71" s="1010" t="s">
        <v>845</v>
      </c>
      <c r="M71" s="1011" t="s">
        <v>846</v>
      </c>
      <c r="O71" s="4038" t="s">
        <v>403</v>
      </c>
      <c r="P71" s="4042" t="s">
        <v>3940</v>
      </c>
      <c r="Q71" s="4043">
        <f ca="1">ROUND((Q65+Q66)*(1+F31),0)</f>
        <v>597620</v>
      </c>
      <c r="R71" s="4040" t="s">
        <v>3941</v>
      </c>
    </row>
    <row r="72" spans="1:18" s="935" customFormat="1" ht="13.5" thickBot="1">
      <c r="A72" s="4091" t="s">
        <v>769</v>
      </c>
      <c r="B72" s="4084" t="s">
        <v>3957</v>
      </c>
      <c r="C72" s="3025" t="str">
        <f>IF(项目基本情况!B11="自然人","——",ROUND(F72*F73,0))</f>
        <v>——</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560</v>
      </c>
      <c r="D74" s="3862" t="s">
        <v>724</v>
      </c>
      <c r="E74" s="2695" t="s">
        <v>3797</v>
      </c>
      <c r="F74" s="3876">
        <f ca="1">C51</f>
        <v>279772</v>
      </c>
      <c r="I74" s="3424" t="s">
        <v>851</v>
      </c>
      <c r="J74" s="223">
        <v>40</v>
      </c>
      <c r="K74" s="223">
        <v>30</v>
      </c>
      <c r="L74" s="223">
        <v>50</v>
      </c>
      <c r="M74" s="1012">
        <v>0.02</v>
      </c>
      <c r="O74" s="4038" t="s">
        <v>397</v>
      </c>
      <c r="P74" s="4039" t="s">
        <v>3900</v>
      </c>
      <c r="Q74" s="4041">
        <f ca="1">C28+J31</f>
        <v>548275</v>
      </c>
      <c r="R74" s="4040" t="s">
        <v>3901</v>
      </c>
    </row>
    <row r="75" spans="1:18" s="935" customFormat="1" ht="15" thickBot="1">
      <c r="A75" s="3870"/>
      <c r="B75" s="632"/>
      <c r="C75" s="3880"/>
      <c r="D75" s="3863"/>
      <c r="E75" s="626" t="s">
        <v>697</v>
      </c>
      <c r="F75" s="2767">
        <f ca="1">F22</f>
        <v>2E-3</v>
      </c>
      <c r="O75" s="4038" t="s">
        <v>398</v>
      </c>
      <c r="P75" s="4039" t="s">
        <v>3904</v>
      </c>
      <c r="Q75" s="4057">
        <f ca="1">L69</f>
        <v>0</v>
      </c>
      <c r="R75" s="4040" t="s">
        <v>3906</v>
      </c>
    </row>
    <row r="76" spans="1:18" s="935" customFormat="1" ht="13.5" thickBot="1">
      <c r="A76" s="3868" t="s">
        <v>777</v>
      </c>
      <c r="B76" s="625" t="s">
        <v>727</v>
      </c>
      <c r="C76" s="3879">
        <f ca="1">ROUND(F76*F77,0)</f>
        <v>232</v>
      </c>
      <c r="D76" s="3862" t="s">
        <v>3434</v>
      </c>
      <c r="E76" s="2695" t="s">
        <v>3433</v>
      </c>
      <c r="F76" s="3877">
        <f ca="1">C53</f>
        <v>232211</v>
      </c>
      <c r="O76" s="967"/>
      <c r="P76" s="968"/>
      <c r="Q76" s="3432"/>
      <c r="R76" s="969"/>
    </row>
    <row r="77" spans="1:18" s="935" customFormat="1" ht="16.5" thickBot="1">
      <c r="A77" s="3870"/>
      <c r="B77" s="632"/>
      <c r="C77" s="3880"/>
      <c r="D77" s="3863"/>
      <c r="E77" s="626" t="s">
        <v>697</v>
      </c>
      <c r="F77" s="2767">
        <f ca="1">F24</f>
        <v>1E-3</v>
      </c>
      <c r="O77" s="976" t="s">
        <v>399</v>
      </c>
      <c r="P77" s="968" t="s">
        <v>834</v>
      </c>
      <c r="Q77" s="3433">
        <f ca="1">L60</f>
        <v>483175</v>
      </c>
      <c r="R77" s="969" t="s">
        <v>854</v>
      </c>
    </row>
    <row r="78" spans="1:18" s="4001" customFormat="1" ht="13.5" thickBot="1">
      <c r="A78" s="519" t="s">
        <v>778</v>
      </c>
      <c r="B78" s="626" t="s">
        <v>713</v>
      </c>
      <c r="C78" s="2702">
        <f ca="1">ROUND(C57*F78,0)</f>
        <v>0</v>
      </c>
      <c r="D78" s="640" t="s">
        <v>3855</v>
      </c>
      <c r="E78" s="626" t="s">
        <v>697</v>
      </c>
      <c r="F78" s="2767">
        <f ca="1">F26</f>
        <v>0.01</v>
      </c>
      <c r="G78" s="935"/>
      <c r="H78" s="935"/>
      <c r="O78" s="976"/>
      <c r="P78" s="968"/>
      <c r="Q78" s="3433"/>
      <c r="R78" s="969"/>
    </row>
    <row r="79" spans="1:18" s="4001" customFormat="1" ht="16.5" thickBot="1">
      <c r="A79" s="633" t="s">
        <v>3930</v>
      </c>
      <c r="B79" s="643" t="s">
        <v>3878</v>
      </c>
      <c r="C79" s="2743" t="e">
        <f ca="1">C57-C65</f>
        <v>#VALUE!</v>
      </c>
      <c r="D79" s="643" t="s">
        <v>3879</v>
      </c>
      <c r="E79" s="4027"/>
      <c r="F79" s="4028"/>
      <c r="O79" s="976" t="s">
        <v>400</v>
      </c>
      <c r="P79" s="1014" t="s">
        <v>3931</v>
      </c>
      <c r="Q79" s="3433">
        <f ca="1">ROUND(Q80-Q81*Q82,0)</f>
        <v>26467</v>
      </c>
      <c r="R79" s="969" t="s">
        <v>408</v>
      </c>
    </row>
    <row r="80" spans="1:18" s="4001" customFormat="1" ht="13.5" thickBot="1">
      <c r="A80" s="3201" t="s">
        <v>388</v>
      </c>
      <c r="B80" s="624" t="s">
        <v>3880</v>
      </c>
      <c r="C80" s="3912" t="e">
        <f ca="1">ROUND(C79*(1-((1+F82)/(1+F80))^F81)/(F80-F82),0)</f>
        <v>#VALUE!</v>
      </c>
      <c r="D80" s="4029" t="s">
        <v>3881</v>
      </c>
      <c r="E80" s="634" t="s">
        <v>3882</v>
      </c>
      <c r="F80" s="2767">
        <f ca="1">F28</f>
        <v>5.5E-2</v>
      </c>
      <c r="O80" s="976" t="s">
        <v>405</v>
      </c>
      <c r="P80" s="1014" t="s">
        <v>3932</v>
      </c>
      <c r="Q80" s="3433">
        <f ca="1">C27</f>
        <v>29796</v>
      </c>
      <c r="R80" s="969" t="s">
        <v>803</v>
      </c>
    </row>
    <row r="81" spans="1:18" s="4001" customFormat="1" ht="13.5" thickBot="1">
      <c r="A81" s="3202"/>
      <c r="B81" s="628"/>
      <c r="C81" s="4093"/>
      <c r="D81" s="4030" t="s">
        <v>3886</v>
      </c>
      <c r="E81" s="634" t="s">
        <v>3885</v>
      </c>
      <c r="F81" s="2768">
        <f ca="1">F29</f>
        <v>34.46</v>
      </c>
      <c r="O81" s="976" t="s">
        <v>406</v>
      </c>
      <c r="P81" s="1014" t="s">
        <v>3933</v>
      </c>
      <c r="Q81" s="3433">
        <f ca="1">C52</f>
        <v>47561</v>
      </c>
      <c r="R81" s="969" t="s">
        <v>803</v>
      </c>
    </row>
    <row r="82" spans="1:18" s="4001" customFormat="1" ht="13.5" thickBot="1">
      <c r="A82" s="4054"/>
      <c r="B82" s="4055"/>
      <c r="C82" s="4055"/>
      <c r="D82" s="4031"/>
      <c r="E82" s="634" t="s">
        <v>3887</v>
      </c>
      <c r="F82" s="2762"/>
      <c r="O82" s="976" t="s">
        <v>407</v>
      </c>
      <c r="P82" s="1014" t="s">
        <v>3934</v>
      </c>
      <c r="Q82" s="3430">
        <f ca="1">C88</f>
        <v>7.0000000000000007E-2</v>
      </c>
      <c r="R82" s="969"/>
    </row>
    <row r="83" spans="1:18" s="4001" customFormat="1" ht="13.5" thickBot="1">
      <c r="A83" s="630"/>
      <c r="B83" s="2742" t="s">
        <v>3936</v>
      </c>
      <c r="C83" s="3853" t="e">
        <f ca="1">ROUND(C80*(1+F31),0)</f>
        <v>#VALUE!</v>
      </c>
      <c r="D83" s="4223" t="str">
        <f>D31</f>
        <v>其他类型公式—收益价值×（1+9%）</v>
      </c>
      <c r="E83" s="1018"/>
      <c r="F83" s="4033"/>
      <c r="O83" s="976" t="s">
        <v>401</v>
      </c>
      <c r="P83" s="968" t="s">
        <v>3935</v>
      </c>
      <c r="Q83" s="3430">
        <f>L61</f>
        <v>0</v>
      </c>
      <c r="R83" s="969"/>
    </row>
    <row r="84" spans="1:18" ht="16.5" thickBot="1">
      <c r="A84" s="647" t="s">
        <v>389</v>
      </c>
      <c r="B84" s="648" t="s">
        <v>761</v>
      </c>
      <c r="C84" s="2754" t="e">
        <f ca="1">ROUND(C83/F84,0)</f>
        <v>#VALUE!</v>
      </c>
      <c r="D84" s="4034" t="s">
        <v>3890</v>
      </c>
      <c r="E84" s="648" t="s">
        <v>3891</v>
      </c>
      <c r="F84" s="2769">
        <f ca="1">F32</f>
        <v>54.09</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建筑物剩余耐用年限下的土地年期修正系数Kn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3940</v>
      </c>
      <c r="Q86" s="4041">
        <f ca="1">ROUND((Q74+Q75)*(1+F31),0)</f>
        <v>597620</v>
      </c>
      <c r="R86" s="4040" t="s">
        <v>3941</v>
      </c>
    </row>
    <row r="87" spans="1:18">
      <c r="A87" s="935"/>
      <c r="B87" s="222" t="s">
        <v>780</v>
      </c>
      <c r="C87" s="2831">
        <f ca="1">ROUND(C53*C88,0)</f>
        <v>16255</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0.45399999999999996</v>
      </c>
    </row>
    <row r="92" spans="1:18">
      <c r="B92" s="222" t="s">
        <v>785</v>
      </c>
      <c r="C92" s="2832">
        <f ca="1">ROUND(C87/C27,3)</f>
        <v>0.54600000000000004</v>
      </c>
    </row>
    <row r="93" spans="1:18">
      <c r="B93" s="165" t="s">
        <v>786</v>
      </c>
      <c r="C93" s="133"/>
    </row>
    <row r="94" spans="1:18">
      <c r="B94" s="168" t="s">
        <v>787</v>
      </c>
      <c r="C94" s="2833">
        <f ca="1">1-C95</f>
        <v>0.58400000000000007</v>
      </c>
    </row>
    <row r="95" spans="1:18">
      <c r="B95" s="168" t="s">
        <v>788</v>
      </c>
      <c r="C95" s="2832">
        <f ca="1">ROUND(C53/(C28+J31+L55),3)</f>
        <v>0.41599999999999998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1" t="s">
        <v>679</v>
      </c>
      <c r="C6" s="712">
        <f ca="1">ROUND(F6*F8*F7*(1-F9),0)</f>
        <v>0</v>
      </c>
      <c r="D6" s="56" t="s">
        <v>2013</v>
      </c>
      <c r="E6" s="186" t="s">
        <v>681</v>
      </c>
      <c r="F6" s="187">
        <f ca="1">INDIRECT("'数据-取费表'!u"&amp;$G$1)</f>
        <v>0</v>
      </c>
      <c r="G6" s="935"/>
      <c r="H6" s="707" t="s">
        <v>392</v>
      </c>
      <c r="I6" s="4551" t="s">
        <v>679</v>
      </c>
      <c r="J6" s="185">
        <f ca="1">ROUND(M6*M8*M7*(1-M9),0)</f>
        <v>0</v>
      </c>
      <c r="K6" s="927" t="s">
        <v>2014</v>
      </c>
      <c r="L6" s="186" t="s">
        <v>681</v>
      </c>
      <c r="M6" s="187">
        <f ca="1">INDIRECT("'数据-取费表'!z"&amp;$G$1)</f>
        <v>0</v>
      </c>
    </row>
    <row r="7" spans="1:37" ht="18" customHeight="1">
      <c r="A7" s="711"/>
      <c r="B7" s="4552"/>
      <c r="C7" s="713"/>
      <c r="D7" s="191"/>
      <c r="E7" s="714" t="s">
        <v>682</v>
      </c>
      <c r="F7" s="187">
        <f ca="1">IF(INDIRECT("'数据-取费表'!ah"&amp;$G$1)="",INDIRECT("'数据-取费表'!k"&amp;$G$1),INDIRECT("'数据-取费表'!ah"&amp;$G$1))</f>
        <v>0</v>
      </c>
      <c r="G7" s="935"/>
      <c r="H7" s="188"/>
      <c r="I7" s="4552"/>
      <c r="J7" s="190"/>
      <c r="K7" s="191"/>
      <c r="L7" s="186" t="s">
        <v>682</v>
      </c>
      <c r="M7" s="187">
        <f ca="1">F7</f>
        <v>0</v>
      </c>
    </row>
    <row r="8" spans="1:37" ht="18" customHeight="1">
      <c r="A8" s="188"/>
      <c r="B8" s="4552"/>
      <c r="C8" s="190"/>
      <c r="D8" s="191"/>
      <c r="E8" s="186" t="s">
        <v>683</v>
      </c>
      <c r="F8" s="187">
        <f ca="1">INDIRECT("'数据-取费表'!ai"&amp;$G$1)</f>
        <v>0</v>
      </c>
      <c r="G8" s="935"/>
      <c r="H8" s="188"/>
      <c r="I8" s="4552"/>
      <c r="J8" s="190"/>
      <c r="K8" s="191"/>
      <c r="L8" s="186" t="s">
        <v>683</v>
      </c>
      <c r="M8" s="187">
        <f ca="1">INDIRECT("'数据-取费表'!ai"&amp;$G$1)</f>
        <v>0</v>
      </c>
    </row>
    <row r="9" spans="1:37" ht="18" customHeight="1">
      <c r="A9" s="188"/>
      <c r="B9" s="4553"/>
      <c r="C9" s="190"/>
      <c r="D9" s="191"/>
      <c r="E9" s="186" t="s">
        <v>684</v>
      </c>
      <c r="F9" s="196">
        <f ca="1">INDIRECT("'数据-取费表'!w"&amp;$G$1)</f>
        <v>0</v>
      </c>
      <c r="G9" s="935"/>
      <c r="H9" s="188"/>
      <c r="I9" s="455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2192</v>
      </c>
      <c r="I31" s="947"/>
      <c r="J31" s="948"/>
      <c r="K31" s="47"/>
      <c r="L31" s="1959"/>
      <c r="M31" s="1960"/>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8"/>
      <c r="I32" s="947"/>
      <c r="J32" s="948"/>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84" t="s">
        <v>822</v>
      </c>
      <c r="L53" s="4485"/>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60" t="s">
        <v>2203</v>
      </c>
      <c r="K2" s="4561"/>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62" t="s">
        <v>2213</v>
      </c>
      <c r="K3" s="4563"/>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62" t="s">
        <v>2215</v>
      </c>
      <c r="K4" s="4563"/>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69" t="s">
        <v>3781</v>
      </c>
      <c r="B6" s="4570"/>
      <c r="C6" s="4571"/>
      <c r="D6" s="3444"/>
      <c r="E6" s="3580"/>
      <c r="F6" s="2092"/>
      <c r="G6" s="2093"/>
      <c r="H6" s="2071"/>
      <c r="I6" s="2072"/>
      <c r="J6" s="4554">
        <v>1</v>
      </c>
      <c r="K6" s="4555"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54"/>
      <c r="K7" s="4556"/>
      <c r="L7" s="2102" t="s">
        <v>2229</v>
      </c>
      <c r="M7" s="3678"/>
      <c r="N7" s="3677"/>
      <c r="O7" s="4227"/>
      <c r="P7" s="4227"/>
      <c r="Q7" s="3677">
        <v>365</v>
      </c>
      <c r="R7" s="3676">
        <f>ROUND(M7*N7*O7*P7*Q7/10000,0)</f>
        <v>0</v>
      </c>
      <c r="S7" s="2065"/>
      <c r="T7" s="2065" t="s">
        <v>2230</v>
      </c>
      <c r="U7" s="2065"/>
      <c r="V7" s="2072"/>
    </row>
    <row r="8" spans="1:22" s="2076" customFormat="1" ht="13.15" customHeight="1">
      <c r="A8" s="2106" t="s">
        <v>2231</v>
      </c>
      <c r="B8" s="4572" t="s">
        <v>2232</v>
      </c>
      <c r="C8" s="4573"/>
      <c r="D8" s="4066" t="s">
        <v>3943</v>
      </c>
      <c r="E8" s="2107" t="s">
        <v>2233</v>
      </c>
      <c r="F8" s="2108" t="s">
        <v>2234</v>
      </c>
      <c r="G8" s="2109"/>
      <c r="H8" s="2071"/>
      <c r="I8" s="2072"/>
      <c r="J8" s="4554"/>
      <c r="K8" s="4556"/>
      <c r="L8" s="2102" t="s">
        <v>2235</v>
      </c>
      <c r="M8" s="3678"/>
      <c r="N8" s="3677"/>
      <c r="O8" s="4227"/>
      <c r="P8" s="4227"/>
      <c r="Q8" s="3677">
        <v>365</v>
      </c>
      <c r="R8" s="3676">
        <f t="shared" ref="R8:R13" si="0">ROUND(M8*N8*O8*P8*Q8/10000,0)</f>
        <v>0</v>
      </c>
      <c r="S8" s="2065"/>
      <c r="T8" s="2065" t="s">
        <v>2236</v>
      </c>
      <c r="U8" s="2065"/>
      <c r="V8" s="2072"/>
    </row>
    <row r="9" spans="1:22" s="2076" customFormat="1" ht="13.15" customHeight="1">
      <c r="A9" s="2106">
        <v>1</v>
      </c>
      <c r="B9" s="4572" t="s">
        <v>2237</v>
      </c>
      <c r="C9" s="4573"/>
      <c r="D9" s="3446">
        <f>ROUND(D6*E9,0)</f>
        <v>0</v>
      </c>
      <c r="E9" s="3447"/>
      <c r="F9" s="2110" t="s">
        <v>2238</v>
      </c>
      <c r="G9" s="2093"/>
      <c r="H9" s="2071"/>
      <c r="I9" s="2072"/>
      <c r="J9" s="4554"/>
      <c r="K9" s="4556"/>
      <c r="L9" s="2102" t="s">
        <v>2239</v>
      </c>
      <c r="M9" s="3678"/>
      <c r="N9" s="3677"/>
      <c r="O9" s="4227"/>
      <c r="P9" s="4227"/>
      <c r="Q9" s="3677">
        <v>365</v>
      </c>
      <c r="R9" s="3676">
        <f t="shared" si="0"/>
        <v>0</v>
      </c>
      <c r="S9" s="2065"/>
      <c r="T9" s="2065"/>
      <c r="U9" s="2065"/>
      <c r="V9" s="2072"/>
    </row>
    <row r="10" spans="1:22" s="2076" customFormat="1" ht="13.15" customHeight="1">
      <c r="A10" s="2106">
        <v>2</v>
      </c>
      <c r="B10" s="4572" t="s">
        <v>2240</v>
      </c>
      <c r="C10" s="4573"/>
      <c r="D10" s="3446">
        <f>ROUND(D6*E10,0)</f>
        <v>0</v>
      </c>
      <c r="E10" s="3447"/>
      <c r="F10" s="3575" t="s">
        <v>3706</v>
      </c>
      <c r="G10" s="2093"/>
      <c r="H10" s="2071"/>
      <c r="I10" s="2072"/>
      <c r="J10" s="4554"/>
      <c r="K10" s="4556"/>
      <c r="L10" s="2102" t="s">
        <v>2241</v>
      </c>
      <c r="M10" s="3678"/>
      <c r="N10" s="3677"/>
      <c r="O10" s="4227"/>
      <c r="P10" s="4227"/>
      <c r="Q10" s="3677">
        <v>365</v>
      </c>
      <c r="R10" s="3676">
        <f t="shared" si="0"/>
        <v>0</v>
      </c>
      <c r="S10" s="2065"/>
      <c r="T10" s="2065"/>
      <c r="U10" s="2065"/>
      <c r="V10" s="2072"/>
    </row>
    <row r="11" spans="1:22" s="2076" customFormat="1" ht="13.15" customHeight="1">
      <c r="A11" s="2106">
        <v>3</v>
      </c>
      <c r="B11" s="4572" t="s">
        <v>2242</v>
      </c>
      <c r="C11" s="4573"/>
      <c r="D11" s="3446">
        <f>D12+D14+D15+D16</f>
        <v>0</v>
      </c>
      <c r="E11" s="3448" t="e">
        <f>D11/D6</f>
        <v>#DIV/0!</v>
      </c>
      <c r="F11" s="2108"/>
      <c r="G11" s="2109"/>
      <c r="H11" s="2071"/>
      <c r="I11" s="2072"/>
      <c r="J11" s="4554"/>
      <c r="K11" s="4556"/>
      <c r="L11" s="2102" t="s">
        <v>2243</v>
      </c>
      <c r="M11" s="3678"/>
      <c r="N11" s="3677"/>
      <c r="O11" s="4227"/>
      <c r="P11" s="4227"/>
      <c r="Q11" s="3677">
        <v>365</v>
      </c>
      <c r="R11" s="3676">
        <f t="shared" si="0"/>
        <v>0</v>
      </c>
      <c r="S11" s="2065"/>
      <c r="T11" s="2065"/>
      <c r="U11" s="2065"/>
      <c r="V11" s="2072"/>
    </row>
    <row r="12" spans="1:22" s="2076" customFormat="1" ht="13.15" customHeight="1">
      <c r="A12" s="2111" t="s">
        <v>2244</v>
      </c>
      <c r="B12" s="4566" t="s">
        <v>2245</v>
      </c>
      <c r="C12" s="4565"/>
      <c r="D12" s="3449">
        <f>ROUND(D13*1.2%*(1-30%),0)</f>
        <v>0</v>
      </c>
      <c r="E12" s="3450">
        <v>1.2E-2</v>
      </c>
      <c r="F12" s="2108" t="s">
        <v>2246</v>
      </c>
      <c r="G12" s="2109"/>
      <c r="H12" s="2071"/>
      <c r="I12" s="2072"/>
      <c r="J12" s="4554"/>
      <c r="K12" s="4556"/>
      <c r="L12" s="2102" t="s">
        <v>2247</v>
      </c>
      <c r="M12" s="3678"/>
      <c r="N12" s="3677"/>
      <c r="O12" s="4227"/>
      <c r="P12" s="4227"/>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54"/>
      <c r="K13" s="4556"/>
      <c r="L13" s="2102" t="s">
        <v>2249</v>
      </c>
      <c r="M13" s="3678"/>
      <c r="N13" s="3677"/>
      <c r="O13" s="4227"/>
      <c r="P13" s="4227"/>
      <c r="Q13" s="3677">
        <v>365</v>
      </c>
      <c r="R13" s="3676">
        <f t="shared" si="0"/>
        <v>0</v>
      </c>
      <c r="S13" s="2065"/>
      <c r="T13" s="2065"/>
      <c r="U13" s="2065"/>
      <c r="V13" s="2072"/>
    </row>
    <row r="14" spans="1:22" s="2076" customFormat="1" ht="13.15" customHeight="1">
      <c r="A14" s="2111" t="s">
        <v>2250</v>
      </c>
      <c r="B14" s="4566" t="s">
        <v>2251</v>
      </c>
      <c r="C14" s="4565"/>
      <c r="D14" s="3449">
        <f>ROUND(E14*B5/10000,0)</f>
        <v>0</v>
      </c>
      <c r="E14" s="3452"/>
      <c r="F14" s="2108" t="s">
        <v>2252</v>
      </c>
      <c r="G14" s="2109"/>
      <c r="H14" s="2071"/>
      <c r="I14" s="2072"/>
      <c r="J14" s="4554"/>
      <c r="K14" s="4557"/>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64" t="s">
        <v>3778</v>
      </c>
      <c r="C15" s="4565"/>
      <c r="D15" s="3449">
        <f>IF(F15="酒店",E48*(1+E15),IF(F15="购物中心",E67*(1+E15),IF(F15="按比例计算-酒店",E46,E65)))</f>
        <v>0</v>
      </c>
      <c r="E15" s="3450">
        <f>'数据-取费表'!B44</f>
        <v>0.12000000000000001</v>
      </c>
      <c r="F15" s="3578" t="s">
        <v>3837</v>
      </c>
      <c r="G15" s="3579"/>
      <c r="H15" s="2071"/>
      <c r="I15" s="2072"/>
      <c r="J15" s="4554">
        <v>2</v>
      </c>
      <c r="K15" s="4555"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66" t="s">
        <v>2262</v>
      </c>
      <c r="C16" s="4565"/>
      <c r="D16" s="3453">
        <f>D6*E16</f>
        <v>0</v>
      </c>
      <c r="E16" s="3454"/>
      <c r="F16" s="2110" t="s">
        <v>2263</v>
      </c>
      <c r="G16" s="2093"/>
      <c r="H16" s="2071"/>
      <c r="I16" s="2072"/>
      <c r="J16" s="4554"/>
      <c r="K16" s="4556"/>
      <c r="L16" s="2102" t="s">
        <v>2264</v>
      </c>
      <c r="M16" s="3678"/>
      <c r="N16" s="3678"/>
      <c r="O16" s="4229"/>
      <c r="P16" s="3677">
        <v>365</v>
      </c>
      <c r="Q16" s="3677"/>
      <c r="R16" s="3676">
        <f>ROUND(M16*N16*O16*P16/10000,0)</f>
        <v>0</v>
      </c>
      <c r="S16" s="2065"/>
      <c r="T16" s="2065"/>
      <c r="U16" s="2065"/>
      <c r="V16" s="2072"/>
    </row>
    <row r="17" spans="1:22" s="2076" customFormat="1" ht="13.15" customHeight="1" thickBot="1">
      <c r="A17" s="2121">
        <v>4</v>
      </c>
      <c r="B17" s="4567" t="s">
        <v>2265</v>
      </c>
      <c r="C17" s="4568"/>
      <c r="D17" s="3455">
        <f>ROUND(D6*E17,0)</f>
        <v>0</v>
      </c>
      <c r="E17" s="3456"/>
      <c r="F17" s="3576" t="s">
        <v>3707</v>
      </c>
      <c r="G17" s="2093"/>
      <c r="H17" s="2071"/>
      <c r="I17" s="2072"/>
      <c r="J17" s="4554"/>
      <c r="K17" s="4556"/>
      <c r="L17" s="2102" t="s">
        <v>2266</v>
      </c>
      <c r="M17" s="3678"/>
      <c r="N17" s="3678"/>
      <c r="O17" s="4229"/>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54"/>
      <c r="K18" s="4556"/>
      <c r="L18" s="2102" t="s">
        <v>2269</v>
      </c>
      <c r="M18" s="3678"/>
      <c r="N18" s="3678"/>
      <c r="O18" s="4229"/>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54"/>
      <c r="K19" s="4557"/>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54">
        <v>3</v>
      </c>
      <c r="K20" s="4555"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54"/>
      <c r="K21" s="4556"/>
      <c r="L21" s="2102" t="s">
        <v>2282</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54"/>
      <c r="K22" s="4556"/>
      <c r="L22" s="2102" t="s">
        <v>2286</v>
      </c>
      <c r="M22" s="3678"/>
      <c r="N22" s="3678"/>
      <c r="O22" s="4228"/>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54"/>
      <c r="K23" s="4556"/>
      <c r="L23" s="2102" t="s">
        <v>2288</v>
      </c>
      <c r="M23" s="3678"/>
      <c r="N23" s="3678"/>
      <c r="O23" s="4228"/>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54"/>
      <c r="K24" s="4557"/>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58">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59"/>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60" t="s">
        <v>2203</v>
      </c>
      <c r="K32" s="4561"/>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62" t="s">
        <v>2213</v>
      </c>
      <c r="K33" s="4563"/>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62" t="s">
        <v>2215</v>
      </c>
      <c r="K34" s="4563"/>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54">
        <v>1</v>
      </c>
      <c r="K36" s="4555"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54"/>
      <c r="K37" s="4556"/>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54"/>
      <c r="K38" s="4556"/>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54"/>
      <c r="K39" s="4556"/>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54"/>
      <c r="K40" s="4557"/>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58">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59"/>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60.771099999999997</v>
      </c>
      <c r="C2" s="1347" t="s">
        <v>1558</v>
      </c>
      <c r="D2" s="1348" t="s">
        <v>1559</v>
      </c>
      <c r="E2" s="2878">
        <f>SUM(E6:E13)</f>
        <v>54.09</v>
      </c>
      <c r="F2" s="1967"/>
      <c r="G2" s="1032"/>
      <c r="H2" s="1032"/>
      <c r="I2" s="1032"/>
      <c r="J2" s="1032"/>
      <c r="K2" s="1032"/>
      <c r="L2" s="1032"/>
      <c r="M2" s="1032"/>
      <c r="N2" s="1032"/>
      <c r="O2" s="1032"/>
      <c r="P2" s="1032"/>
      <c r="Q2" s="1032"/>
      <c r="R2" s="1032"/>
      <c r="S2" s="1032"/>
    </row>
    <row r="3" spans="1:22" ht="15.75">
      <c r="A3" s="1346" t="s">
        <v>672</v>
      </c>
      <c r="B3" s="2877">
        <f ca="1">ROUND(B2*10000/E2,0)</f>
        <v>11235</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74" t="s">
        <v>1561</v>
      </c>
      <c r="C5" s="4575"/>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60.771099999999997</v>
      </c>
      <c r="C6" s="1347" t="s">
        <v>1558</v>
      </c>
      <c r="D6" s="1967"/>
      <c r="E6" s="2879">
        <f>IF(OR(A6=0,F6="否"),0,'数据-取费表'!K6+'数据-取费表'!S6)</f>
        <v>54.09</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79" t="s">
        <v>1991</v>
      </c>
      <c r="D1" s="4580"/>
      <c r="E1" s="4580"/>
      <c r="F1" s="4580"/>
      <c r="G1" s="4580"/>
      <c r="H1" s="4580"/>
      <c r="I1" s="4580"/>
      <c r="J1" s="4580"/>
      <c r="K1" s="4580"/>
      <c r="L1" s="4580"/>
      <c r="M1" s="4580"/>
      <c r="N1" s="4580"/>
      <c r="O1" s="4580"/>
      <c r="P1" s="4580"/>
      <c r="Q1" s="4580"/>
      <c r="R1" s="4580"/>
      <c r="S1" s="4581"/>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76" t="s">
        <v>25</v>
      </c>
      <c r="D22" s="4577"/>
      <c r="E22" s="4577"/>
      <c r="F22" s="4577"/>
      <c r="G22" s="4577"/>
      <c r="H22" s="4577"/>
      <c r="I22" s="4577"/>
      <c r="J22" s="4577"/>
      <c r="K22" s="4577"/>
      <c r="L22" s="4577"/>
      <c r="M22" s="4577"/>
      <c r="N22" s="4577"/>
      <c r="O22" s="4577"/>
      <c r="P22" s="4577"/>
      <c r="Q22" s="4578"/>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54.09</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86" t="s">
        <v>1574</v>
      </c>
      <c r="D4" s="4587"/>
      <c r="E4" s="4588" t="s">
        <v>1575</v>
      </c>
      <c r="F4" s="4589"/>
      <c r="G4" s="4586" t="s">
        <v>1576</v>
      </c>
      <c r="H4" s="4587"/>
      <c r="I4" s="4586" t="s">
        <v>1577</v>
      </c>
      <c r="J4" s="4587"/>
      <c r="K4" s="2809" t="s">
        <v>1578</v>
      </c>
      <c r="L4" s="1974"/>
      <c r="M4" s="1975"/>
      <c r="N4" s="1975"/>
      <c r="O4" s="1975"/>
      <c r="P4" s="4590" t="s">
        <v>1579</v>
      </c>
      <c r="Q4" s="4591"/>
      <c r="R4" s="4594" t="s">
        <v>1575</v>
      </c>
      <c r="S4" s="4595"/>
      <c r="T4" s="4594" t="s">
        <v>1576</v>
      </c>
      <c r="U4" s="4595"/>
      <c r="V4" s="4526" t="s">
        <v>1577</v>
      </c>
      <c r="W4" s="4526"/>
      <c r="X4" s="909"/>
      <c r="Y4" s="4601" t="s">
        <v>1579</v>
      </c>
      <c r="Z4" s="4602"/>
      <c r="AA4" s="4585" t="s">
        <v>1575</v>
      </c>
      <c r="AB4" s="4585" t="s">
        <v>1576</v>
      </c>
      <c r="AC4" s="4585" t="s">
        <v>1577</v>
      </c>
    </row>
    <row r="5" spans="1:29" ht="15">
      <c r="A5" s="238"/>
      <c r="B5" s="239"/>
      <c r="C5" s="4598" t="s">
        <v>1580</v>
      </c>
      <c r="D5" s="4599"/>
      <c r="E5" s="4605" t="s">
        <v>1581</v>
      </c>
      <c r="F5" s="4606"/>
      <c r="G5" s="4598" t="s">
        <v>1582</v>
      </c>
      <c r="H5" s="4599"/>
      <c r="I5" s="4598" t="s">
        <v>1583</v>
      </c>
      <c r="J5" s="4599"/>
      <c r="K5" s="2810"/>
      <c r="L5" s="1974"/>
      <c r="M5" s="1975"/>
      <c r="N5" s="1975"/>
      <c r="O5" s="1975"/>
      <c r="P5" s="4592"/>
      <c r="Q5" s="4516"/>
      <c r="R5" s="4521"/>
      <c r="S5" s="4522"/>
      <c r="T5" s="4521"/>
      <c r="U5" s="4522"/>
      <c r="V5" s="4526"/>
      <c r="W5" s="4526"/>
      <c r="X5" s="909"/>
      <c r="Y5" s="4537"/>
      <c r="Z5" s="4538"/>
      <c r="AA5" s="4545"/>
      <c r="AB5" s="4545"/>
      <c r="AC5" s="4545"/>
    </row>
    <row r="6" spans="1:29" ht="15.75" thickBot="1">
      <c r="A6" s="240"/>
      <c r="B6" s="241"/>
      <c r="C6" s="4596" t="s">
        <v>1584</v>
      </c>
      <c r="D6" s="4597"/>
      <c r="E6" s="4603" t="s">
        <v>1584</v>
      </c>
      <c r="F6" s="4604"/>
      <c r="G6" s="4596" t="s">
        <v>1584</v>
      </c>
      <c r="H6" s="4597"/>
      <c r="I6" s="4596" t="s">
        <v>1584</v>
      </c>
      <c r="J6" s="4597"/>
      <c r="K6" s="2810" t="s">
        <v>1585</v>
      </c>
      <c r="L6" s="1974"/>
      <c r="M6" s="1975"/>
      <c r="N6" s="1975"/>
      <c r="O6" s="1975"/>
      <c r="P6" s="4593"/>
      <c r="Q6" s="4518"/>
      <c r="R6" s="4521"/>
      <c r="S6" s="4522"/>
      <c r="T6" s="4523"/>
      <c r="U6" s="4524"/>
      <c r="V6" s="4526"/>
      <c r="W6" s="4526"/>
      <c r="X6" s="909"/>
      <c r="Y6" s="4539"/>
      <c r="Z6" s="4540"/>
      <c r="AA6" s="4546"/>
      <c r="AB6" s="4546"/>
      <c r="AC6" s="4546"/>
    </row>
    <row r="7" spans="1:29" s="46" customFormat="1" ht="15.75" thickBot="1">
      <c r="A7" s="242" t="s">
        <v>1586</v>
      </c>
      <c r="B7" s="243"/>
      <c r="C7" s="2811">
        <f>'数据-取费表'!B2</f>
        <v>46092</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600" t="s">
        <v>1587</v>
      </c>
      <c r="Q7" s="4541"/>
      <c r="R7" s="3633" t="s">
        <v>18</v>
      </c>
      <c r="S7" s="3156">
        <f t="shared" ref="S7:S15" si="0">F7</f>
        <v>0</v>
      </c>
      <c r="T7" s="3633" t="s">
        <v>18</v>
      </c>
      <c r="U7" s="3156">
        <f t="shared" ref="U7:U15" si="1">H7</f>
        <v>0</v>
      </c>
      <c r="V7" s="3633" t="s">
        <v>18</v>
      </c>
      <c r="W7" s="3156">
        <f t="shared" ref="W7:W15" si="2">J7</f>
        <v>0</v>
      </c>
      <c r="X7" s="482"/>
      <c r="Y7" s="4533" t="s">
        <v>1587</v>
      </c>
      <c r="Z7" s="4534"/>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600" t="s">
        <v>1590</v>
      </c>
      <c r="Q8" s="4532"/>
      <c r="R8" s="3633" t="s">
        <v>18</v>
      </c>
      <c r="S8" s="3156">
        <f t="shared" si="0"/>
        <v>100</v>
      </c>
      <c r="T8" s="3633" t="s">
        <v>18</v>
      </c>
      <c r="U8" s="3156">
        <f t="shared" si="1"/>
        <v>100</v>
      </c>
      <c r="V8" s="3633" t="s">
        <v>18</v>
      </c>
      <c r="W8" s="3156">
        <f t="shared" si="2"/>
        <v>100</v>
      </c>
      <c r="X8" s="482"/>
      <c r="Y8" s="4533" t="s">
        <v>1590</v>
      </c>
      <c r="Z8" s="4534"/>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490" t="s">
        <v>1593</v>
      </c>
      <c r="Q9" s="1698" t="str">
        <f t="shared" ref="Q9:Q15" si="6">B9</f>
        <v>用途</v>
      </c>
      <c r="R9" s="3633" t="s">
        <v>13</v>
      </c>
      <c r="S9" s="3156">
        <f t="shared" si="0"/>
        <v>100</v>
      </c>
      <c r="T9" s="3633" t="s">
        <v>13</v>
      </c>
      <c r="U9" s="3156">
        <f t="shared" si="1"/>
        <v>100</v>
      </c>
      <c r="V9" s="3633" t="s">
        <v>13</v>
      </c>
      <c r="W9" s="3156">
        <f t="shared" si="2"/>
        <v>100</v>
      </c>
      <c r="X9" s="482"/>
      <c r="Y9" s="4505"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490"/>
      <c r="Q10" s="1698" t="str">
        <f t="shared" si="6"/>
        <v>土地使用年限（年）</v>
      </c>
      <c r="R10" s="3633" t="s">
        <v>13</v>
      </c>
      <c r="S10" s="3156">
        <f t="shared" si="0"/>
        <v>100</v>
      </c>
      <c r="T10" s="3633" t="s">
        <v>13</v>
      </c>
      <c r="U10" s="3156">
        <f t="shared" si="1"/>
        <v>100</v>
      </c>
      <c r="V10" s="3633" t="s">
        <v>13</v>
      </c>
      <c r="W10" s="3156">
        <f t="shared" si="2"/>
        <v>100</v>
      </c>
      <c r="X10" s="482"/>
      <c r="Y10" s="4505"/>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490"/>
      <c r="Q11" s="1698" t="str">
        <f t="shared" si="6"/>
        <v>容积率</v>
      </c>
      <c r="R11" s="3633" t="s">
        <v>16</v>
      </c>
      <c r="S11" s="3156">
        <f t="shared" si="0"/>
        <v>100</v>
      </c>
      <c r="T11" s="3633" t="s">
        <v>16</v>
      </c>
      <c r="U11" s="3156">
        <f t="shared" si="1"/>
        <v>100</v>
      </c>
      <c r="V11" s="3633" t="s">
        <v>16</v>
      </c>
      <c r="W11" s="3156">
        <f t="shared" si="2"/>
        <v>100</v>
      </c>
      <c r="X11" s="482"/>
      <c r="Y11" s="4505"/>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490"/>
      <c r="Q12" s="1698">
        <f t="shared" si="6"/>
        <v>111</v>
      </c>
      <c r="R12" s="3633" t="s">
        <v>16</v>
      </c>
      <c r="S12" s="3156">
        <f t="shared" si="0"/>
        <v>100</v>
      </c>
      <c r="T12" s="3633" t="s">
        <v>16</v>
      </c>
      <c r="U12" s="3156">
        <f t="shared" si="1"/>
        <v>100</v>
      </c>
      <c r="V12" s="3633" t="s">
        <v>16</v>
      </c>
      <c r="W12" s="3156">
        <f t="shared" si="2"/>
        <v>100</v>
      </c>
      <c r="X12" s="482"/>
      <c r="Y12" s="4505"/>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490"/>
      <c r="Q13" s="1698">
        <f t="shared" si="6"/>
        <v>111</v>
      </c>
      <c r="R13" s="3633" t="s">
        <v>16</v>
      </c>
      <c r="S13" s="3156">
        <f t="shared" si="0"/>
        <v>100</v>
      </c>
      <c r="T13" s="3633" t="s">
        <v>16</v>
      </c>
      <c r="U13" s="3156">
        <f t="shared" si="1"/>
        <v>100</v>
      </c>
      <c r="V13" s="3633" t="s">
        <v>16</v>
      </c>
      <c r="W13" s="3156">
        <f t="shared" si="2"/>
        <v>100</v>
      </c>
      <c r="X13" s="482"/>
      <c r="Y13" s="4505"/>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490"/>
      <c r="Q14" s="1698">
        <f t="shared" si="6"/>
        <v>111</v>
      </c>
      <c r="R14" s="3633" t="s">
        <v>16</v>
      </c>
      <c r="S14" s="3156">
        <f t="shared" si="0"/>
        <v>100</v>
      </c>
      <c r="T14" s="3633" t="s">
        <v>16</v>
      </c>
      <c r="U14" s="3156">
        <f t="shared" si="1"/>
        <v>100</v>
      </c>
      <c r="V14" s="3633" t="s">
        <v>16</v>
      </c>
      <c r="W14" s="3156">
        <f t="shared" si="2"/>
        <v>100</v>
      </c>
      <c r="X14" s="482"/>
      <c r="Y14" s="4505"/>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496" t="s">
        <v>1598</v>
      </c>
      <c r="Q15" s="1507" t="str">
        <f t="shared" si="6"/>
        <v>居住社区成熟度</v>
      </c>
      <c r="R15" s="3735" t="s">
        <v>16</v>
      </c>
      <c r="S15" s="3157">
        <f t="shared" si="0"/>
        <v>100</v>
      </c>
      <c r="T15" s="3735" t="s">
        <v>16</v>
      </c>
      <c r="U15" s="3157">
        <f t="shared" si="1"/>
        <v>100</v>
      </c>
      <c r="V15" s="3735" t="s">
        <v>16</v>
      </c>
      <c r="W15" s="3157">
        <f t="shared" si="2"/>
        <v>100</v>
      </c>
      <c r="X15" s="909"/>
      <c r="Y15" s="4498"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497"/>
      <c r="Q16" s="1507"/>
      <c r="R16" s="3735"/>
      <c r="S16" s="3157"/>
      <c r="T16" s="3735"/>
      <c r="U16" s="3157"/>
      <c r="V16" s="3735"/>
      <c r="W16" s="3157"/>
      <c r="X16" s="909"/>
      <c r="Y16" s="4499"/>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497"/>
      <c r="Q17" s="1507" t="str">
        <f>B17</f>
        <v>交通便捷度</v>
      </c>
      <c r="R17" s="3735" t="s">
        <v>16</v>
      </c>
      <c r="S17" s="3157">
        <f>F17</f>
        <v>100</v>
      </c>
      <c r="T17" s="3735" t="s">
        <v>16</v>
      </c>
      <c r="U17" s="3157">
        <f>H17</f>
        <v>100</v>
      </c>
      <c r="V17" s="3735" t="s">
        <v>16</v>
      </c>
      <c r="W17" s="3157">
        <f>J17</f>
        <v>100</v>
      </c>
      <c r="X17" s="909"/>
      <c r="Y17" s="4499"/>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497"/>
      <c r="Q18" s="1507"/>
      <c r="R18" s="3735"/>
      <c r="S18" s="3157"/>
      <c r="T18" s="3735"/>
      <c r="U18" s="3157"/>
      <c r="V18" s="3735"/>
      <c r="W18" s="3157"/>
      <c r="X18" s="909"/>
      <c r="Y18" s="4499"/>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497"/>
      <c r="Q19" s="1507" t="str">
        <f>B19</f>
        <v>公共配套设施</v>
      </c>
      <c r="R19" s="3735" t="s">
        <v>16</v>
      </c>
      <c r="S19" s="3157">
        <f>F19</f>
        <v>100</v>
      </c>
      <c r="T19" s="3735" t="s">
        <v>16</v>
      </c>
      <c r="U19" s="3157">
        <f>H19</f>
        <v>100</v>
      </c>
      <c r="V19" s="3735" t="s">
        <v>16</v>
      </c>
      <c r="W19" s="3157">
        <f>J19</f>
        <v>100</v>
      </c>
      <c r="X19" s="909"/>
      <c r="Y19" s="4499"/>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497"/>
      <c r="Q20" s="1507"/>
      <c r="R20" s="3735"/>
      <c r="S20" s="3157"/>
      <c r="T20" s="3735"/>
      <c r="U20" s="3157"/>
      <c r="V20" s="3735"/>
      <c r="W20" s="3157"/>
      <c r="X20" s="909"/>
      <c r="Y20" s="4499"/>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497"/>
      <c r="Q21" s="1507" t="str">
        <f>B21</f>
        <v>基础设施水平</v>
      </c>
      <c r="R21" s="3735" t="s">
        <v>13</v>
      </c>
      <c r="S21" s="3157">
        <f>F21</f>
        <v>100</v>
      </c>
      <c r="T21" s="3735" t="s">
        <v>13</v>
      </c>
      <c r="U21" s="3157">
        <f>H21</f>
        <v>100</v>
      </c>
      <c r="V21" s="3735" t="s">
        <v>13</v>
      </c>
      <c r="W21" s="3157">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497"/>
      <c r="Q22" s="1507"/>
      <c r="R22" s="3735"/>
      <c r="S22" s="3157"/>
      <c r="T22" s="3735"/>
      <c r="U22" s="3157"/>
      <c r="V22" s="3735"/>
      <c r="W22" s="3157"/>
      <c r="X22" s="909"/>
      <c r="Y22" s="4499"/>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497"/>
      <c r="Q23" s="1507" t="str">
        <f>B23</f>
        <v>自然及人文环境</v>
      </c>
      <c r="R23" s="3735" t="s">
        <v>16</v>
      </c>
      <c r="S23" s="3157">
        <f>F23</f>
        <v>100</v>
      </c>
      <c r="T23" s="3735" t="s">
        <v>16</v>
      </c>
      <c r="U23" s="3157">
        <f>H23</f>
        <v>100</v>
      </c>
      <c r="V23" s="3735" t="s">
        <v>16</v>
      </c>
      <c r="W23" s="3157">
        <f>J23</f>
        <v>100</v>
      </c>
      <c r="X23" s="909"/>
      <c r="Y23" s="4499"/>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497"/>
      <c r="Q24" s="1507"/>
      <c r="R24" s="3735"/>
      <c r="S24" s="3157"/>
      <c r="T24" s="3735"/>
      <c r="U24" s="3157"/>
      <c r="V24" s="3735"/>
      <c r="W24" s="3157"/>
      <c r="X24" s="909"/>
      <c r="Y24" s="4499"/>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497"/>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499"/>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497"/>
      <c r="Q26" s="1507" t="str">
        <f t="shared" si="11"/>
        <v>朝向</v>
      </c>
      <c r="R26" s="3735" t="s">
        <v>16</v>
      </c>
      <c r="S26" s="3157">
        <f t="shared" si="12"/>
        <v>100</v>
      </c>
      <c r="T26" s="3735" t="s">
        <v>16</v>
      </c>
      <c r="U26" s="3157">
        <f t="shared" si="13"/>
        <v>100</v>
      </c>
      <c r="V26" s="3735" t="s">
        <v>16</v>
      </c>
      <c r="W26" s="3157">
        <f t="shared" si="14"/>
        <v>100</v>
      </c>
      <c r="X26" s="909"/>
      <c r="Y26" s="4499"/>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497"/>
      <c r="Q27" s="1698">
        <f t="shared" si="11"/>
        <v>111</v>
      </c>
      <c r="R27" s="3633" t="s">
        <v>16</v>
      </c>
      <c r="S27" s="3156">
        <f t="shared" si="12"/>
        <v>100</v>
      </c>
      <c r="T27" s="3633" t="s">
        <v>16</v>
      </c>
      <c r="U27" s="3156">
        <f t="shared" si="13"/>
        <v>100</v>
      </c>
      <c r="V27" s="3633" t="s">
        <v>16</v>
      </c>
      <c r="W27" s="3156">
        <f t="shared" si="14"/>
        <v>100</v>
      </c>
      <c r="X27" s="482"/>
      <c r="Y27" s="4499"/>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497"/>
      <c r="Q28" s="1507">
        <f t="shared" si="11"/>
        <v>111</v>
      </c>
      <c r="R28" s="3735" t="s">
        <v>16</v>
      </c>
      <c r="S28" s="3157">
        <f t="shared" si="12"/>
        <v>100</v>
      </c>
      <c r="T28" s="3735" t="s">
        <v>16</v>
      </c>
      <c r="U28" s="3157">
        <f t="shared" si="13"/>
        <v>100</v>
      </c>
      <c r="V28" s="3735" t="s">
        <v>16</v>
      </c>
      <c r="W28" s="3157">
        <f t="shared" si="14"/>
        <v>100</v>
      </c>
      <c r="X28" s="909"/>
      <c r="Y28" s="4499"/>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497"/>
      <c r="Q29" s="1507">
        <f t="shared" si="11"/>
        <v>111</v>
      </c>
      <c r="R29" s="3735" t="s">
        <v>16</v>
      </c>
      <c r="S29" s="3157">
        <f t="shared" si="12"/>
        <v>100</v>
      </c>
      <c r="T29" s="3735" t="s">
        <v>16</v>
      </c>
      <c r="U29" s="3157">
        <f t="shared" si="13"/>
        <v>100</v>
      </c>
      <c r="V29" s="3735" t="s">
        <v>16</v>
      </c>
      <c r="W29" s="3157">
        <f t="shared" si="14"/>
        <v>100</v>
      </c>
      <c r="X29" s="909"/>
      <c r="Y29" s="4499"/>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497"/>
      <c r="Q30" s="1507">
        <f t="shared" si="11"/>
        <v>111</v>
      </c>
      <c r="R30" s="3735" t="s">
        <v>16</v>
      </c>
      <c r="S30" s="3157">
        <f t="shared" si="12"/>
        <v>100</v>
      </c>
      <c r="T30" s="3735" t="s">
        <v>16</v>
      </c>
      <c r="U30" s="3157">
        <f t="shared" si="13"/>
        <v>100</v>
      </c>
      <c r="V30" s="3735" t="s">
        <v>16</v>
      </c>
      <c r="W30" s="3157">
        <f t="shared" si="14"/>
        <v>100</v>
      </c>
      <c r="X30" s="909"/>
      <c r="Y30" s="4499"/>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497"/>
      <c r="Q31" s="1507">
        <f t="shared" si="11"/>
        <v>111</v>
      </c>
      <c r="R31" s="3735" t="s">
        <v>16</v>
      </c>
      <c r="S31" s="3157">
        <f t="shared" si="12"/>
        <v>100</v>
      </c>
      <c r="T31" s="3735" t="s">
        <v>16</v>
      </c>
      <c r="U31" s="3157">
        <f t="shared" si="13"/>
        <v>100</v>
      </c>
      <c r="V31" s="3735" t="s">
        <v>16</v>
      </c>
      <c r="W31" s="3157">
        <f t="shared" si="14"/>
        <v>100</v>
      </c>
      <c r="X31" s="909"/>
      <c r="Y31" s="4499"/>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00" t="s">
        <v>1603</v>
      </c>
      <c r="Q32" s="1507" t="str">
        <f t="shared" si="11"/>
        <v>建筑类型</v>
      </c>
      <c r="R32" s="3735" t="s">
        <v>16</v>
      </c>
      <c r="S32" s="3157">
        <f t="shared" si="12"/>
        <v>100</v>
      </c>
      <c r="T32" s="3735" t="s">
        <v>16</v>
      </c>
      <c r="U32" s="3157">
        <f t="shared" si="13"/>
        <v>100</v>
      </c>
      <c r="V32" s="3735" t="s">
        <v>16</v>
      </c>
      <c r="W32" s="3157">
        <f t="shared" si="14"/>
        <v>100</v>
      </c>
      <c r="X32" s="909"/>
      <c r="Y32" s="4503"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01"/>
      <c r="Q33" s="2864" t="str">
        <f t="shared" si="11"/>
        <v>项目建筑规模</v>
      </c>
      <c r="R33" s="3736" t="s">
        <v>16</v>
      </c>
      <c r="S33" s="3158" t="e">
        <f t="shared" si="12"/>
        <v>#N/A</v>
      </c>
      <c r="T33" s="3736" t="s">
        <v>16</v>
      </c>
      <c r="U33" s="3158" t="e">
        <f t="shared" si="13"/>
        <v>#N/A</v>
      </c>
      <c r="V33" s="3736" t="s">
        <v>16</v>
      </c>
      <c r="W33" s="3158" t="e">
        <f t="shared" si="14"/>
        <v>#N/A</v>
      </c>
      <c r="X33" s="484"/>
      <c r="Y33" s="4503"/>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01"/>
      <c r="Q34" s="1507" t="str">
        <f t="shared" si="11"/>
        <v>建筑结构</v>
      </c>
      <c r="R34" s="3735" t="s">
        <v>16</v>
      </c>
      <c r="S34" s="3157">
        <f t="shared" si="12"/>
        <v>100</v>
      </c>
      <c r="T34" s="3735" t="s">
        <v>16</v>
      </c>
      <c r="U34" s="3157">
        <f t="shared" si="13"/>
        <v>100</v>
      </c>
      <c r="V34" s="3735" t="s">
        <v>16</v>
      </c>
      <c r="W34" s="3157">
        <f t="shared" si="14"/>
        <v>100</v>
      </c>
      <c r="X34" s="909"/>
      <c r="Y34" s="4503"/>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01"/>
      <c r="Q35" s="1507" t="str">
        <f t="shared" si="11"/>
        <v>建筑品质</v>
      </c>
      <c r="R35" s="3735" t="s">
        <v>16</v>
      </c>
      <c r="S35" s="3157">
        <f t="shared" si="12"/>
        <v>100</v>
      </c>
      <c r="T35" s="3735" t="s">
        <v>16</v>
      </c>
      <c r="U35" s="3157">
        <f t="shared" si="13"/>
        <v>100</v>
      </c>
      <c r="V35" s="3735" t="s">
        <v>16</v>
      </c>
      <c r="W35" s="3157">
        <f t="shared" si="14"/>
        <v>100</v>
      </c>
      <c r="X35" s="909"/>
      <c r="Y35" s="4503"/>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01"/>
      <c r="Q36" s="1507" t="str">
        <f t="shared" si="11"/>
        <v>公共部分装修</v>
      </c>
      <c r="R36" s="3735" t="s">
        <v>16</v>
      </c>
      <c r="S36" s="3157">
        <f t="shared" si="12"/>
        <v>100</v>
      </c>
      <c r="T36" s="3735" t="s">
        <v>16</v>
      </c>
      <c r="U36" s="3157">
        <f t="shared" si="13"/>
        <v>100</v>
      </c>
      <c r="V36" s="3735" t="s">
        <v>16</v>
      </c>
      <c r="W36" s="3157">
        <f t="shared" si="14"/>
        <v>100</v>
      </c>
      <c r="X36" s="909"/>
      <c r="Y36" s="4503"/>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01"/>
      <c r="Q37" s="1698" t="str">
        <f t="shared" si="11"/>
        <v>成新度</v>
      </c>
      <c r="R37" s="3633" t="s">
        <v>16</v>
      </c>
      <c r="S37" s="3156" t="e">
        <f t="shared" si="12"/>
        <v>#N/A</v>
      </c>
      <c r="T37" s="3633" t="s">
        <v>16</v>
      </c>
      <c r="U37" s="3156" t="e">
        <f t="shared" si="13"/>
        <v>#N/A</v>
      </c>
      <c r="V37" s="3633" t="s">
        <v>16</v>
      </c>
      <c r="W37" s="3156" t="e">
        <f t="shared" si="14"/>
        <v>#N/A</v>
      </c>
      <c r="X37" s="482"/>
      <c r="Y37" s="4503"/>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01" t="s">
        <v>1603</v>
      </c>
      <c r="Q38" s="1507" t="str">
        <f t="shared" si="11"/>
        <v>物业管理</v>
      </c>
      <c r="R38" s="3735" t="s">
        <v>16</v>
      </c>
      <c r="S38" s="3157">
        <f t="shared" si="12"/>
        <v>100</v>
      </c>
      <c r="T38" s="3735" t="s">
        <v>16</v>
      </c>
      <c r="U38" s="3157">
        <f t="shared" si="13"/>
        <v>100</v>
      </c>
      <c r="V38" s="3735" t="s">
        <v>16</v>
      </c>
      <c r="W38" s="3157">
        <f t="shared" si="14"/>
        <v>100</v>
      </c>
      <c r="X38" s="909"/>
      <c r="Y38" s="4503"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01"/>
      <c r="Q39" s="1507" t="str">
        <f t="shared" si="11"/>
        <v>市政基础设施</v>
      </c>
      <c r="R39" s="3735" t="s">
        <v>16</v>
      </c>
      <c r="S39" s="3157">
        <f t="shared" si="12"/>
        <v>100</v>
      </c>
      <c r="T39" s="3735" t="s">
        <v>16</v>
      </c>
      <c r="U39" s="3157">
        <f t="shared" si="13"/>
        <v>100</v>
      </c>
      <c r="V39" s="3735" t="s">
        <v>16</v>
      </c>
      <c r="W39" s="3157">
        <f t="shared" si="14"/>
        <v>100</v>
      </c>
      <c r="X39" s="909"/>
      <c r="Y39" s="4503"/>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01"/>
      <c r="Q40" s="1507" t="str">
        <f t="shared" si="11"/>
        <v>房型</v>
      </c>
      <c r="R40" s="3735" t="s">
        <v>16</v>
      </c>
      <c r="S40" s="3157">
        <f t="shared" si="12"/>
        <v>100</v>
      </c>
      <c r="T40" s="3735" t="s">
        <v>16</v>
      </c>
      <c r="U40" s="3157">
        <f t="shared" si="13"/>
        <v>100</v>
      </c>
      <c r="V40" s="3735" t="s">
        <v>16</v>
      </c>
      <c r="W40" s="3157">
        <f t="shared" si="14"/>
        <v>100</v>
      </c>
      <c r="X40" s="909"/>
      <c r="Y40" s="4503"/>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01"/>
      <c r="Q41" s="2864" t="str">
        <f t="shared" si="11"/>
        <v>单套/主力户型建筑面积</v>
      </c>
      <c r="R41" s="3736" t="s">
        <v>16</v>
      </c>
      <c r="S41" s="3158">
        <f t="shared" si="12"/>
        <v>100</v>
      </c>
      <c r="T41" s="3736" t="s">
        <v>16</v>
      </c>
      <c r="U41" s="3158">
        <f t="shared" si="13"/>
        <v>100</v>
      </c>
      <c r="V41" s="3736" t="s">
        <v>16</v>
      </c>
      <c r="W41" s="3158">
        <f t="shared" si="14"/>
        <v>100</v>
      </c>
      <c r="X41" s="484"/>
      <c r="Y41" s="4503"/>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01"/>
      <c r="Q42" s="1507" t="str">
        <f t="shared" si="11"/>
        <v>内部装修</v>
      </c>
      <c r="R42" s="3735" t="s">
        <v>16</v>
      </c>
      <c r="S42" s="3157">
        <f t="shared" si="12"/>
        <v>100</v>
      </c>
      <c r="T42" s="3735" t="s">
        <v>16</v>
      </c>
      <c r="U42" s="3157">
        <f t="shared" si="13"/>
        <v>100</v>
      </c>
      <c r="V42" s="3735" t="s">
        <v>16</v>
      </c>
      <c r="W42" s="3157">
        <f t="shared" si="14"/>
        <v>100</v>
      </c>
      <c r="X42" s="909"/>
      <c r="Y42" s="4503"/>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01"/>
      <c r="Q43" s="1507" t="str">
        <f t="shared" si="11"/>
        <v>内部装修维护情况</v>
      </c>
      <c r="R43" s="3735" t="s">
        <v>16</v>
      </c>
      <c r="S43" s="3157">
        <f t="shared" si="12"/>
        <v>100</v>
      </c>
      <c r="T43" s="3735" t="s">
        <v>16</v>
      </c>
      <c r="U43" s="3157">
        <f t="shared" si="13"/>
        <v>100</v>
      </c>
      <c r="V43" s="3735" t="s">
        <v>16</v>
      </c>
      <c r="W43" s="3157">
        <f t="shared" si="14"/>
        <v>100</v>
      </c>
      <c r="X43" s="909"/>
      <c r="Y43" s="4503"/>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01"/>
      <c r="Q44" s="1698">
        <f t="shared" si="11"/>
        <v>111</v>
      </c>
      <c r="R44" s="3633" t="s">
        <v>16</v>
      </c>
      <c r="S44" s="3156">
        <f t="shared" si="12"/>
        <v>100</v>
      </c>
      <c r="T44" s="3633" t="s">
        <v>16</v>
      </c>
      <c r="U44" s="3156">
        <f t="shared" si="13"/>
        <v>100</v>
      </c>
      <c r="V44" s="3633" t="s">
        <v>16</v>
      </c>
      <c r="W44" s="3156">
        <f t="shared" si="14"/>
        <v>100</v>
      </c>
      <c r="X44" s="482"/>
      <c r="Y44" s="4503"/>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01"/>
      <c r="Q45" s="1507">
        <f t="shared" si="11"/>
        <v>111</v>
      </c>
      <c r="R45" s="3735" t="s">
        <v>16</v>
      </c>
      <c r="S45" s="3157">
        <f t="shared" si="12"/>
        <v>100</v>
      </c>
      <c r="T45" s="3735" t="s">
        <v>16</v>
      </c>
      <c r="U45" s="3157">
        <f t="shared" si="13"/>
        <v>100</v>
      </c>
      <c r="V45" s="3735" t="s">
        <v>16</v>
      </c>
      <c r="W45" s="3157">
        <f t="shared" si="14"/>
        <v>100</v>
      </c>
      <c r="X45" s="909"/>
      <c r="Y45" s="4503"/>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02"/>
      <c r="Q46" s="1507">
        <f t="shared" si="11"/>
        <v>111</v>
      </c>
      <c r="R46" s="3735" t="s">
        <v>15</v>
      </c>
      <c r="S46" s="3157">
        <f t="shared" si="12"/>
        <v>100</v>
      </c>
      <c r="T46" s="3735" t="s">
        <v>15</v>
      </c>
      <c r="U46" s="3157">
        <f t="shared" si="13"/>
        <v>100</v>
      </c>
      <c r="V46" s="3735" t="s">
        <v>15</v>
      </c>
      <c r="W46" s="3157">
        <f t="shared" si="14"/>
        <v>100</v>
      </c>
      <c r="X46" s="909"/>
      <c r="Y46" s="4504"/>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491" t="str">
        <f>A47</f>
        <v>成交单价（元/平方米）</v>
      </c>
      <c r="Q47" s="4491"/>
      <c r="R47" s="4492">
        <f>E47</f>
        <v>0</v>
      </c>
      <c r="S47" s="4492"/>
      <c r="T47" s="4492">
        <f>G47</f>
        <v>0</v>
      </c>
      <c r="U47" s="4492"/>
      <c r="V47" s="4492">
        <f>I47</f>
        <v>0</v>
      </c>
      <c r="W47" s="4492"/>
      <c r="X47" s="265"/>
      <c r="Y47" s="486"/>
      <c r="Z47" s="265"/>
      <c r="AA47" s="265"/>
      <c r="AB47" s="265"/>
      <c r="AC47" s="265"/>
    </row>
    <row r="48" spans="1:29" ht="15.75" thickBot="1">
      <c r="A48" s="289" t="s">
        <v>1616</v>
      </c>
      <c r="B48" s="290"/>
      <c r="C48" s="3733" t="e">
        <f>R49</f>
        <v>#DIV/0!</v>
      </c>
      <c r="D48" s="3846" t="s">
        <v>2042</v>
      </c>
      <c r="E48" s="2885" t="e">
        <f>R48</f>
        <v>#DIV/0!</v>
      </c>
      <c r="F48" s="2801"/>
      <c r="G48" s="2884" t="e">
        <f>T48</f>
        <v>#DIV/0!</v>
      </c>
      <c r="H48" s="2801"/>
      <c r="I48" s="2885" t="e">
        <f>V48</f>
        <v>#DIV/0!</v>
      </c>
      <c r="J48" s="2801"/>
      <c r="K48" s="2855">
        <f>F48+H48+J48</f>
        <v>0</v>
      </c>
      <c r="L48" s="1982"/>
      <c r="M48" s="1975"/>
      <c r="N48" s="1975"/>
      <c r="O48" s="1975"/>
      <c r="P48" s="4491" t="str">
        <f>A48</f>
        <v>比较价值（元/平方米）</v>
      </c>
      <c r="Q48" s="4491"/>
      <c r="R48" s="4492" t="e">
        <f>IF(F1="售价",ROUND(PRODUCT(R47,AA7:AA46),0),ROUND(PRODUCT(R47,AA7:AA46),1))</f>
        <v>#DIV/0!</v>
      </c>
      <c r="S48" s="4492"/>
      <c r="T48" s="4492" t="e">
        <f>IF(F1="售价",ROUND(PRODUCT(T47,AB7:AB46),0),ROUND(PRODUCT(T47,AB7:AB46),1))</f>
        <v>#DIV/0!</v>
      </c>
      <c r="U48" s="4492"/>
      <c r="V48" s="4492" t="e">
        <f>IF(F1="售价",ROUND(PRODUCT(V47,AC7:AC46),0),ROUND(PRODUCT(V47,AC7:AC46),1))</f>
        <v>#DIV/0!</v>
      </c>
      <c r="W48" s="4492"/>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82" t="str">
        <f>A49</f>
        <v>估价对象XX用房的比较价值（楼面单价，元/平方米）</v>
      </c>
      <c r="Q49" s="4583"/>
      <c r="R49" s="4584" t="e">
        <f>IF(F1="售价",ROUND(IF(D48="简单平均",AVERAGE(R48:V48),R48*F48+T48*H48+V48*J48),0),ROUND(IF(D48="简单平均",AVERAGE(R48:V48),R48*F48+T48*H48+V48*J48),1))</f>
        <v>#DIV/0!</v>
      </c>
      <c r="S49" s="4584"/>
      <c r="T49" s="4584"/>
      <c r="U49" s="4584"/>
      <c r="V49" s="4584"/>
      <c r="W49" s="458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估价对象为北京市房地产，为所有。根据《国有土地使用证》[]，估价对象（分摊）出让国有建设用地使用权面积为0平方米，建筑面积为54.09平方米。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估价对象为北京市房地产,属开发建设的，该项目尚在开发建设中。根据《国有土地使用证》[]，估价对象（分摊）出让国有建设用地使用权面积为0平方米，规划建筑面积为54.09平方米。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2026年3月11日（评估专业人员实地查勘之日）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Q27" sqref="Q27"/>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54.09</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86" t="s">
        <v>1677</v>
      </c>
      <c r="D4" s="4587"/>
      <c r="E4" s="4588" t="s">
        <v>1678</v>
      </c>
      <c r="F4" s="4589"/>
      <c r="G4" s="4586" t="s">
        <v>1679</v>
      </c>
      <c r="H4" s="4587"/>
      <c r="I4" s="4586" t="s">
        <v>1680</v>
      </c>
      <c r="J4" s="4587"/>
      <c r="K4" s="2863" t="s">
        <v>1681</v>
      </c>
      <c r="L4" s="1974"/>
      <c r="M4" s="1975"/>
      <c r="N4" s="1975"/>
      <c r="O4" s="1975"/>
      <c r="P4" s="4590" t="s">
        <v>1682</v>
      </c>
      <c r="Q4" s="4591"/>
      <c r="R4" s="4594" t="s">
        <v>1678</v>
      </c>
      <c r="S4" s="4595"/>
      <c r="T4" s="4594" t="s">
        <v>1679</v>
      </c>
      <c r="U4" s="4595"/>
      <c r="V4" s="4526" t="s">
        <v>1680</v>
      </c>
      <c r="W4" s="4526"/>
      <c r="X4" s="909"/>
      <c r="Y4" s="4601" t="s">
        <v>1682</v>
      </c>
      <c r="Z4" s="4602"/>
      <c r="AA4" s="4585" t="s">
        <v>1678</v>
      </c>
      <c r="AB4" s="4607" t="s">
        <v>1679</v>
      </c>
      <c r="AC4" s="4585" t="s">
        <v>1680</v>
      </c>
    </row>
    <row r="5" spans="1:29" ht="15">
      <c r="A5" s="238"/>
      <c r="B5" s="239"/>
      <c r="C5" s="4598" t="s">
        <v>1580</v>
      </c>
      <c r="D5" s="4599"/>
      <c r="E5" s="4605" t="s">
        <v>1581</v>
      </c>
      <c r="F5" s="4606"/>
      <c r="G5" s="4598" t="s">
        <v>1582</v>
      </c>
      <c r="H5" s="4599"/>
      <c r="I5" s="4598" t="s">
        <v>1583</v>
      </c>
      <c r="J5" s="4599"/>
      <c r="K5" s="2863"/>
      <c r="L5" s="1974"/>
      <c r="M5" s="1975"/>
      <c r="N5" s="1975"/>
      <c r="O5" s="1975"/>
      <c r="P5" s="4592"/>
      <c r="Q5" s="4516"/>
      <c r="R5" s="4521"/>
      <c r="S5" s="4522"/>
      <c r="T5" s="4521"/>
      <c r="U5" s="4522"/>
      <c r="V5" s="4526"/>
      <c r="W5" s="4526"/>
      <c r="X5" s="909"/>
      <c r="Y5" s="4537"/>
      <c r="Z5" s="4538"/>
      <c r="AA5" s="4545"/>
      <c r="AB5" s="4607"/>
      <c r="AC5" s="4545"/>
    </row>
    <row r="6" spans="1:29" ht="15.75" thickBot="1">
      <c r="A6" s="240"/>
      <c r="B6" s="241"/>
      <c r="C6" s="4596" t="s">
        <v>1584</v>
      </c>
      <c r="D6" s="4597"/>
      <c r="E6" s="4603" t="s">
        <v>1584</v>
      </c>
      <c r="F6" s="4604"/>
      <c r="G6" s="4596" t="s">
        <v>1584</v>
      </c>
      <c r="H6" s="4597"/>
      <c r="I6" s="4596" t="s">
        <v>1584</v>
      </c>
      <c r="J6" s="4597"/>
      <c r="K6" s="2863" t="s">
        <v>1585</v>
      </c>
      <c r="L6" s="1974"/>
      <c r="M6" s="1975"/>
      <c r="N6" s="1975"/>
      <c r="O6" s="1975"/>
      <c r="P6" s="4593"/>
      <c r="Q6" s="4518"/>
      <c r="R6" s="4521"/>
      <c r="S6" s="4522"/>
      <c r="T6" s="4523"/>
      <c r="U6" s="4524"/>
      <c r="V6" s="4526"/>
      <c r="W6" s="4526"/>
      <c r="X6" s="909"/>
      <c r="Y6" s="4539"/>
      <c r="Z6" s="4540"/>
      <c r="AA6" s="4546"/>
      <c r="AB6" s="4607"/>
      <c r="AC6" s="4546"/>
    </row>
    <row r="7" spans="1:29" s="46" customFormat="1" ht="15.75" thickBot="1">
      <c r="A7" s="242" t="s">
        <v>1586</v>
      </c>
      <c r="B7" s="243"/>
      <c r="C7" s="244">
        <f>'数据-取费表'!B2</f>
        <v>46092</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600" t="s">
        <v>1587</v>
      </c>
      <c r="Q7" s="4541"/>
      <c r="R7" s="3633" t="s">
        <v>13</v>
      </c>
      <c r="S7" s="3156">
        <f t="shared" ref="S7:S15" si="0">F7</f>
        <v>0</v>
      </c>
      <c r="T7" s="3633" t="s">
        <v>13</v>
      </c>
      <c r="U7" s="3156">
        <f t="shared" ref="U7:U15" si="1">H7</f>
        <v>0</v>
      </c>
      <c r="V7" s="3633" t="s">
        <v>13</v>
      </c>
      <c r="W7" s="3156">
        <f t="shared" ref="W7:W15" si="2">J7</f>
        <v>0</v>
      </c>
      <c r="X7" s="482"/>
      <c r="Y7" s="4533" t="s">
        <v>1587</v>
      </c>
      <c r="Z7" s="4534"/>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600" t="s">
        <v>1590</v>
      </c>
      <c r="Q8" s="4532"/>
      <c r="R8" s="3633" t="s">
        <v>13</v>
      </c>
      <c r="S8" s="3156">
        <f t="shared" si="0"/>
        <v>100</v>
      </c>
      <c r="T8" s="3633" t="s">
        <v>13</v>
      </c>
      <c r="U8" s="3156">
        <f t="shared" si="1"/>
        <v>100</v>
      </c>
      <c r="V8" s="3633" t="s">
        <v>13</v>
      </c>
      <c r="W8" s="3156">
        <f t="shared" si="2"/>
        <v>100</v>
      </c>
      <c r="X8" s="482"/>
      <c r="Y8" s="4533" t="s">
        <v>1590</v>
      </c>
      <c r="Z8" s="4534"/>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490" t="s">
        <v>1593</v>
      </c>
      <c r="Q9" s="1698" t="str">
        <f t="shared" ref="Q9:Q15" si="6">B9</f>
        <v>用途</v>
      </c>
      <c r="R9" s="3633" t="s">
        <v>13</v>
      </c>
      <c r="S9" s="3156">
        <f t="shared" si="0"/>
        <v>100</v>
      </c>
      <c r="T9" s="3633" t="s">
        <v>13</v>
      </c>
      <c r="U9" s="3156">
        <f t="shared" si="1"/>
        <v>100</v>
      </c>
      <c r="V9" s="3633" t="s">
        <v>13</v>
      </c>
      <c r="W9" s="3156">
        <f t="shared" si="2"/>
        <v>100</v>
      </c>
      <c r="X9" s="482"/>
      <c r="Y9" s="4505"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490"/>
      <c r="Q10" s="1698" t="str">
        <f t="shared" si="6"/>
        <v>土地使用年限（年）</v>
      </c>
      <c r="R10" s="3633" t="s">
        <v>13</v>
      </c>
      <c r="S10" s="3156">
        <f t="shared" si="0"/>
        <v>100</v>
      </c>
      <c r="T10" s="3633" t="s">
        <v>13</v>
      </c>
      <c r="U10" s="3156">
        <f t="shared" si="1"/>
        <v>100</v>
      </c>
      <c r="V10" s="3633" t="s">
        <v>13</v>
      </c>
      <c r="W10" s="3156">
        <f t="shared" si="2"/>
        <v>100</v>
      </c>
      <c r="X10" s="482"/>
      <c r="Y10" s="4505"/>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490"/>
      <c r="Q11" s="1698" t="str">
        <f t="shared" si="6"/>
        <v>容积率</v>
      </c>
      <c r="R11" s="3633" t="s">
        <v>13</v>
      </c>
      <c r="S11" s="3156">
        <f t="shared" si="0"/>
        <v>100</v>
      </c>
      <c r="T11" s="3633" t="s">
        <v>13</v>
      </c>
      <c r="U11" s="3156">
        <f t="shared" si="1"/>
        <v>100</v>
      </c>
      <c r="V11" s="3633" t="s">
        <v>13</v>
      </c>
      <c r="W11" s="3156">
        <f t="shared" si="2"/>
        <v>100</v>
      </c>
      <c r="X11" s="482"/>
      <c r="Y11" s="4505"/>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490"/>
      <c r="Q12" s="1698">
        <f t="shared" si="6"/>
        <v>111</v>
      </c>
      <c r="R12" s="3633" t="s">
        <v>13</v>
      </c>
      <c r="S12" s="3156">
        <f t="shared" si="0"/>
        <v>100</v>
      </c>
      <c r="T12" s="3633" t="s">
        <v>13</v>
      </c>
      <c r="U12" s="3156">
        <f t="shared" si="1"/>
        <v>100</v>
      </c>
      <c r="V12" s="3633" t="s">
        <v>13</v>
      </c>
      <c r="W12" s="3156">
        <f t="shared" si="2"/>
        <v>100</v>
      </c>
      <c r="X12" s="482"/>
      <c r="Y12" s="4505"/>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490"/>
      <c r="Q13" s="1698">
        <f t="shared" si="6"/>
        <v>111</v>
      </c>
      <c r="R13" s="3633" t="s">
        <v>13</v>
      </c>
      <c r="S13" s="3156">
        <f t="shared" si="0"/>
        <v>100</v>
      </c>
      <c r="T13" s="3633" t="s">
        <v>13</v>
      </c>
      <c r="U13" s="3156">
        <f t="shared" si="1"/>
        <v>100</v>
      </c>
      <c r="V13" s="3633" t="s">
        <v>13</v>
      </c>
      <c r="W13" s="3156">
        <f t="shared" si="2"/>
        <v>100</v>
      </c>
      <c r="X13" s="482"/>
      <c r="Y13" s="4505"/>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490"/>
      <c r="Q14" s="1698">
        <f t="shared" si="6"/>
        <v>111</v>
      </c>
      <c r="R14" s="3633" t="s">
        <v>13</v>
      </c>
      <c r="S14" s="3156">
        <f t="shared" si="0"/>
        <v>100</v>
      </c>
      <c r="T14" s="3633" t="s">
        <v>13</v>
      </c>
      <c r="U14" s="3156">
        <f t="shared" si="1"/>
        <v>100</v>
      </c>
      <c r="V14" s="3633" t="s">
        <v>13</v>
      </c>
      <c r="W14" s="3156">
        <f t="shared" si="2"/>
        <v>100</v>
      </c>
      <c r="X14" s="482"/>
      <c r="Y14" s="4505"/>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496" t="s">
        <v>1598</v>
      </c>
      <c r="Q15" s="1507" t="str">
        <f t="shared" si="6"/>
        <v>商业繁华度</v>
      </c>
      <c r="R15" s="3735" t="s">
        <v>13</v>
      </c>
      <c r="S15" s="3157">
        <f t="shared" si="0"/>
        <v>100</v>
      </c>
      <c r="T15" s="3735" t="s">
        <v>13</v>
      </c>
      <c r="U15" s="3157">
        <f t="shared" si="1"/>
        <v>100</v>
      </c>
      <c r="V15" s="3735" t="s">
        <v>13</v>
      </c>
      <c r="W15" s="3157">
        <f t="shared" si="2"/>
        <v>100</v>
      </c>
      <c r="X15" s="909"/>
      <c r="Y15" s="4498"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497"/>
      <c r="Q16" s="1507"/>
      <c r="R16" s="3735"/>
      <c r="S16" s="3157"/>
      <c r="T16" s="3735"/>
      <c r="U16" s="3157"/>
      <c r="V16" s="3735"/>
      <c r="W16" s="3157"/>
      <c r="X16" s="909"/>
      <c r="Y16" s="4499"/>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497"/>
      <c r="Q17" s="1507" t="str">
        <f>B17</f>
        <v>交通便捷度</v>
      </c>
      <c r="R17" s="3735" t="s">
        <v>13</v>
      </c>
      <c r="S17" s="3157">
        <f>F17</f>
        <v>100</v>
      </c>
      <c r="T17" s="3735" t="s">
        <v>13</v>
      </c>
      <c r="U17" s="3157">
        <f>H17</f>
        <v>100</v>
      </c>
      <c r="V17" s="3735" t="s">
        <v>13</v>
      </c>
      <c r="W17" s="3157">
        <f>J17</f>
        <v>100</v>
      </c>
      <c r="X17" s="909"/>
      <c r="Y17" s="4499"/>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497"/>
      <c r="Q18" s="1507"/>
      <c r="R18" s="3735"/>
      <c r="S18" s="3157"/>
      <c r="T18" s="3735"/>
      <c r="U18" s="3157"/>
      <c r="V18" s="3735"/>
      <c r="W18" s="3157"/>
      <c r="X18" s="909"/>
      <c r="Y18" s="4499"/>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497"/>
      <c r="Q19" s="1507" t="str">
        <f>B19</f>
        <v>公共配套设施</v>
      </c>
      <c r="R19" s="3735" t="s">
        <v>13</v>
      </c>
      <c r="S19" s="3157">
        <f>F19</f>
        <v>100</v>
      </c>
      <c r="T19" s="3735" t="s">
        <v>13</v>
      </c>
      <c r="U19" s="3157">
        <f>H19</f>
        <v>100</v>
      </c>
      <c r="V19" s="3735" t="s">
        <v>13</v>
      </c>
      <c r="W19" s="3157">
        <f>J19</f>
        <v>100</v>
      </c>
      <c r="X19" s="909"/>
      <c r="Y19" s="4499"/>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497"/>
      <c r="Q20" s="1507"/>
      <c r="R20" s="3735"/>
      <c r="S20" s="3157"/>
      <c r="T20" s="3735"/>
      <c r="U20" s="3157"/>
      <c r="V20" s="3735"/>
      <c r="W20" s="3157"/>
      <c r="X20" s="909"/>
      <c r="Y20" s="4499"/>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497"/>
      <c r="Q21" s="1507" t="str">
        <f>B21</f>
        <v>基础设施水平</v>
      </c>
      <c r="R21" s="3735" t="s">
        <v>13</v>
      </c>
      <c r="S21" s="3157">
        <f>F21</f>
        <v>100</v>
      </c>
      <c r="T21" s="3735" t="s">
        <v>13</v>
      </c>
      <c r="U21" s="3157">
        <f>H21</f>
        <v>100</v>
      </c>
      <c r="V21" s="3735" t="s">
        <v>13</v>
      </c>
      <c r="W21" s="3157">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497"/>
      <c r="Q22" s="1507"/>
      <c r="R22" s="3735"/>
      <c r="S22" s="3157"/>
      <c r="T22" s="3735"/>
      <c r="U22" s="3157"/>
      <c r="V22" s="3735"/>
      <c r="W22" s="3157"/>
      <c r="X22" s="909"/>
      <c r="Y22" s="4499"/>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497"/>
      <c r="Q23" s="1507" t="str">
        <f>B23</f>
        <v>自然及人文环境</v>
      </c>
      <c r="R23" s="3735" t="s">
        <v>13</v>
      </c>
      <c r="S23" s="3157">
        <f>F23</f>
        <v>100</v>
      </c>
      <c r="T23" s="3735" t="s">
        <v>13</v>
      </c>
      <c r="U23" s="3157">
        <f>H23</f>
        <v>100</v>
      </c>
      <c r="V23" s="3735" t="s">
        <v>13</v>
      </c>
      <c r="W23" s="3157">
        <f>J23</f>
        <v>100</v>
      </c>
      <c r="X23" s="909"/>
      <c r="Y23" s="4499"/>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497"/>
      <c r="Q24" s="1507"/>
      <c r="R24" s="3735"/>
      <c r="S24" s="3157"/>
      <c r="T24" s="3735"/>
      <c r="U24" s="3157"/>
      <c r="V24" s="3735"/>
      <c r="W24" s="3157"/>
      <c r="X24" s="909"/>
      <c r="Y24" s="4499"/>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497"/>
      <c r="Q25" s="1507" t="str">
        <f t="shared" ref="Q25:Q46" si="11">B25</f>
        <v>临街状况</v>
      </c>
      <c r="R25" s="3735" t="s">
        <v>13</v>
      </c>
      <c r="S25" s="3157">
        <f>F25</f>
        <v>100</v>
      </c>
      <c r="T25" s="3735" t="s">
        <v>13</v>
      </c>
      <c r="U25" s="3157">
        <f>H25</f>
        <v>100</v>
      </c>
      <c r="V25" s="3735" t="s">
        <v>13</v>
      </c>
      <c r="W25" s="3157">
        <f>J25</f>
        <v>100</v>
      </c>
      <c r="X25" s="909"/>
      <c r="Y25" s="4499"/>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497"/>
      <c r="Q26" s="1507" t="str">
        <f t="shared" si="11"/>
        <v>平面位置/可视性</v>
      </c>
      <c r="R26" s="3735" t="s">
        <v>13</v>
      </c>
      <c r="S26" s="3157">
        <f>F26</f>
        <v>100</v>
      </c>
      <c r="T26" s="3735" t="s">
        <v>13</v>
      </c>
      <c r="U26" s="3157">
        <f>H26</f>
        <v>100</v>
      </c>
      <c r="V26" s="3735" t="s">
        <v>13</v>
      </c>
      <c r="W26" s="3157">
        <f>J26</f>
        <v>100</v>
      </c>
      <c r="X26" s="909"/>
      <c r="Y26" s="4499"/>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497"/>
      <c r="Q27" s="1698" t="str">
        <f t="shared" si="11"/>
        <v>人流量</v>
      </c>
      <c r="R27" s="3633" t="s">
        <v>13</v>
      </c>
      <c r="S27" s="3156">
        <f>F27</f>
        <v>100</v>
      </c>
      <c r="T27" s="3633" t="s">
        <v>13</v>
      </c>
      <c r="U27" s="3156">
        <f>H27</f>
        <v>100</v>
      </c>
      <c r="V27" s="3633" t="s">
        <v>13</v>
      </c>
      <c r="W27" s="3156">
        <f>J27</f>
        <v>100</v>
      </c>
      <c r="X27" s="482"/>
      <c r="Y27" s="4499"/>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497"/>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499"/>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497"/>
      <c r="Q29" s="1507">
        <f t="shared" si="11"/>
        <v>111</v>
      </c>
      <c r="R29" s="3735" t="s">
        <v>13</v>
      </c>
      <c r="S29" s="3157">
        <f t="shared" si="12"/>
        <v>100</v>
      </c>
      <c r="T29" s="3735" t="s">
        <v>13</v>
      </c>
      <c r="U29" s="3157">
        <f t="shared" si="13"/>
        <v>100</v>
      </c>
      <c r="V29" s="3735" t="s">
        <v>13</v>
      </c>
      <c r="W29" s="3157">
        <f t="shared" si="14"/>
        <v>100</v>
      </c>
      <c r="X29" s="909"/>
      <c r="Y29" s="4499"/>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497"/>
      <c r="Q30" s="1507">
        <f t="shared" si="11"/>
        <v>111</v>
      </c>
      <c r="R30" s="3735" t="s">
        <v>13</v>
      </c>
      <c r="S30" s="3157">
        <f t="shared" si="12"/>
        <v>100</v>
      </c>
      <c r="T30" s="3735" t="s">
        <v>13</v>
      </c>
      <c r="U30" s="3157">
        <f t="shared" si="13"/>
        <v>100</v>
      </c>
      <c r="V30" s="3735" t="s">
        <v>13</v>
      </c>
      <c r="W30" s="3157">
        <f t="shared" si="14"/>
        <v>100</v>
      </c>
      <c r="X30" s="909"/>
      <c r="Y30" s="4499"/>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497"/>
      <c r="Q31" s="1507">
        <f t="shared" si="11"/>
        <v>111</v>
      </c>
      <c r="R31" s="3735" t="s">
        <v>13</v>
      </c>
      <c r="S31" s="3157">
        <f t="shared" si="12"/>
        <v>100</v>
      </c>
      <c r="T31" s="3735" t="s">
        <v>13</v>
      </c>
      <c r="U31" s="3157">
        <f t="shared" si="13"/>
        <v>100</v>
      </c>
      <c r="V31" s="3735" t="s">
        <v>13</v>
      </c>
      <c r="W31" s="3157">
        <f t="shared" si="14"/>
        <v>100</v>
      </c>
      <c r="X31" s="909"/>
      <c r="Y31" s="4499"/>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00" t="s">
        <v>1603</v>
      </c>
      <c r="Q32" s="1507" t="str">
        <f t="shared" si="11"/>
        <v>商业类型</v>
      </c>
      <c r="R32" s="3735" t="s">
        <v>13</v>
      </c>
      <c r="S32" s="3157">
        <f t="shared" si="12"/>
        <v>100</v>
      </c>
      <c r="T32" s="3735" t="s">
        <v>13</v>
      </c>
      <c r="U32" s="3157">
        <f t="shared" si="13"/>
        <v>100</v>
      </c>
      <c r="V32" s="3735" t="s">
        <v>13</v>
      </c>
      <c r="W32" s="3157">
        <f t="shared" si="14"/>
        <v>100</v>
      </c>
      <c r="X32" s="909"/>
      <c r="Y32" s="4503"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01"/>
      <c r="Q33" s="2864" t="str">
        <f t="shared" si="11"/>
        <v>项目建筑规模</v>
      </c>
      <c r="R33" s="3736" t="s">
        <v>13</v>
      </c>
      <c r="S33" s="3158" t="e">
        <f t="shared" si="12"/>
        <v>#N/A</v>
      </c>
      <c r="T33" s="3736" t="s">
        <v>13</v>
      </c>
      <c r="U33" s="3158" t="e">
        <f t="shared" si="13"/>
        <v>#N/A</v>
      </c>
      <c r="V33" s="3736" t="s">
        <v>13</v>
      </c>
      <c r="W33" s="3158" t="e">
        <f t="shared" si="14"/>
        <v>#N/A</v>
      </c>
      <c r="X33" s="484"/>
      <c r="Y33" s="4503"/>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01"/>
      <c r="Q34" s="1507" t="str">
        <f t="shared" si="11"/>
        <v>建筑结构</v>
      </c>
      <c r="R34" s="3735" t="s">
        <v>13</v>
      </c>
      <c r="S34" s="3157">
        <f t="shared" si="12"/>
        <v>100</v>
      </c>
      <c r="T34" s="3735" t="s">
        <v>13</v>
      </c>
      <c r="U34" s="3157">
        <f t="shared" si="13"/>
        <v>100</v>
      </c>
      <c r="V34" s="3735" t="s">
        <v>13</v>
      </c>
      <c r="W34" s="3157">
        <f t="shared" si="14"/>
        <v>100</v>
      </c>
      <c r="X34" s="909"/>
      <c r="Y34" s="4503"/>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01"/>
      <c r="Q35" s="1507" t="str">
        <f t="shared" si="11"/>
        <v>公共部分装修</v>
      </c>
      <c r="R35" s="3735" t="s">
        <v>13</v>
      </c>
      <c r="S35" s="3157">
        <f t="shared" si="12"/>
        <v>100</v>
      </c>
      <c r="T35" s="3735" t="s">
        <v>13</v>
      </c>
      <c r="U35" s="3157">
        <f t="shared" si="13"/>
        <v>100</v>
      </c>
      <c r="V35" s="3735" t="s">
        <v>13</v>
      </c>
      <c r="W35" s="3157">
        <f t="shared" si="14"/>
        <v>100</v>
      </c>
      <c r="X35" s="909"/>
      <c r="Y35" s="4503"/>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01"/>
      <c r="Q36" s="1507" t="str">
        <f t="shared" si="11"/>
        <v>成新度</v>
      </c>
      <c r="R36" s="3735" t="s">
        <v>13</v>
      </c>
      <c r="S36" s="3157" t="e">
        <f t="shared" si="12"/>
        <v>#N/A</v>
      </c>
      <c r="T36" s="3735" t="s">
        <v>13</v>
      </c>
      <c r="U36" s="3157" t="e">
        <f t="shared" si="13"/>
        <v>#N/A</v>
      </c>
      <c r="V36" s="3735" t="s">
        <v>13</v>
      </c>
      <c r="W36" s="3157" t="e">
        <f t="shared" si="14"/>
        <v>#N/A</v>
      </c>
      <c r="X36" s="909"/>
      <c r="Y36" s="4503"/>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01"/>
      <c r="Q37" s="1698" t="str">
        <f t="shared" si="11"/>
        <v>市政基础设施</v>
      </c>
      <c r="R37" s="3633" t="s">
        <v>13</v>
      </c>
      <c r="S37" s="3156">
        <f t="shared" si="12"/>
        <v>100</v>
      </c>
      <c r="T37" s="3633" t="s">
        <v>13</v>
      </c>
      <c r="U37" s="3156">
        <f t="shared" si="13"/>
        <v>100</v>
      </c>
      <c r="V37" s="3633" t="s">
        <v>13</v>
      </c>
      <c r="W37" s="3156">
        <f t="shared" si="14"/>
        <v>100</v>
      </c>
      <c r="X37" s="482"/>
      <c r="Y37" s="4503"/>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01" t="s">
        <v>1603</v>
      </c>
      <c r="Q38" s="1507" t="str">
        <f t="shared" si="11"/>
        <v>业态</v>
      </c>
      <c r="R38" s="3735" t="s">
        <v>13</v>
      </c>
      <c r="S38" s="3157">
        <f t="shared" si="12"/>
        <v>100</v>
      </c>
      <c r="T38" s="3735" t="s">
        <v>13</v>
      </c>
      <c r="U38" s="3157">
        <f t="shared" si="13"/>
        <v>100</v>
      </c>
      <c r="V38" s="3735" t="s">
        <v>13</v>
      </c>
      <c r="W38" s="3157">
        <f t="shared" si="14"/>
        <v>100</v>
      </c>
      <c r="X38" s="909"/>
      <c r="Y38" s="4503"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01"/>
      <c r="Q39" s="1507" t="str">
        <f t="shared" si="11"/>
        <v>层高</v>
      </c>
      <c r="R39" s="3735" t="s">
        <v>13</v>
      </c>
      <c r="S39" s="3157">
        <f t="shared" si="12"/>
        <v>100</v>
      </c>
      <c r="T39" s="3735" t="s">
        <v>13</v>
      </c>
      <c r="U39" s="3157">
        <f t="shared" si="13"/>
        <v>100</v>
      </c>
      <c r="V39" s="3735" t="s">
        <v>13</v>
      </c>
      <c r="W39" s="3157">
        <f t="shared" si="14"/>
        <v>100</v>
      </c>
      <c r="X39" s="909"/>
      <c r="Y39" s="4503"/>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01"/>
      <c r="Q40" s="1507" t="str">
        <f t="shared" si="11"/>
        <v>单套建筑面积</v>
      </c>
      <c r="R40" s="3735" t="s">
        <v>13</v>
      </c>
      <c r="S40" s="3157">
        <f t="shared" si="12"/>
        <v>100</v>
      </c>
      <c r="T40" s="3735" t="s">
        <v>13</v>
      </c>
      <c r="U40" s="3157">
        <f t="shared" si="13"/>
        <v>100</v>
      </c>
      <c r="V40" s="3735" t="s">
        <v>13</v>
      </c>
      <c r="W40" s="3157">
        <f t="shared" si="14"/>
        <v>100</v>
      </c>
      <c r="X40" s="909"/>
      <c r="Y40" s="4503"/>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01"/>
      <c r="Q41" s="2864" t="str">
        <f t="shared" si="11"/>
        <v>进深比</v>
      </c>
      <c r="R41" s="3736" t="s">
        <v>13</v>
      </c>
      <c r="S41" s="3158">
        <f t="shared" si="12"/>
        <v>100</v>
      </c>
      <c r="T41" s="3736" t="s">
        <v>13</v>
      </c>
      <c r="U41" s="3158">
        <f t="shared" si="13"/>
        <v>100</v>
      </c>
      <c r="V41" s="3736" t="s">
        <v>13</v>
      </c>
      <c r="W41" s="3158">
        <f t="shared" si="14"/>
        <v>100</v>
      </c>
      <c r="X41" s="484"/>
      <c r="Y41" s="4503"/>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01"/>
      <c r="Q42" s="1507" t="str">
        <f t="shared" si="11"/>
        <v>内部装修</v>
      </c>
      <c r="R42" s="3735" t="s">
        <v>13</v>
      </c>
      <c r="S42" s="3157">
        <f t="shared" si="12"/>
        <v>100</v>
      </c>
      <c r="T42" s="3735" t="s">
        <v>13</v>
      </c>
      <c r="U42" s="3157">
        <f t="shared" si="13"/>
        <v>100</v>
      </c>
      <c r="V42" s="3735" t="s">
        <v>13</v>
      </c>
      <c r="W42" s="3157">
        <f t="shared" si="14"/>
        <v>100</v>
      </c>
      <c r="X42" s="909"/>
      <c r="Y42" s="4503"/>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01"/>
      <c r="Q43" s="1507" t="str">
        <f t="shared" si="11"/>
        <v>内部装修维护情况</v>
      </c>
      <c r="R43" s="3735" t="s">
        <v>13</v>
      </c>
      <c r="S43" s="3157">
        <f t="shared" si="12"/>
        <v>100</v>
      </c>
      <c r="T43" s="3735" t="s">
        <v>13</v>
      </c>
      <c r="U43" s="3157">
        <f t="shared" si="13"/>
        <v>100</v>
      </c>
      <c r="V43" s="3735" t="s">
        <v>13</v>
      </c>
      <c r="W43" s="3157">
        <f t="shared" si="14"/>
        <v>100</v>
      </c>
      <c r="X43" s="909"/>
      <c r="Y43" s="4503"/>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01"/>
      <c r="Q44" s="1698">
        <f t="shared" si="11"/>
        <v>111</v>
      </c>
      <c r="R44" s="3633" t="s">
        <v>13</v>
      </c>
      <c r="S44" s="3156">
        <f t="shared" si="12"/>
        <v>100</v>
      </c>
      <c r="T44" s="3633" t="s">
        <v>13</v>
      </c>
      <c r="U44" s="3156">
        <f t="shared" si="13"/>
        <v>100</v>
      </c>
      <c r="V44" s="3633" t="s">
        <v>13</v>
      </c>
      <c r="W44" s="3156">
        <f t="shared" si="14"/>
        <v>100</v>
      </c>
      <c r="X44" s="482"/>
      <c r="Y44" s="4503"/>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01"/>
      <c r="Q45" s="1507">
        <f t="shared" si="11"/>
        <v>111</v>
      </c>
      <c r="R45" s="3735" t="s">
        <v>13</v>
      </c>
      <c r="S45" s="3157">
        <f t="shared" si="12"/>
        <v>100</v>
      </c>
      <c r="T45" s="3735" t="s">
        <v>13</v>
      </c>
      <c r="U45" s="3157">
        <f t="shared" si="13"/>
        <v>100</v>
      </c>
      <c r="V45" s="3735" t="s">
        <v>13</v>
      </c>
      <c r="W45" s="3157">
        <f t="shared" si="14"/>
        <v>100</v>
      </c>
      <c r="X45" s="909"/>
      <c r="Y45" s="4503"/>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02"/>
      <c r="Q46" s="1507">
        <f t="shared" si="11"/>
        <v>111</v>
      </c>
      <c r="R46" s="3735" t="s">
        <v>13</v>
      </c>
      <c r="S46" s="3157">
        <f t="shared" si="12"/>
        <v>100</v>
      </c>
      <c r="T46" s="3735" t="s">
        <v>13</v>
      </c>
      <c r="U46" s="3157">
        <f t="shared" si="13"/>
        <v>100</v>
      </c>
      <c r="V46" s="3735" t="s">
        <v>13</v>
      </c>
      <c r="W46" s="3157">
        <f t="shared" si="14"/>
        <v>100</v>
      </c>
      <c r="X46" s="909"/>
      <c r="Y46" s="4504"/>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491" t="str">
        <f>A47</f>
        <v>成交单价（元/平方米）</v>
      </c>
      <c r="Q47" s="4491"/>
      <c r="R47" s="4492">
        <f>E47</f>
        <v>0</v>
      </c>
      <c r="S47" s="4492"/>
      <c r="T47" s="4492">
        <f>G47</f>
        <v>0</v>
      </c>
      <c r="U47" s="4492"/>
      <c r="V47" s="4492">
        <f>I47</f>
        <v>0</v>
      </c>
      <c r="W47" s="4492"/>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491" t="str">
        <f>A48</f>
        <v>比较价值（元/平方米）</v>
      </c>
      <c r="Q48" s="4491"/>
      <c r="R48" s="4492" t="e">
        <f>IF(F1="售价",ROUND(PRODUCT(R47,AA7:AA46),0),ROUND(PRODUCT(R47,AA7:AA46),1))</f>
        <v>#DIV/0!</v>
      </c>
      <c r="S48" s="4492"/>
      <c r="T48" s="4492" t="e">
        <f>IF(F1="售价",ROUND(PRODUCT(T47,AB7:AB46),0),ROUND(PRODUCT(T47,AB7:AB46),1))</f>
        <v>#DIV/0!</v>
      </c>
      <c r="U48" s="4492"/>
      <c r="V48" s="4492" t="e">
        <f>IF(F1="售价",ROUND(PRODUCT(V47,AC7:AC46),0),ROUND(PRODUCT(V47,AC7:AC46),1))</f>
        <v>#DIV/0!</v>
      </c>
      <c r="W48" s="4492"/>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82" t="str">
        <f>A49</f>
        <v>估价对象XX用房的比较价值（楼面单价，元/平方米）</v>
      </c>
      <c r="Q49" s="4583"/>
      <c r="R49" s="4584" t="e">
        <f>IF(F1="售价",ROUND(IF(D48="简单平均",AVERAGE(R48:V48),R48*F48+T48*H48+V48*J48),0),ROUND(IF(D48="简单平均",AVERAGE(R48:V48),R48*F48+T48*H48+V48*J48),1))</f>
        <v>#DIV/0!</v>
      </c>
      <c r="S49" s="4584"/>
      <c r="T49" s="4584"/>
      <c r="U49" s="4584"/>
      <c r="V49" s="4584"/>
      <c r="W49" s="458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4" sqref="K44"/>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54.09</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09" t="s">
        <v>1677</v>
      </c>
      <c r="D4" s="4510"/>
      <c r="E4" s="4511" t="s">
        <v>1678</v>
      </c>
      <c r="F4" s="4512"/>
      <c r="G4" s="4509" t="s">
        <v>1679</v>
      </c>
      <c r="H4" s="4510"/>
      <c r="I4" s="4509" t="s">
        <v>1680</v>
      </c>
      <c r="J4" s="4510"/>
      <c r="K4" s="393" t="s">
        <v>1681</v>
      </c>
      <c r="L4" s="592"/>
      <c r="M4" s="593"/>
      <c r="N4" s="593"/>
      <c r="O4" s="593"/>
      <c r="P4" s="4590" t="s">
        <v>1682</v>
      </c>
      <c r="Q4" s="4591"/>
      <c r="R4" s="4594" t="s">
        <v>1678</v>
      </c>
      <c r="S4" s="4595"/>
      <c r="T4" s="4594" t="s">
        <v>1679</v>
      </c>
      <c r="U4" s="4595"/>
      <c r="V4" s="4526" t="s">
        <v>1680</v>
      </c>
      <c r="W4" s="4526"/>
      <c r="X4" s="909"/>
      <c r="Y4" s="4601" t="s">
        <v>1682</v>
      </c>
      <c r="Z4" s="4602"/>
      <c r="AA4" s="4585" t="s">
        <v>1678</v>
      </c>
      <c r="AB4" s="4545" t="s">
        <v>1679</v>
      </c>
      <c r="AC4" s="4585" t="s">
        <v>1680</v>
      </c>
    </row>
    <row r="5" spans="1:29" ht="15">
      <c r="A5" s="238"/>
      <c r="B5" s="239"/>
      <c r="C5" s="4529" t="s">
        <v>1580</v>
      </c>
      <c r="D5" s="4530"/>
      <c r="E5" s="4613" t="s">
        <v>1581</v>
      </c>
      <c r="F5" s="4548"/>
      <c r="G5" s="4529" t="s">
        <v>1582</v>
      </c>
      <c r="H5" s="4530"/>
      <c r="I5" s="4529" t="s">
        <v>1583</v>
      </c>
      <c r="J5" s="4530"/>
      <c r="K5" s="393"/>
      <c r="L5" s="592"/>
      <c r="M5" s="593"/>
      <c r="N5" s="593"/>
      <c r="O5" s="593"/>
      <c r="P5" s="4592"/>
      <c r="Q5" s="4516"/>
      <c r="R5" s="4521"/>
      <c r="S5" s="4522"/>
      <c r="T5" s="4521"/>
      <c r="U5" s="4522"/>
      <c r="V5" s="4526"/>
      <c r="W5" s="4526"/>
      <c r="X5" s="909"/>
      <c r="Y5" s="4537"/>
      <c r="Z5" s="4538"/>
      <c r="AA5" s="4545"/>
      <c r="AB5" s="4545"/>
      <c r="AC5" s="4545"/>
    </row>
    <row r="6" spans="1:29" ht="15.75" thickBot="1">
      <c r="A6" s="240"/>
      <c r="B6" s="241"/>
      <c r="C6" s="4527" t="s">
        <v>1584</v>
      </c>
      <c r="D6" s="4528"/>
      <c r="E6" s="4542" t="s">
        <v>1584</v>
      </c>
      <c r="F6" s="4543"/>
      <c r="G6" s="4527" t="s">
        <v>1584</v>
      </c>
      <c r="H6" s="4528"/>
      <c r="I6" s="4527" t="s">
        <v>1584</v>
      </c>
      <c r="J6" s="4528"/>
      <c r="K6" s="393" t="s">
        <v>1585</v>
      </c>
      <c r="L6" s="592"/>
      <c r="M6" s="593"/>
      <c r="N6" s="593"/>
      <c r="O6" s="593"/>
      <c r="P6" s="4593"/>
      <c r="Q6" s="4518"/>
      <c r="R6" s="4521"/>
      <c r="S6" s="4522"/>
      <c r="T6" s="4523"/>
      <c r="U6" s="4524"/>
      <c r="V6" s="4526"/>
      <c r="W6" s="4526"/>
      <c r="X6" s="909"/>
      <c r="Y6" s="4539"/>
      <c r="Z6" s="4540"/>
      <c r="AA6" s="4546"/>
      <c r="AB6" s="4546"/>
      <c r="AC6" s="4546"/>
    </row>
    <row r="7" spans="1:29" s="46" customFormat="1" ht="15.75" thickBot="1">
      <c r="A7" s="242" t="s">
        <v>1586</v>
      </c>
      <c r="B7" s="243"/>
      <c r="C7" s="244">
        <f>'数据-取费表'!B2</f>
        <v>46092</v>
      </c>
      <c r="D7" s="2898">
        <v>100</v>
      </c>
      <c r="E7" s="245"/>
      <c r="F7" s="3747">
        <f>SUMIF(52:52,YEAR(E7)&amp;"-"&amp;MONTH(E7),53:53)</f>
        <v>0</v>
      </c>
      <c r="G7" s="245"/>
      <c r="H7" s="3753">
        <f>SUMIF(52:52,YEAR(G7)&amp;"-"&amp;MONTH(G7),53:53)</f>
        <v>0</v>
      </c>
      <c r="I7" s="245"/>
      <c r="J7" s="3753">
        <f>SUMIF(52:52,YEAR(I7)&amp;"-"&amp;MONTH(I7),53:53)</f>
        <v>0</v>
      </c>
      <c r="K7" s="22"/>
      <c r="L7" s="594"/>
      <c r="M7" s="595"/>
      <c r="N7" s="595"/>
      <c r="O7" s="595"/>
      <c r="P7" s="4600" t="s">
        <v>1587</v>
      </c>
      <c r="Q7" s="4541"/>
      <c r="R7" s="3759" t="s">
        <v>13</v>
      </c>
      <c r="S7" s="3542">
        <f t="shared" ref="S7:S15" si="0">F7</f>
        <v>0</v>
      </c>
      <c r="T7" s="3759" t="s">
        <v>13</v>
      </c>
      <c r="U7" s="3542">
        <f t="shared" ref="U7:U15" si="1">H7</f>
        <v>0</v>
      </c>
      <c r="V7" s="3759" t="s">
        <v>13</v>
      </c>
      <c r="W7" s="3542">
        <f t="shared" ref="W7:W15" si="2">J7</f>
        <v>0</v>
      </c>
      <c r="X7" s="482"/>
      <c r="Y7" s="4533" t="s">
        <v>1587</v>
      </c>
      <c r="Z7" s="4534"/>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600" t="s">
        <v>1590</v>
      </c>
      <c r="Q8" s="4532"/>
      <c r="R8" s="3759" t="s">
        <v>13</v>
      </c>
      <c r="S8" s="3542">
        <f t="shared" si="0"/>
        <v>100</v>
      </c>
      <c r="T8" s="3759" t="s">
        <v>13</v>
      </c>
      <c r="U8" s="3542">
        <f t="shared" si="1"/>
        <v>100</v>
      </c>
      <c r="V8" s="3759" t="s">
        <v>13</v>
      </c>
      <c r="W8" s="3542">
        <f t="shared" si="2"/>
        <v>100</v>
      </c>
      <c r="X8" s="482"/>
      <c r="Y8" s="4533" t="s">
        <v>1590</v>
      </c>
      <c r="Z8" s="4534"/>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491" t="s">
        <v>1593</v>
      </c>
      <c r="Q9" s="1698" t="str">
        <f t="shared" ref="Q9:Q15" si="6">B9</f>
        <v>用途</v>
      </c>
      <c r="R9" s="3759" t="s">
        <v>13</v>
      </c>
      <c r="S9" s="3542">
        <f t="shared" si="0"/>
        <v>100</v>
      </c>
      <c r="T9" s="3759" t="s">
        <v>13</v>
      </c>
      <c r="U9" s="3542">
        <f t="shared" si="1"/>
        <v>100</v>
      </c>
      <c r="V9" s="3759" t="s">
        <v>13</v>
      </c>
      <c r="W9" s="3542">
        <f t="shared" si="2"/>
        <v>100</v>
      </c>
      <c r="X9" s="482"/>
      <c r="Y9" s="4505"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91"/>
      <c r="Q10" s="1698" t="str">
        <f t="shared" si="6"/>
        <v>土地使用年限（年）</v>
      </c>
      <c r="R10" s="3759" t="s">
        <v>13</v>
      </c>
      <c r="S10" s="3542">
        <f t="shared" si="0"/>
        <v>100</v>
      </c>
      <c r="T10" s="3759" t="s">
        <v>13</v>
      </c>
      <c r="U10" s="3542">
        <f t="shared" si="1"/>
        <v>100</v>
      </c>
      <c r="V10" s="3759" t="s">
        <v>13</v>
      </c>
      <c r="W10" s="3542">
        <f t="shared" si="2"/>
        <v>100</v>
      </c>
      <c r="X10" s="482"/>
      <c r="Y10" s="4505"/>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1"/>
      <c r="Q11" s="1698" t="str">
        <f t="shared" si="6"/>
        <v>容积率</v>
      </c>
      <c r="R11" s="3759" t="s">
        <v>13</v>
      </c>
      <c r="S11" s="3542">
        <f t="shared" si="0"/>
        <v>100</v>
      </c>
      <c r="T11" s="3759" t="s">
        <v>13</v>
      </c>
      <c r="U11" s="3542">
        <f t="shared" si="1"/>
        <v>100</v>
      </c>
      <c r="V11" s="3759" t="s">
        <v>13</v>
      </c>
      <c r="W11" s="3542">
        <f t="shared" si="2"/>
        <v>100</v>
      </c>
      <c r="X11" s="482"/>
      <c r="Y11" s="4505"/>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91"/>
      <c r="Q12" s="1698">
        <f t="shared" si="6"/>
        <v>111</v>
      </c>
      <c r="R12" s="3759" t="s">
        <v>13</v>
      </c>
      <c r="S12" s="3542">
        <f t="shared" si="0"/>
        <v>100</v>
      </c>
      <c r="T12" s="3759" t="s">
        <v>13</v>
      </c>
      <c r="U12" s="3542">
        <f t="shared" si="1"/>
        <v>100</v>
      </c>
      <c r="V12" s="3759" t="s">
        <v>13</v>
      </c>
      <c r="W12" s="3542">
        <f t="shared" si="2"/>
        <v>100</v>
      </c>
      <c r="X12" s="482"/>
      <c r="Y12" s="4505"/>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491"/>
      <c r="Q13" s="1698">
        <f t="shared" si="6"/>
        <v>111</v>
      </c>
      <c r="R13" s="3759" t="s">
        <v>13</v>
      </c>
      <c r="S13" s="3542">
        <f t="shared" si="0"/>
        <v>100</v>
      </c>
      <c r="T13" s="3759" t="s">
        <v>13</v>
      </c>
      <c r="U13" s="3542">
        <f t="shared" si="1"/>
        <v>100</v>
      </c>
      <c r="V13" s="3759" t="s">
        <v>13</v>
      </c>
      <c r="W13" s="3542">
        <f t="shared" si="2"/>
        <v>100</v>
      </c>
      <c r="X13" s="482"/>
      <c r="Y13" s="4505"/>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491"/>
      <c r="Q14" s="1698">
        <f t="shared" si="6"/>
        <v>111</v>
      </c>
      <c r="R14" s="3759" t="s">
        <v>13</v>
      </c>
      <c r="S14" s="3542">
        <f t="shared" si="0"/>
        <v>100</v>
      </c>
      <c r="T14" s="3759" t="s">
        <v>13</v>
      </c>
      <c r="U14" s="3542">
        <f t="shared" si="1"/>
        <v>100</v>
      </c>
      <c r="V14" s="3759" t="s">
        <v>13</v>
      </c>
      <c r="W14" s="3542">
        <f t="shared" si="2"/>
        <v>100</v>
      </c>
      <c r="X14" s="482"/>
      <c r="Y14" s="4505"/>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08" t="s">
        <v>1598</v>
      </c>
      <c r="Q15" s="1507" t="str">
        <f t="shared" si="6"/>
        <v>产业集聚程度</v>
      </c>
      <c r="R15" s="3760" t="s">
        <v>13</v>
      </c>
      <c r="S15" s="3762">
        <f t="shared" si="0"/>
        <v>100</v>
      </c>
      <c r="T15" s="3760" t="s">
        <v>13</v>
      </c>
      <c r="U15" s="3762">
        <f t="shared" si="1"/>
        <v>100</v>
      </c>
      <c r="V15" s="3760" t="s">
        <v>13</v>
      </c>
      <c r="W15" s="3762">
        <f t="shared" si="2"/>
        <v>100</v>
      </c>
      <c r="X15" s="909"/>
      <c r="Y15" s="4498"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09"/>
      <c r="Q16" s="1507"/>
      <c r="R16" s="3760"/>
      <c r="S16" s="3762"/>
      <c r="T16" s="3760"/>
      <c r="U16" s="3762"/>
      <c r="V16" s="3760"/>
      <c r="W16" s="3762"/>
      <c r="X16" s="909"/>
      <c r="Y16" s="4499"/>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09"/>
      <c r="Q17" s="1507" t="str">
        <f>B17</f>
        <v>交通便捷度</v>
      </c>
      <c r="R17" s="3760" t="s">
        <v>13</v>
      </c>
      <c r="S17" s="3762">
        <f>F17</f>
        <v>100</v>
      </c>
      <c r="T17" s="3760" t="s">
        <v>13</v>
      </c>
      <c r="U17" s="3762">
        <f>H17</f>
        <v>100</v>
      </c>
      <c r="V17" s="3760" t="s">
        <v>13</v>
      </c>
      <c r="W17" s="3762">
        <f>J17</f>
        <v>100</v>
      </c>
      <c r="X17" s="909"/>
      <c r="Y17" s="4499"/>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09"/>
      <c r="Q18" s="1507"/>
      <c r="R18" s="3760"/>
      <c r="S18" s="3762"/>
      <c r="T18" s="3760"/>
      <c r="U18" s="3762"/>
      <c r="V18" s="3760"/>
      <c r="W18" s="3762"/>
      <c r="X18" s="909"/>
      <c r="Y18" s="4499"/>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09"/>
      <c r="Q19" s="1507" t="str">
        <f>B19</f>
        <v>公共配套设施</v>
      </c>
      <c r="R19" s="3760" t="s">
        <v>13</v>
      </c>
      <c r="S19" s="3762">
        <f>F19</f>
        <v>100</v>
      </c>
      <c r="T19" s="3760" t="s">
        <v>13</v>
      </c>
      <c r="U19" s="3762">
        <f>H19</f>
        <v>100</v>
      </c>
      <c r="V19" s="3760" t="s">
        <v>13</v>
      </c>
      <c r="W19" s="3762">
        <f>J19</f>
        <v>100</v>
      </c>
      <c r="X19" s="909"/>
      <c r="Y19" s="4499"/>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09"/>
      <c r="Q20" s="1507"/>
      <c r="R20" s="3760"/>
      <c r="S20" s="3762"/>
      <c r="T20" s="3760"/>
      <c r="U20" s="3762"/>
      <c r="V20" s="3760"/>
      <c r="W20" s="3762"/>
      <c r="X20" s="909"/>
      <c r="Y20" s="4499"/>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09"/>
      <c r="Q21" s="1507" t="str">
        <f>B21</f>
        <v>基础设施水平</v>
      </c>
      <c r="R21" s="3760" t="s">
        <v>13</v>
      </c>
      <c r="S21" s="3762">
        <f>F21</f>
        <v>100</v>
      </c>
      <c r="T21" s="3760" t="s">
        <v>13</v>
      </c>
      <c r="U21" s="3762">
        <f>H21</f>
        <v>100</v>
      </c>
      <c r="V21" s="3760" t="s">
        <v>13</v>
      </c>
      <c r="W21" s="3762">
        <f>J21</f>
        <v>100</v>
      </c>
      <c r="X21" s="909"/>
      <c r="Y21" s="4499"/>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09"/>
      <c r="Q22" s="1507"/>
      <c r="R22" s="3760"/>
      <c r="S22" s="3762"/>
      <c r="T22" s="3760"/>
      <c r="U22" s="3762"/>
      <c r="V22" s="3760"/>
      <c r="W22" s="3762"/>
      <c r="X22" s="909"/>
      <c r="Y22" s="4499"/>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09"/>
      <c r="Q23" s="1507" t="str">
        <f>B23</f>
        <v>环境质量</v>
      </c>
      <c r="R23" s="3760" t="s">
        <v>13</v>
      </c>
      <c r="S23" s="3762">
        <f>F23</f>
        <v>100</v>
      </c>
      <c r="T23" s="3760" t="s">
        <v>13</v>
      </c>
      <c r="U23" s="3762">
        <f>H23</f>
        <v>100</v>
      </c>
      <c r="V23" s="3760" t="s">
        <v>13</v>
      </c>
      <c r="W23" s="3762">
        <f>J23</f>
        <v>100</v>
      </c>
      <c r="X23" s="909"/>
      <c r="Y23" s="4499"/>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09"/>
      <c r="Q24" s="1507"/>
      <c r="R24" s="3760"/>
      <c r="S24" s="3762"/>
      <c r="T24" s="3760"/>
      <c r="U24" s="3762"/>
      <c r="V24" s="3760"/>
      <c r="W24" s="3762"/>
      <c r="X24" s="909"/>
      <c r="Y24" s="4499"/>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09"/>
      <c r="Q25" s="1507">
        <f>B25</f>
        <v>111</v>
      </c>
      <c r="R25" s="3760" t="s">
        <v>13</v>
      </c>
      <c r="S25" s="3762">
        <f>F25</f>
        <v>100</v>
      </c>
      <c r="T25" s="3760" t="s">
        <v>13</v>
      </c>
      <c r="U25" s="3762">
        <f>H25</f>
        <v>100</v>
      </c>
      <c r="V25" s="3760" t="s">
        <v>13</v>
      </c>
      <c r="W25" s="3762">
        <f>J25</f>
        <v>100</v>
      </c>
      <c r="X25" s="909"/>
      <c r="Y25" s="4499"/>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09"/>
      <c r="Q26" s="1507">
        <f t="shared" ref="Q26:Q40" si="11">B26</f>
        <v>111</v>
      </c>
      <c r="R26" s="3760" t="s">
        <v>13</v>
      </c>
      <c r="S26" s="3762">
        <f>F26</f>
        <v>100</v>
      </c>
      <c r="T26" s="3760" t="s">
        <v>13</v>
      </c>
      <c r="U26" s="3762">
        <f>H26</f>
        <v>100</v>
      </c>
      <c r="V26" s="3760" t="s">
        <v>13</v>
      </c>
      <c r="W26" s="3762">
        <f>J26</f>
        <v>100</v>
      </c>
      <c r="X26" s="909"/>
      <c r="Y26" s="4499"/>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9"/>
      <c r="Q27" s="1698">
        <f t="shared" si="11"/>
        <v>111</v>
      </c>
      <c r="R27" s="3759" t="s">
        <v>13</v>
      </c>
      <c r="S27" s="3542">
        <f>F27</f>
        <v>100</v>
      </c>
      <c r="T27" s="3759" t="s">
        <v>13</v>
      </c>
      <c r="U27" s="3542">
        <f>H27</f>
        <v>100</v>
      </c>
      <c r="V27" s="3759" t="s">
        <v>13</v>
      </c>
      <c r="W27" s="3542">
        <f>J27</f>
        <v>100</v>
      </c>
      <c r="X27" s="482"/>
      <c r="Y27" s="4499"/>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09"/>
      <c r="Q28" s="1507">
        <f t="shared" si="11"/>
        <v>111</v>
      </c>
      <c r="R28" s="3760" t="s">
        <v>13</v>
      </c>
      <c r="S28" s="3762">
        <f t="shared" ref="S28:S40" si="12">F28</f>
        <v>100</v>
      </c>
      <c r="T28" s="3760" t="s">
        <v>13</v>
      </c>
      <c r="U28" s="3762">
        <f t="shared" ref="U28:U40" si="13">H28</f>
        <v>100</v>
      </c>
      <c r="V28" s="3760" t="s">
        <v>13</v>
      </c>
      <c r="W28" s="3762">
        <f t="shared" ref="W28:W40" si="14">J28</f>
        <v>100</v>
      </c>
      <c r="X28" s="909"/>
      <c r="Y28" s="4499"/>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10" t="s">
        <v>1603</v>
      </c>
      <c r="Q29" s="1507" t="str">
        <f t="shared" si="11"/>
        <v>建筑类型</v>
      </c>
      <c r="R29" s="3760" t="s">
        <v>13</v>
      </c>
      <c r="S29" s="3762">
        <f t="shared" si="12"/>
        <v>100</v>
      </c>
      <c r="T29" s="3760" t="s">
        <v>13</v>
      </c>
      <c r="U29" s="3762">
        <f t="shared" si="13"/>
        <v>100</v>
      </c>
      <c r="V29" s="3760" t="s">
        <v>13</v>
      </c>
      <c r="W29" s="3762">
        <f t="shared" si="14"/>
        <v>100</v>
      </c>
      <c r="X29" s="909"/>
      <c r="Y29" s="4503"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1"/>
      <c r="Q30" s="2864" t="str">
        <f t="shared" si="11"/>
        <v>项目建筑规模</v>
      </c>
      <c r="R30" s="3761" t="s">
        <v>13</v>
      </c>
      <c r="S30" s="3763" t="e">
        <f t="shared" si="12"/>
        <v>#N/A</v>
      </c>
      <c r="T30" s="3761" t="s">
        <v>13</v>
      </c>
      <c r="U30" s="3763" t="e">
        <f t="shared" si="13"/>
        <v>#N/A</v>
      </c>
      <c r="V30" s="3761" t="s">
        <v>13</v>
      </c>
      <c r="W30" s="3763" t="e">
        <f t="shared" si="14"/>
        <v>#N/A</v>
      </c>
      <c r="X30" s="484"/>
      <c r="Y30" s="4503"/>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11"/>
      <c r="Q31" s="1507" t="str">
        <f t="shared" si="11"/>
        <v>建筑结构</v>
      </c>
      <c r="R31" s="3760" t="s">
        <v>13</v>
      </c>
      <c r="S31" s="3762">
        <f t="shared" si="12"/>
        <v>100</v>
      </c>
      <c r="T31" s="3760" t="s">
        <v>13</v>
      </c>
      <c r="U31" s="3762">
        <f t="shared" si="13"/>
        <v>100</v>
      </c>
      <c r="V31" s="3760" t="s">
        <v>13</v>
      </c>
      <c r="W31" s="3762">
        <f t="shared" si="14"/>
        <v>100</v>
      </c>
      <c r="X31" s="909"/>
      <c r="Y31" s="4503"/>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11"/>
      <c r="Q32" s="1507" t="str">
        <f t="shared" si="11"/>
        <v>公共部分装修</v>
      </c>
      <c r="R32" s="3760" t="s">
        <v>13</v>
      </c>
      <c r="S32" s="3762">
        <f t="shared" si="12"/>
        <v>100</v>
      </c>
      <c r="T32" s="3760" t="s">
        <v>13</v>
      </c>
      <c r="U32" s="3762">
        <f t="shared" si="13"/>
        <v>100</v>
      </c>
      <c r="V32" s="3760" t="s">
        <v>13</v>
      </c>
      <c r="W32" s="3762">
        <f t="shared" si="14"/>
        <v>100</v>
      </c>
      <c r="X32" s="909"/>
      <c r="Y32" s="4503"/>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11"/>
      <c r="Q33" s="1507" t="str">
        <f t="shared" si="11"/>
        <v>成新度</v>
      </c>
      <c r="R33" s="3760" t="s">
        <v>13</v>
      </c>
      <c r="S33" s="3762" t="e">
        <f t="shared" si="12"/>
        <v>#N/A</v>
      </c>
      <c r="T33" s="3760" t="s">
        <v>13</v>
      </c>
      <c r="U33" s="3762" t="e">
        <f t="shared" si="13"/>
        <v>#N/A</v>
      </c>
      <c r="V33" s="3760" t="s">
        <v>13</v>
      </c>
      <c r="W33" s="3762" t="e">
        <f t="shared" si="14"/>
        <v>#N/A</v>
      </c>
      <c r="X33" s="909"/>
      <c r="Y33" s="4503"/>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11"/>
      <c r="Q34" s="1698" t="str">
        <f t="shared" si="11"/>
        <v>物业管理</v>
      </c>
      <c r="R34" s="3759" t="s">
        <v>13</v>
      </c>
      <c r="S34" s="3542">
        <f t="shared" si="12"/>
        <v>100</v>
      </c>
      <c r="T34" s="3759" t="s">
        <v>13</v>
      </c>
      <c r="U34" s="3542">
        <f t="shared" si="13"/>
        <v>100</v>
      </c>
      <c r="V34" s="3759" t="s">
        <v>13</v>
      </c>
      <c r="W34" s="3542">
        <f t="shared" si="14"/>
        <v>100</v>
      </c>
      <c r="X34" s="482"/>
      <c r="Y34" s="4503"/>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11" t="s">
        <v>1603</v>
      </c>
      <c r="Q35" s="1507" t="str">
        <f t="shared" si="11"/>
        <v>市政基础设施</v>
      </c>
      <c r="R35" s="3760" t="s">
        <v>13</v>
      </c>
      <c r="S35" s="3762">
        <f t="shared" si="12"/>
        <v>100</v>
      </c>
      <c r="T35" s="3760" t="s">
        <v>13</v>
      </c>
      <c r="U35" s="3762">
        <f t="shared" si="13"/>
        <v>100</v>
      </c>
      <c r="V35" s="3760" t="s">
        <v>13</v>
      </c>
      <c r="W35" s="3762">
        <f t="shared" si="14"/>
        <v>100</v>
      </c>
      <c r="X35" s="909"/>
      <c r="Y35" s="4503"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11"/>
      <c r="Q36" s="1507" t="str">
        <f t="shared" si="11"/>
        <v>内部装修</v>
      </c>
      <c r="R36" s="3760" t="s">
        <v>13</v>
      </c>
      <c r="S36" s="3762">
        <f t="shared" si="12"/>
        <v>100</v>
      </c>
      <c r="T36" s="3760" t="s">
        <v>13</v>
      </c>
      <c r="U36" s="3762">
        <f t="shared" si="13"/>
        <v>100</v>
      </c>
      <c r="V36" s="3760" t="s">
        <v>13</v>
      </c>
      <c r="W36" s="3762">
        <f t="shared" si="14"/>
        <v>100</v>
      </c>
      <c r="X36" s="909"/>
      <c r="Y36" s="4503"/>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11"/>
      <c r="Q37" s="1507" t="str">
        <f t="shared" si="11"/>
        <v>内部装修状况</v>
      </c>
      <c r="R37" s="3760" t="s">
        <v>13</v>
      </c>
      <c r="S37" s="3762">
        <f t="shared" si="12"/>
        <v>100</v>
      </c>
      <c r="T37" s="3760" t="s">
        <v>13</v>
      </c>
      <c r="U37" s="3762">
        <f t="shared" si="13"/>
        <v>100</v>
      </c>
      <c r="V37" s="3760" t="s">
        <v>13</v>
      </c>
      <c r="W37" s="3762">
        <f t="shared" si="14"/>
        <v>100</v>
      </c>
      <c r="X37" s="909"/>
      <c r="Y37" s="4503"/>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11"/>
      <c r="Q38" s="2864">
        <f t="shared" si="11"/>
        <v>111</v>
      </c>
      <c r="R38" s="3761" t="s">
        <v>13</v>
      </c>
      <c r="S38" s="3763">
        <f t="shared" si="12"/>
        <v>100</v>
      </c>
      <c r="T38" s="3761" t="s">
        <v>13</v>
      </c>
      <c r="U38" s="3763">
        <f t="shared" si="13"/>
        <v>100</v>
      </c>
      <c r="V38" s="3761" t="s">
        <v>13</v>
      </c>
      <c r="W38" s="3763">
        <f t="shared" si="14"/>
        <v>100</v>
      </c>
      <c r="X38" s="484"/>
      <c r="Y38" s="4503"/>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11"/>
      <c r="Q39" s="1507">
        <f t="shared" si="11"/>
        <v>111</v>
      </c>
      <c r="R39" s="3760" t="s">
        <v>13</v>
      </c>
      <c r="S39" s="3762">
        <f t="shared" si="12"/>
        <v>100</v>
      </c>
      <c r="T39" s="3760" t="s">
        <v>13</v>
      </c>
      <c r="U39" s="3762">
        <f t="shared" si="13"/>
        <v>100</v>
      </c>
      <c r="V39" s="3760" t="s">
        <v>13</v>
      </c>
      <c r="W39" s="3762">
        <f t="shared" si="14"/>
        <v>100</v>
      </c>
      <c r="X39" s="909"/>
      <c r="Y39" s="4503"/>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12"/>
      <c r="Q40" s="1507">
        <f t="shared" si="11"/>
        <v>111</v>
      </c>
      <c r="R40" s="3760" t="s">
        <v>13</v>
      </c>
      <c r="S40" s="3762">
        <f t="shared" si="12"/>
        <v>100</v>
      </c>
      <c r="T40" s="3760" t="s">
        <v>13</v>
      </c>
      <c r="U40" s="3762">
        <f t="shared" si="13"/>
        <v>100</v>
      </c>
      <c r="V40" s="3760" t="s">
        <v>13</v>
      </c>
      <c r="W40" s="3762">
        <f t="shared" si="14"/>
        <v>100</v>
      </c>
      <c r="X40" s="909"/>
      <c r="Y40" s="4504"/>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491" t="str">
        <f>A41</f>
        <v>成交单价（元/平方米）</v>
      </c>
      <c r="Q41" s="4491"/>
      <c r="R41" s="4492">
        <f>E41</f>
        <v>0</v>
      </c>
      <c r="S41" s="4492"/>
      <c r="T41" s="4492">
        <f>G41</f>
        <v>0</v>
      </c>
      <c r="U41" s="4492"/>
      <c r="V41" s="4492">
        <f>I41</f>
        <v>0</v>
      </c>
      <c r="W41" s="4492"/>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491" t="str">
        <f>A42</f>
        <v>比较价值（元/平方米）</v>
      </c>
      <c r="Q42" s="4491"/>
      <c r="R42" s="4492" t="e">
        <f>IF(F1="售价",ROUND(PRODUCT(R41,AA7:AA40),0),ROUND(PRODUCT(R41,AA7:AA40),1))</f>
        <v>#DIV/0!</v>
      </c>
      <c r="S42" s="4492"/>
      <c r="T42" s="4492" t="e">
        <f>IF(F1="售价",ROUND(PRODUCT(T41,AB7:AB40),0),ROUND(PRODUCT(T41,AB7:AB40),1))</f>
        <v>#DIV/0!</v>
      </c>
      <c r="U42" s="4492"/>
      <c r="V42" s="4492" t="e">
        <f>IF(F1="售价",ROUND(PRODUCT(V41,AC7:AC40),0),ROUND(PRODUCT(V41,AC7:AC40),1))</f>
        <v>#DIV/0!</v>
      </c>
      <c r="W42" s="4492"/>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82" t="str">
        <f>A43</f>
        <v>估价对象XX用房的比较价值（楼面单价，元/平方米）</v>
      </c>
      <c r="Q43" s="4583"/>
      <c r="R43" s="4584" t="e">
        <f>IF(F1="售价",ROUND(IF(D42="简单平均",AVERAGE(R42:V42),R42*F42+T42*H42+V42*J42),0),ROUND(IF(D42="简单平均",AVERAGE(R42:V42),R42*F42+T42*H42+V42*J42),1))</f>
        <v>#DIV/0!</v>
      </c>
      <c r="S43" s="4584"/>
      <c r="T43" s="4584"/>
      <c r="U43" s="4584"/>
      <c r="V43" s="4584"/>
      <c r="W43" s="458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09" t="s">
        <v>1677</v>
      </c>
      <c r="D4" s="4510"/>
      <c r="E4" s="4511" t="s">
        <v>1678</v>
      </c>
      <c r="F4" s="4512"/>
      <c r="G4" s="4509" t="s">
        <v>1679</v>
      </c>
      <c r="H4" s="4510"/>
      <c r="I4" s="4509" t="s">
        <v>1680</v>
      </c>
      <c r="J4" s="4510"/>
      <c r="K4" s="393" t="s">
        <v>1681</v>
      </c>
      <c r="L4" s="1974"/>
      <c r="M4" s="1975"/>
      <c r="N4" s="1975"/>
      <c r="O4" s="1975"/>
      <c r="P4" s="4619" t="s">
        <v>1682</v>
      </c>
      <c r="Q4" s="4620"/>
      <c r="R4" s="4601" t="s">
        <v>1678</v>
      </c>
      <c r="S4" s="4602"/>
      <c r="T4" s="4601" t="s">
        <v>1679</v>
      </c>
      <c r="U4" s="4602"/>
      <c r="V4" s="4607" t="s">
        <v>1680</v>
      </c>
      <c r="W4" s="4607"/>
      <c r="X4" s="909"/>
      <c r="Y4" s="4601" t="s">
        <v>1682</v>
      </c>
      <c r="Z4" s="4602"/>
      <c r="AA4" s="4585" t="s">
        <v>1678</v>
      </c>
      <c r="AB4" s="4545" t="s">
        <v>1679</v>
      </c>
      <c r="AC4" s="4585" t="s">
        <v>1680</v>
      </c>
    </row>
    <row r="5" spans="1:29" ht="15">
      <c r="A5" s="238"/>
      <c r="B5" s="239"/>
      <c r="C5" s="4529" t="s">
        <v>1580</v>
      </c>
      <c r="D5" s="4530"/>
      <c r="E5" s="4613" t="s">
        <v>1581</v>
      </c>
      <c r="F5" s="4548"/>
      <c r="G5" s="4529" t="s">
        <v>1582</v>
      </c>
      <c r="H5" s="4530"/>
      <c r="I5" s="4529" t="s">
        <v>1583</v>
      </c>
      <c r="J5" s="4530"/>
      <c r="K5" s="393"/>
      <c r="L5" s="1974"/>
      <c r="M5" s="1975"/>
      <c r="N5" s="1975"/>
      <c r="O5" s="1975"/>
      <c r="P5" s="4621"/>
      <c r="Q5" s="4622"/>
      <c r="R5" s="4537"/>
      <c r="S5" s="4538"/>
      <c r="T5" s="4537"/>
      <c r="U5" s="4538"/>
      <c r="V5" s="4607"/>
      <c r="W5" s="4607"/>
      <c r="X5" s="909"/>
      <c r="Y5" s="4537"/>
      <c r="Z5" s="4538"/>
      <c r="AA5" s="4545"/>
      <c r="AB5" s="4545"/>
      <c r="AC5" s="4545"/>
    </row>
    <row r="6" spans="1:29" ht="15.75" thickBot="1">
      <c r="A6" s="240"/>
      <c r="B6" s="241"/>
      <c r="C6" s="4527" t="s">
        <v>1584</v>
      </c>
      <c r="D6" s="4528"/>
      <c r="E6" s="4542" t="s">
        <v>1584</v>
      </c>
      <c r="F6" s="4543"/>
      <c r="G6" s="4527" t="s">
        <v>1584</v>
      </c>
      <c r="H6" s="4528"/>
      <c r="I6" s="4527" t="s">
        <v>1584</v>
      </c>
      <c r="J6" s="4528"/>
      <c r="K6" s="393" t="s">
        <v>1585</v>
      </c>
      <c r="L6" s="1974"/>
      <c r="M6" s="1975"/>
      <c r="N6" s="1975"/>
      <c r="O6" s="1975"/>
      <c r="P6" s="4623"/>
      <c r="Q6" s="4624"/>
      <c r="R6" s="4537"/>
      <c r="S6" s="4538"/>
      <c r="T6" s="4539"/>
      <c r="U6" s="4540"/>
      <c r="V6" s="4607"/>
      <c r="W6" s="4607"/>
      <c r="X6" s="909"/>
      <c r="Y6" s="4539"/>
      <c r="Z6" s="4540"/>
      <c r="AA6" s="4546"/>
      <c r="AB6" s="4546"/>
      <c r="AC6" s="4546"/>
    </row>
    <row r="7" spans="1:29" s="46" customFormat="1" ht="15.75" thickBot="1">
      <c r="A7" s="242" t="s">
        <v>1586</v>
      </c>
      <c r="B7" s="243"/>
      <c r="C7" s="244">
        <f>'数据-取费表'!B2</f>
        <v>46092</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33" t="s">
        <v>1587</v>
      </c>
      <c r="Q7" s="4625"/>
      <c r="R7" s="3766" t="s">
        <v>13</v>
      </c>
      <c r="S7" s="3769">
        <f t="shared" ref="S7:S14" si="0">F7</f>
        <v>0</v>
      </c>
      <c r="T7" s="3766" t="s">
        <v>13</v>
      </c>
      <c r="U7" s="3769">
        <f t="shared" ref="U7:U14" si="1">H7</f>
        <v>0</v>
      </c>
      <c r="V7" s="3766" t="s">
        <v>13</v>
      </c>
      <c r="W7" s="3769">
        <f t="shared" ref="W7:W14" si="2">J7</f>
        <v>0</v>
      </c>
      <c r="X7" s="482"/>
      <c r="Y7" s="4533" t="s">
        <v>1587</v>
      </c>
      <c r="Z7" s="4534"/>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33" t="s">
        <v>1590</v>
      </c>
      <c r="Q8" s="4534"/>
      <c r="R8" s="3766" t="s">
        <v>13</v>
      </c>
      <c r="S8" s="3769">
        <f t="shared" si="0"/>
        <v>100</v>
      </c>
      <c r="T8" s="3766" t="s">
        <v>13</v>
      </c>
      <c r="U8" s="3769">
        <f t="shared" si="1"/>
        <v>100</v>
      </c>
      <c r="V8" s="3766" t="s">
        <v>13</v>
      </c>
      <c r="W8" s="3769">
        <f t="shared" si="2"/>
        <v>100</v>
      </c>
      <c r="X8" s="482"/>
      <c r="Y8" s="4533" t="s">
        <v>1590</v>
      </c>
      <c r="Z8" s="4534"/>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14" t="s">
        <v>1593</v>
      </c>
      <c r="Q9" s="389" t="str">
        <f t="shared" ref="Q9:Q14" si="6">B9</f>
        <v>用途</v>
      </c>
      <c r="R9" s="3766" t="s">
        <v>13</v>
      </c>
      <c r="S9" s="3769">
        <f t="shared" si="0"/>
        <v>100</v>
      </c>
      <c r="T9" s="3766" t="s">
        <v>13</v>
      </c>
      <c r="U9" s="3769">
        <f t="shared" si="1"/>
        <v>100</v>
      </c>
      <c r="V9" s="3766" t="s">
        <v>13</v>
      </c>
      <c r="W9" s="3769">
        <f t="shared" si="2"/>
        <v>100</v>
      </c>
      <c r="X9" s="482"/>
      <c r="Y9" s="4505"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14"/>
      <c r="Q10" s="389" t="str">
        <f t="shared" si="6"/>
        <v>土地使用年限（年）</v>
      </c>
      <c r="R10" s="3766" t="s">
        <v>13</v>
      </c>
      <c r="S10" s="3769">
        <f t="shared" si="0"/>
        <v>100</v>
      </c>
      <c r="T10" s="3766" t="s">
        <v>13</v>
      </c>
      <c r="U10" s="3769">
        <f t="shared" si="1"/>
        <v>100</v>
      </c>
      <c r="V10" s="3766" t="s">
        <v>13</v>
      </c>
      <c r="W10" s="3769">
        <f t="shared" si="2"/>
        <v>100</v>
      </c>
      <c r="X10" s="482"/>
      <c r="Y10" s="4505"/>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4"/>
      <c r="Q11" s="389">
        <f t="shared" si="6"/>
        <v>111</v>
      </c>
      <c r="R11" s="3766" t="s">
        <v>13</v>
      </c>
      <c r="S11" s="3769">
        <f t="shared" si="0"/>
        <v>100</v>
      </c>
      <c r="T11" s="3766" t="s">
        <v>13</v>
      </c>
      <c r="U11" s="3769">
        <f t="shared" si="1"/>
        <v>100</v>
      </c>
      <c r="V11" s="3766" t="s">
        <v>13</v>
      </c>
      <c r="W11" s="3769">
        <f t="shared" si="2"/>
        <v>100</v>
      </c>
      <c r="X11" s="482"/>
      <c r="Y11" s="4505"/>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4"/>
      <c r="Q12" s="389">
        <f t="shared" si="6"/>
        <v>111</v>
      </c>
      <c r="R12" s="3766" t="s">
        <v>13</v>
      </c>
      <c r="S12" s="3769">
        <f t="shared" si="0"/>
        <v>100</v>
      </c>
      <c r="T12" s="3766" t="s">
        <v>13</v>
      </c>
      <c r="U12" s="3769">
        <f t="shared" si="1"/>
        <v>100</v>
      </c>
      <c r="V12" s="3766" t="s">
        <v>13</v>
      </c>
      <c r="W12" s="3769">
        <f t="shared" si="2"/>
        <v>100</v>
      </c>
      <c r="X12" s="482"/>
      <c r="Y12" s="4505"/>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14"/>
      <c r="Q13" s="389">
        <f t="shared" si="6"/>
        <v>111</v>
      </c>
      <c r="R13" s="3766" t="s">
        <v>13</v>
      </c>
      <c r="S13" s="3769">
        <f t="shared" si="0"/>
        <v>100</v>
      </c>
      <c r="T13" s="3766" t="s">
        <v>13</v>
      </c>
      <c r="U13" s="3769">
        <f t="shared" si="1"/>
        <v>100</v>
      </c>
      <c r="V13" s="3766" t="s">
        <v>13</v>
      </c>
      <c r="W13" s="3769">
        <f t="shared" si="2"/>
        <v>100</v>
      </c>
      <c r="X13" s="482"/>
      <c r="Y13" s="4505"/>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498" t="s">
        <v>1598</v>
      </c>
      <c r="Q14" s="906" t="str">
        <f t="shared" si="6"/>
        <v>交通便捷度</v>
      </c>
      <c r="R14" s="3767" t="s">
        <v>13</v>
      </c>
      <c r="S14" s="3770">
        <f t="shared" si="0"/>
        <v>100</v>
      </c>
      <c r="T14" s="3767" t="s">
        <v>13</v>
      </c>
      <c r="U14" s="3770">
        <f t="shared" si="1"/>
        <v>100</v>
      </c>
      <c r="V14" s="3767" t="s">
        <v>13</v>
      </c>
      <c r="W14" s="3770">
        <f t="shared" si="2"/>
        <v>100</v>
      </c>
      <c r="X14" s="909"/>
      <c r="Y14" s="4498"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499"/>
      <c r="Q15" s="906"/>
      <c r="R15" s="3767"/>
      <c r="S15" s="3770"/>
      <c r="T15" s="3767"/>
      <c r="U15" s="3770"/>
      <c r="V15" s="3767"/>
      <c r="W15" s="3770"/>
      <c r="X15" s="909"/>
      <c r="Y15" s="4499"/>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499"/>
      <c r="Q16" s="906" t="str">
        <f>B16</f>
        <v>公共配套设施</v>
      </c>
      <c r="R16" s="3767" t="s">
        <v>13</v>
      </c>
      <c r="S16" s="3770">
        <f>F16</f>
        <v>100</v>
      </c>
      <c r="T16" s="3767" t="s">
        <v>13</v>
      </c>
      <c r="U16" s="3770">
        <f>H16</f>
        <v>100</v>
      </c>
      <c r="V16" s="3767" t="s">
        <v>13</v>
      </c>
      <c r="W16" s="3770">
        <f>J16</f>
        <v>100</v>
      </c>
      <c r="X16" s="909"/>
      <c r="Y16" s="4499"/>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499"/>
      <c r="Q17" s="906"/>
      <c r="R17" s="3767"/>
      <c r="S17" s="3770"/>
      <c r="T17" s="3767"/>
      <c r="U17" s="3770"/>
      <c r="V17" s="3767"/>
      <c r="W17" s="3770"/>
      <c r="X17" s="909"/>
      <c r="Y17" s="4499"/>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499"/>
      <c r="Q18" s="906" t="str">
        <f>B18</f>
        <v>基础设施水平</v>
      </c>
      <c r="R18" s="3767" t="s">
        <v>13</v>
      </c>
      <c r="S18" s="3770">
        <f>F18</f>
        <v>100</v>
      </c>
      <c r="T18" s="3767" t="s">
        <v>13</v>
      </c>
      <c r="U18" s="3770">
        <f>H18</f>
        <v>100</v>
      </c>
      <c r="V18" s="3767" t="s">
        <v>13</v>
      </c>
      <c r="W18" s="3770">
        <f>J18</f>
        <v>100</v>
      </c>
      <c r="X18" s="909"/>
      <c r="Y18" s="4499"/>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499"/>
      <c r="Q19" s="906"/>
      <c r="R19" s="3767"/>
      <c r="S19" s="3770"/>
      <c r="T19" s="3767"/>
      <c r="U19" s="3770"/>
      <c r="V19" s="3767"/>
      <c r="W19" s="3770"/>
      <c r="X19" s="909"/>
      <c r="Y19" s="4499"/>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499"/>
      <c r="Q20" s="906" t="str">
        <f>B20</f>
        <v>自然及人文环境</v>
      </c>
      <c r="R20" s="3767" t="s">
        <v>13</v>
      </c>
      <c r="S20" s="3770">
        <f>F20</f>
        <v>100</v>
      </c>
      <c r="T20" s="3767" t="s">
        <v>13</v>
      </c>
      <c r="U20" s="3770">
        <f>H20</f>
        <v>100</v>
      </c>
      <c r="V20" s="3767" t="s">
        <v>13</v>
      </c>
      <c r="W20" s="3770">
        <f>J20</f>
        <v>100</v>
      </c>
      <c r="X20" s="909"/>
      <c r="Y20" s="4499"/>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499"/>
      <c r="Q21" s="906"/>
      <c r="R21" s="3767"/>
      <c r="S21" s="3770"/>
      <c r="T21" s="3767"/>
      <c r="U21" s="3770"/>
      <c r="V21" s="3767"/>
      <c r="W21" s="3770"/>
      <c r="X21" s="909"/>
      <c r="Y21" s="4499"/>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499"/>
      <c r="Q22" s="906" t="str">
        <f>B22</f>
        <v>楼层</v>
      </c>
      <c r="R22" s="3767" t="s">
        <v>13</v>
      </c>
      <c r="S22" s="3770">
        <f>F22</f>
        <v>100</v>
      </c>
      <c r="T22" s="3767" t="s">
        <v>13</v>
      </c>
      <c r="U22" s="3770">
        <f>H22</f>
        <v>100</v>
      </c>
      <c r="V22" s="3767" t="s">
        <v>13</v>
      </c>
      <c r="W22" s="3770">
        <f>J22</f>
        <v>100</v>
      </c>
      <c r="X22" s="909"/>
      <c r="Y22" s="4499"/>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499"/>
      <c r="Q23" s="906">
        <f>B23</f>
        <v>111</v>
      </c>
      <c r="R23" s="3767" t="s">
        <v>13</v>
      </c>
      <c r="S23" s="3770">
        <f>F23</f>
        <v>100</v>
      </c>
      <c r="T23" s="3767" t="s">
        <v>13</v>
      </c>
      <c r="U23" s="3770">
        <f>H23</f>
        <v>100</v>
      </c>
      <c r="V23" s="3767" t="s">
        <v>13</v>
      </c>
      <c r="W23" s="3770">
        <f>J23</f>
        <v>100</v>
      </c>
      <c r="X23" s="909"/>
      <c r="Y23" s="4499"/>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499"/>
      <c r="Q24" s="906">
        <f t="shared" ref="Q24:Q36" si="11">B24</f>
        <v>111</v>
      </c>
      <c r="R24" s="3767" t="s">
        <v>13</v>
      </c>
      <c r="S24" s="3770">
        <f>F24</f>
        <v>100</v>
      </c>
      <c r="T24" s="3767" t="s">
        <v>13</v>
      </c>
      <c r="U24" s="3770">
        <f>H24</f>
        <v>100</v>
      </c>
      <c r="V24" s="3767" t="s">
        <v>13</v>
      </c>
      <c r="W24" s="3770">
        <f>J24</f>
        <v>100</v>
      </c>
      <c r="X24" s="909"/>
      <c r="Y24" s="4499"/>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499"/>
      <c r="Q25" s="389">
        <f t="shared" si="11"/>
        <v>111</v>
      </c>
      <c r="R25" s="3766" t="s">
        <v>13</v>
      </c>
      <c r="S25" s="3769">
        <f>F25</f>
        <v>100</v>
      </c>
      <c r="T25" s="3766" t="s">
        <v>13</v>
      </c>
      <c r="U25" s="3769">
        <f>H25</f>
        <v>100</v>
      </c>
      <c r="V25" s="3766" t="s">
        <v>13</v>
      </c>
      <c r="W25" s="3769">
        <f>J25</f>
        <v>100</v>
      </c>
      <c r="X25" s="482"/>
      <c r="Y25" s="4499"/>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18"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0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03"/>
      <c r="Q27" s="483" t="str">
        <f t="shared" si="11"/>
        <v>项目停车位配比</v>
      </c>
      <c r="R27" s="3768" t="s">
        <v>13</v>
      </c>
      <c r="S27" s="3771">
        <f t="shared" si="12"/>
        <v>100</v>
      </c>
      <c r="T27" s="3768" t="s">
        <v>13</v>
      </c>
      <c r="U27" s="3771">
        <f t="shared" si="13"/>
        <v>100</v>
      </c>
      <c r="V27" s="3768" t="s">
        <v>13</v>
      </c>
      <c r="W27" s="3771">
        <f t="shared" si="14"/>
        <v>100</v>
      </c>
      <c r="X27" s="484"/>
      <c r="Y27" s="4503"/>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03"/>
      <c r="Q28" s="906" t="str">
        <f t="shared" si="11"/>
        <v>公共部分装修</v>
      </c>
      <c r="R28" s="3767" t="s">
        <v>13</v>
      </c>
      <c r="S28" s="3770">
        <f t="shared" si="12"/>
        <v>100</v>
      </c>
      <c r="T28" s="3767" t="s">
        <v>13</v>
      </c>
      <c r="U28" s="3770">
        <f t="shared" si="13"/>
        <v>100</v>
      </c>
      <c r="V28" s="3767" t="s">
        <v>13</v>
      </c>
      <c r="W28" s="3770">
        <f t="shared" si="14"/>
        <v>100</v>
      </c>
      <c r="X28" s="909"/>
      <c r="Y28" s="4503"/>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03"/>
      <c r="Q29" s="906" t="str">
        <f t="shared" si="11"/>
        <v>成新率</v>
      </c>
      <c r="R29" s="3767" t="s">
        <v>13</v>
      </c>
      <c r="S29" s="3770" t="e">
        <f t="shared" si="12"/>
        <v>#N/A</v>
      </c>
      <c r="T29" s="3767" t="s">
        <v>13</v>
      </c>
      <c r="U29" s="3770" t="e">
        <f t="shared" si="13"/>
        <v>#N/A</v>
      </c>
      <c r="V29" s="3767" t="s">
        <v>13</v>
      </c>
      <c r="W29" s="3770" t="e">
        <f t="shared" si="14"/>
        <v>#N/A</v>
      </c>
      <c r="X29" s="909"/>
      <c r="Y29" s="4503"/>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03"/>
      <c r="Q30" s="906" t="str">
        <f t="shared" si="11"/>
        <v>物业等级</v>
      </c>
      <c r="R30" s="3767" t="s">
        <v>13</v>
      </c>
      <c r="S30" s="3770">
        <f t="shared" si="12"/>
        <v>100</v>
      </c>
      <c r="T30" s="3767" t="s">
        <v>13</v>
      </c>
      <c r="U30" s="3770">
        <f t="shared" si="13"/>
        <v>100</v>
      </c>
      <c r="V30" s="3767" t="s">
        <v>13</v>
      </c>
      <c r="W30" s="3770">
        <f t="shared" si="14"/>
        <v>100</v>
      </c>
      <c r="X30" s="909"/>
      <c r="Y30" s="4503"/>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03"/>
      <c r="Q31" s="389" t="str">
        <f t="shared" si="11"/>
        <v>停车位面积</v>
      </c>
      <c r="R31" s="3766" t="s">
        <v>13</v>
      </c>
      <c r="S31" s="3769" t="e">
        <f t="shared" si="12"/>
        <v>#N/A</v>
      </c>
      <c r="T31" s="3766" t="s">
        <v>13</v>
      </c>
      <c r="U31" s="3769" t="e">
        <f t="shared" si="13"/>
        <v>#N/A</v>
      </c>
      <c r="V31" s="3766" t="s">
        <v>13</v>
      </c>
      <c r="W31" s="3769" t="e">
        <f t="shared" si="14"/>
        <v>#N/A</v>
      </c>
      <c r="X31" s="482"/>
      <c r="Y31" s="4503"/>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03" t="s">
        <v>1603</v>
      </c>
      <c r="Q32" s="906" t="str">
        <f t="shared" si="11"/>
        <v>车位类型</v>
      </c>
      <c r="R32" s="3767" t="s">
        <v>13</v>
      </c>
      <c r="S32" s="3770">
        <f t="shared" si="12"/>
        <v>100</v>
      </c>
      <c r="T32" s="3767" t="s">
        <v>13</v>
      </c>
      <c r="U32" s="3770">
        <f t="shared" si="13"/>
        <v>100</v>
      </c>
      <c r="V32" s="3767" t="s">
        <v>13</v>
      </c>
      <c r="W32" s="3770">
        <f t="shared" si="14"/>
        <v>100</v>
      </c>
      <c r="X32" s="909"/>
      <c r="Y32" s="4503"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03"/>
      <c r="Q33" s="906" t="str">
        <f t="shared" si="11"/>
        <v>是否直接入户</v>
      </c>
      <c r="R33" s="3767" t="s">
        <v>13</v>
      </c>
      <c r="S33" s="3770">
        <f t="shared" si="12"/>
        <v>100</v>
      </c>
      <c r="T33" s="3767" t="s">
        <v>13</v>
      </c>
      <c r="U33" s="3770">
        <f t="shared" si="13"/>
        <v>100</v>
      </c>
      <c r="V33" s="3767" t="s">
        <v>13</v>
      </c>
      <c r="W33" s="3770">
        <f t="shared" si="14"/>
        <v>100</v>
      </c>
      <c r="X33" s="909"/>
      <c r="Y33" s="4503"/>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03"/>
      <c r="Q34" s="906">
        <f t="shared" si="11"/>
        <v>111</v>
      </c>
      <c r="R34" s="3767" t="s">
        <v>13</v>
      </c>
      <c r="S34" s="3770">
        <f t="shared" si="12"/>
        <v>100</v>
      </c>
      <c r="T34" s="3767" t="s">
        <v>13</v>
      </c>
      <c r="U34" s="3770">
        <f t="shared" si="13"/>
        <v>100</v>
      </c>
      <c r="V34" s="3767" t="s">
        <v>13</v>
      </c>
      <c r="W34" s="3770">
        <f t="shared" si="14"/>
        <v>100</v>
      </c>
      <c r="X34" s="909"/>
      <c r="Y34" s="4503"/>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03"/>
      <c r="Q35" s="483">
        <f t="shared" si="11"/>
        <v>111</v>
      </c>
      <c r="R35" s="3768" t="s">
        <v>13</v>
      </c>
      <c r="S35" s="3771">
        <f t="shared" si="12"/>
        <v>100</v>
      </c>
      <c r="T35" s="3768" t="s">
        <v>13</v>
      </c>
      <c r="U35" s="3771">
        <f t="shared" si="13"/>
        <v>100</v>
      </c>
      <c r="V35" s="3768" t="s">
        <v>13</v>
      </c>
      <c r="W35" s="3771">
        <f t="shared" si="14"/>
        <v>100</v>
      </c>
      <c r="X35" s="484"/>
      <c r="Y35" s="4503"/>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03"/>
      <c r="Q36" s="906">
        <f t="shared" si="11"/>
        <v>111</v>
      </c>
      <c r="R36" s="3767" t="s">
        <v>13</v>
      </c>
      <c r="S36" s="3770">
        <f t="shared" si="12"/>
        <v>100</v>
      </c>
      <c r="T36" s="3767" t="s">
        <v>13</v>
      </c>
      <c r="U36" s="3770">
        <f t="shared" si="13"/>
        <v>100</v>
      </c>
      <c r="V36" s="3767" t="s">
        <v>13</v>
      </c>
      <c r="W36" s="3770">
        <f t="shared" si="14"/>
        <v>100</v>
      </c>
      <c r="X36" s="909"/>
      <c r="Y36" s="4503"/>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14" t="str">
        <f>A37</f>
        <v>成交单价</v>
      </c>
      <c r="Q37" s="4614"/>
      <c r="R37" s="4607">
        <f>E37</f>
        <v>0</v>
      </c>
      <c r="S37" s="4607"/>
      <c r="T37" s="4607">
        <f>G37</f>
        <v>0</v>
      </c>
      <c r="U37" s="4607"/>
      <c r="V37" s="4607">
        <f>I37</f>
        <v>0</v>
      </c>
      <c r="W37" s="4607"/>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614" t="str">
        <f>A38</f>
        <v>比较价值（元/平方米）</v>
      </c>
      <c r="Q38" s="4614"/>
      <c r="R38" s="4607" t="e">
        <f>IF(F1="售价",ROUND(PRODUCT(R37,AA7:AA36),0),ROUND(PRODUCT(R37,AA7:AA36),1))</f>
        <v>#DIV/0!</v>
      </c>
      <c r="S38" s="4607"/>
      <c r="T38" s="4607" t="e">
        <f>IF(F1="售价",ROUND(PRODUCT(T37,AB7:AB36),0),ROUND(PRODUCT(T37,AB7:AB36),1))</f>
        <v>#DIV/0!</v>
      </c>
      <c r="U38" s="4607"/>
      <c r="V38" s="4607" t="e">
        <f>IF(F1="售价",ROUND(PRODUCT(V37,AC7:AC36),0),ROUND(PRODUCT(V37,AC7:AC36),1))</f>
        <v>#DIV/0!</v>
      </c>
      <c r="W38" s="4607"/>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15" t="str">
        <f>A39</f>
        <v>估价对象XX用房的比较价值（楼面单价，元/平方米）</v>
      </c>
      <c r="Q39" s="4616"/>
      <c r="R39" s="4617" t="e">
        <f>IF(F1="售价",ROUND(IF(D38="简单平均",AVERAGE(R38:W38),R38*F38+T38*H38+V38*J38),0),ROUND(IF(D38="简单平均",AVERAGE(R38:V38),R38*F38+T38*H38+V38*J38),1))</f>
        <v>#DIV/0!</v>
      </c>
      <c r="S39" s="4617"/>
      <c r="T39" s="4617"/>
      <c r="U39" s="4617"/>
      <c r="V39" s="4617"/>
      <c r="W39" s="461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09" t="s">
        <v>1677</v>
      </c>
      <c r="D4" s="4510"/>
      <c r="E4" s="4511" t="s">
        <v>1678</v>
      </c>
      <c r="F4" s="4512"/>
      <c r="G4" s="4509" t="s">
        <v>1679</v>
      </c>
      <c r="H4" s="4510"/>
      <c r="I4" s="4509" t="s">
        <v>1680</v>
      </c>
      <c r="J4" s="4510"/>
      <c r="K4" s="393" t="s">
        <v>1681</v>
      </c>
      <c r="L4" s="1974"/>
      <c r="M4" s="1975"/>
      <c r="N4" s="1975"/>
      <c r="O4" s="1975"/>
      <c r="P4" s="4619" t="s">
        <v>1682</v>
      </c>
      <c r="Q4" s="4620"/>
      <c r="R4" s="4601" t="s">
        <v>1678</v>
      </c>
      <c r="S4" s="4602"/>
      <c r="T4" s="4601" t="s">
        <v>1679</v>
      </c>
      <c r="U4" s="4602"/>
      <c r="V4" s="4607" t="s">
        <v>1680</v>
      </c>
      <c r="W4" s="4607"/>
      <c r="X4" s="909"/>
      <c r="Y4" s="4601" t="s">
        <v>1682</v>
      </c>
      <c r="Z4" s="4602"/>
      <c r="AA4" s="4585" t="s">
        <v>1678</v>
      </c>
      <c r="AB4" s="4545" t="s">
        <v>1679</v>
      </c>
      <c r="AC4" s="4585" t="s">
        <v>1680</v>
      </c>
    </row>
    <row r="5" spans="1:29" ht="15">
      <c r="A5" s="238"/>
      <c r="B5" s="239"/>
      <c r="C5" s="4529" t="s">
        <v>1580</v>
      </c>
      <c r="D5" s="4530"/>
      <c r="E5" s="4613" t="s">
        <v>1581</v>
      </c>
      <c r="F5" s="4548"/>
      <c r="G5" s="4529" t="s">
        <v>1582</v>
      </c>
      <c r="H5" s="4530"/>
      <c r="I5" s="4529" t="s">
        <v>1583</v>
      </c>
      <c r="J5" s="4530"/>
      <c r="K5" s="393"/>
      <c r="L5" s="1974"/>
      <c r="M5" s="1975"/>
      <c r="N5" s="1975"/>
      <c r="O5" s="1975"/>
      <c r="P5" s="4621"/>
      <c r="Q5" s="4622"/>
      <c r="R5" s="4537"/>
      <c r="S5" s="4538"/>
      <c r="T5" s="4537"/>
      <c r="U5" s="4538"/>
      <c r="V5" s="4607"/>
      <c r="W5" s="4607"/>
      <c r="X5" s="909"/>
      <c r="Y5" s="4537"/>
      <c r="Z5" s="4538"/>
      <c r="AA5" s="4545"/>
      <c r="AB5" s="4545"/>
      <c r="AC5" s="4545"/>
    </row>
    <row r="6" spans="1:29" ht="15.75" thickBot="1">
      <c r="A6" s="240"/>
      <c r="B6" s="241"/>
      <c r="C6" s="4527" t="s">
        <v>1584</v>
      </c>
      <c r="D6" s="4528"/>
      <c r="E6" s="4542" t="s">
        <v>1584</v>
      </c>
      <c r="F6" s="4543"/>
      <c r="G6" s="4527" t="s">
        <v>1584</v>
      </c>
      <c r="H6" s="4528"/>
      <c r="I6" s="4527" t="s">
        <v>1584</v>
      </c>
      <c r="J6" s="4528"/>
      <c r="K6" s="393" t="s">
        <v>1585</v>
      </c>
      <c r="L6" s="1974"/>
      <c r="M6" s="1975"/>
      <c r="N6" s="1975"/>
      <c r="O6" s="1975"/>
      <c r="P6" s="4623"/>
      <c r="Q6" s="4624"/>
      <c r="R6" s="4537"/>
      <c r="S6" s="4538"/>
      <c r="T6" s="4539"/>
      <c r="U6" s="4540"/>
      <c r="V6" s="4607"/>
      <c r="W6" s="4607"/>
      <c r="X6" s="909"/>
      <c r="Y6" s="4539"/>
      <c r="Z6" s="4540"/>
      <c r="AA6" s="4546"/>
      <c r="AB6" s="4546"/>
      <c r="AC6" s="4546"/>
    </row>
    <row r="7" spans="1:29" s="46" customFormat="1" ht="15.75" thickBot="1">
      <c r="A7" s="242" t="s">
        <v>1586</v>
      </c>
      <c r="B7" s="243"/>
      <c r="C7" s="244">
        <f>'数据-取费表'!B2</f>
        <v>46092</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33" t="s">
        <v>1587</v>
      </c>
      <c r="Q7" s="4625"/>
      <c r="R7" s="3766" t="s">
        <v>13</v>
      </c>
      <c r="S7" s="3769">
        <f t="shared" ref="S7:S14" si="0">F7</f>
        <v>0</v>
      </c>
      <c r="T7" s="3766" t="s">
        <v>13</v>
      </c>
      <c r="U7" s="3769">
        <f t="shared" ref="U7:U14" si="1">H7</f>
        <v>0</v>
      </c>
      <c r="V7" s="3766" t="s">
        <v>13</v>
      </c>
      <c r="W7" s="3769">
        <f t="shared" ref="W7:W14" si="2">J7</f>
        <v>0</v>
      </c>
      <c r="X7" s="482"/>
      <c r="Y7" s="4533" t="s">
        <v>1587</v>
      </c>
      <c r="Z7" s="4534"/>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33" t="s">
        <v>1590</v>
      </c>
      <c r="Q8" s="4534"/>
      <c r="R8" s="3766" t="s">
        <v>13</v>
      </c>
      <c r="S8" s="3769">
        <f t="shared" si="0"/>
        <v>100</v>
      </c>
      <c r="T8" s="3766" t="s">
        <v>13</v>
      </c>
      <c r="U8" s="3769">
        <f t="shared" si="1"/>
        <v>100</v>
      </c>
      <c r="V8" s="3766" t="s">
        <v>13</v>
      </c>
      <c r="W8" s="3769">
        <f t="shared" si="2"/>
        <v>100</v>
      </c>
      <c r="X8" s="482"/>
      <c r="Y8" s="4533" t="s">
        <v>1590</v>
      </c>
      <c r="Z8" s="4534"/>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14" t="s">
        <v>1593</v>
      </c>
      <c r="Q9" s="389" t="str">
        <f t="shared" ref="Q9:Q14" si="6">B9</f>
        <v>用途</v>
      </c>
      <c r="R9" s="3766" t="s">
        <v>13</v>
      </c>
      <c r="S9" s="3769">
        <f t="shared" si="0"/>
        <v>100</v>
      </c>
      <c r="T9" s="3766" t="s">
        <v>13</v>
      </c>
      <c r="U9" s="3769">
        <f t="shared" si="1"/>
        <v>100</v>
      </c>
      <c r="V9" s="3766" t="s">
        <v>13</v>
      </c>
      <c r="W9" s="3769">
        <f t="shared" si="2"/>
        <v>100</v>
      </c>
      <c r="X9" s="482"/>
      <c r="Y9" s="4505"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14"/>
      <c r="Q10" s="389" t="str">
        <f t="shared" si="6"/>
        <v>土地使用年限（年）</v>
      </c>
      <c r="R10" s="3766" t="s">
        <v>13</v>
      </c>
      <c r="S10" s="3769">
        <f t="shared" si="0"/>
        <v>100</v>
      </c>
      <c r="T10" s="3766" t="s">
        <v>13</v>
      </c>
      <c r="U10" s="3769">
        <f t="shared" si="1"/>
        <v>100</v>
      </c>
      <c r="V10" s="3766" t="s">
        <v>13</v>
      </c>
      <c r="W10" s="3769">
        <f t="shared" si="2"/>
        <v>100</v>
      </c>
      <c r="X10" s="482"/>
      <c r="Y10" s="4505"/>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4"/>
      <c r="Q11" s="389">
        <f t="shared" si="6"/>
        <v>111</v>
      </c>
      <c r="R11" s="3766" t="s">
        <v>13</v>
      </c>
      <c r="S11" s="3769">
        <f t="shared" si="0"/>
        <v>100</v>
      </c>
      <c r="T11" s="3766" t="s">
        <v>13</v>
      </c>
      <c r="U11" s="3769">
        <f t="shared" si="1"/>
        <v>100</v>
      </c>
      <c r="V11" s="3766" t="s">
        <v>13</v>
      </c>
      <c r="W11" s="3769">
        <f t="shared" si="2"/>
        <v>100</v>
      </c>
      <c r="X11" s="482"/>
      <c r="Y11" s="4505"/>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4"/>
      <c r="Q12" s="389">
        <f t="shared" si="6"/>
        <v>111</v>
      </c>
      <c r="R12" s="3766" t="s">
        <v>13</v>
      </c>
      <c r="S12" s="3769">
        <f t="shared" si="0"/>
        <v>100</v>
      </c>
      <c r="T12" s="3766" t="s">
        <v>13</v>
      </c>
      <c r="U12" s="3769">
        <f t="shared" si="1"/>
        <v>100</v>
      </c>
      <c r="V12" s="3766" t="s">
        <v>13</v>
      </c>
      <c r="W12" s="3769">
        <f t="shared" si="2"/>
        <v>100</v>
      </c>
      <c r="X12" s="482"/>
      <c r="Y12" s="4505"/>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14"/>
      <c r="Q13" s="389">
        <f t="shared" si="6"/>
        <v>111</v>
      </c>
      <c r="R13" s="3766" t="s">
        <v>13</v>
      </c>
      <c r="S13" s="3769">
        <f t="shared" si="0"/>
        <v>100</v>
      </c>
      <c r="T13" s="3766" t="s">
        <v>13</v>
      </c>
      <c r="U13" s="3769">
        <f t="shared" si="1"/>
        <v>100</v>
      </c>
      <c r="V13" s="3766" t="s">
        <v>13</v>
      </c>
      <c r="W13" s="3769">
        <f t="shared" si="2"/>
        <v>100</v>
      </c>
      <c r="X13" s="482"/>
      <c r="Y13" s="4505"/>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498" t="s">
        <v>1598</v>
      </c>
      <c r="Q14" s="906" t="str">
        <f t="shared" si="6"/>
        <v>交通便捷度</v>
      </c>
      <c r="R14" s="3767" t="s">
        <v>13</v>
      </c>
      <c r="S14" s="3770">
        <f t="shared" si="0"/>
        <v>100</v>
      </c>
      <c r="T14" s="3767" t="s">
        <v>13</v>
      </c>
      <c r="U14" s="3770">
        <f t="shared" si="1"/>
        <v>100</v>
      </c>
      <c r="V14" s="3767" t="s">
        <v>13</v>
      </c>
      <c r="W14" s="3770">
        <f t="shared" si="2"/>
        <v>100</v>
      </c>
      <c r="X14" s="909"/>
      <c r="Y14" s="4498"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499"/>
      <c r="Q15" s="906"/>
      <c r="R15" s="3767"/>
      <c r="S15" s="3770"/>
      <c r="T15" s="3767"/>
      <c r="U15" s="3770"/>
      <c r="V15" s="3767"/>
      <c r="W15" s="3770"/>
      <c r="X15" s="909"/>
      <c r="Y15" s="4499"/>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499"/>
      <c r="Q16" s="906" t="str">
        <f>B16</f>
        <v>公共配套设施</v>
      </c>
      <c r="R16" s="3767" t="s">
        <v>13</v>
      </c>
      <c r="S16" s="3770">
        <f>F16</f>
        <v>100</v>
      </c>
      <c r="T16" s="3767" t="s">
        <v>13</v>
      </c>
      <c r="U16" s="3770">
        <f>H16</f>
        <v>100</v>
      </c>
      <c r="V16" s="3767" t="s">
        <v>13</v>
      </c>
      <c r="W16" s="3770">
        <f>J16</f>
        <v>100</v>
      </c>
      <c r="X16" s="909"/>
      <c r="Y16" s="4499"/>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499"/>
      <c r="Q17" s="906"/>
      <c r="R17" s="3767"/>
      <c r="S17" s="3770"/>
      <c r="T17" s="3767"/>
      <c r="U17" s="3770"/>
      <c r="V17" s="3767"/>
      <c r="W17" s="3770"/>
      <c r="X17" s="909"/>
      <c r="Y17" s="4499"/>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499"/>
      <c r="Q18" s="906" t="str">
        <f>B18</f>
        <v>基础设施水平</v>
      </c>
      <c r="R18" s="3767" t="s">
        <v>13</v>
      </c>
      <c r="S18" s="3770">
        <f>F18</f>
        <v>100</v>
      </c>
      <c r="T18" s="3767" t="s">
        <v>13</v>
      </c>
      <c r="U18" s="3770">
        <f>H18</f>
        <v>100</v>
      </c>
      <c r="V18" s="3767" t="s">
        <v>13</v>
      </c>
      <c r="W18" s="3770">
        <f>J18</f>
        <v>100</v>
      </c>
      <c r="X18" s="909"/>
      <c r="Y18" s="4499"/>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499"/>
      <c r="Q19" s="906"/>
      <c r="R19" s="3767"/>
      <c r="S19" s="3770"/>
      <c r="T19" s="3767"/>
      <c r="U19" s="3770"/>
      <c r="V19" s="3767"/>
      <c r="W19" s="3770"/>
      <c r="X19" s="909"/>
      <c r="Y19" s="4499"/>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499"/>
      <c r="Q20" s="906" t="str">
        <f>B20</f>
        <v>自然及人文环境</v>
      </c>
      <c r="R20" s="3767" t="s">
        <v>13</v>
      </c>
      <c r="S20" s="3770">
        <f>F20</f>
        <v>100</v>
      </c>
      <c r="T20" s="3767" t="s">
        <v>13</v>
      </c>
      <c r="U20" s="3770">
        <f>H20</f>
        <v>100</v>
      </c>
      <c r="V20" s="3767" t="s">
        <v>13</v>
      </c>
      <c r="W20" s="3770">
        <f>J20</f>
        <v>100</v>
      </c>
      <c r="X20" s="909"/>
      <c r="Y20" s="4499"/>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499"/>
      <c r="Q21" s="906"/>
      <c r="R21" s="3767"/>
      <c r="S21" s="3770"/>
      <c r="T21" s="3767"/>
      <c r="U21" s="3770"/>
      <c r="V21" s="3767"/>
      <c r="W21" s="3770"/>
      <c r="X21" s="909"/>
      <c r="Y21" s="4499"/>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499"/>
      <c r="Q22" s="906" t="str">
        <f>B22</f>
        <v>楼层</v>
      </c>
      <c r="R22" s="3767" t="s">
        <v>13</v>
      </c>
      <c r="S22" s="3770">
        <f>F22</f>
        <v>100</v>
      </c>
      <c r="T22" s="3767" t="s">
        <v>13</v>
      </c>
      <c r="U22" s="3770">
        <f>H22</f>
        <v>100</v>
      </c>
      <c r="V22" s="3767" t="s">
        <v>13</v>
      </c>
      <c r="W22" s="3770">
        <f>J22</f>
        <v>100</v>
      </c>
      <c r="X22" s="909"/>
      <c r="Y22" s="4499"/>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499"/>
      <c r="Q23" s="906">
        <f>B23</f>
        <v>111</v>
      </c>
      <c r="R23" s="3767" t="s">
        <v>13</v>
      </c>
      <c r="S23" s="3770">
        <f>F23</f>
        <v>100</v>
      </c>
      <c r="T23" s="3767" t="s">
        <v>13</v>
      </c>
      <c r="U23" s="3770">
        <f>H23</f>
        <v>100</v>
      </c>
      <c r="V23" s="3767" t="s">
        <v>13</v>
      </c>
      <c r="W23" s="3770">
        <f>J23</f>
        <v>100</v>
      </c>
      <c r="X23" s="909"/>
      <c r="Y23" s="4499"/>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499"/>
      <c r="Q24" s="906">
        <f t="shared" ref="Q24:Q34" si="11">B24</f>
        <v>111</v>
      </c>
      <c r="R24" s="3767" t="s">
        <v>13</v>
      </c>
      <c r="S24" s="3770">
        <f>F24</f>
        <v>100</v>
      </c>
      <c r="T24" s="3767" t="s">
        <v>13</v>
      </c>
      <c r="U24" s="3770">
        <f>H24</f>
        <v>100</v>
      </c>
      <c r="V24" s="3767" t="s">
        <v>13</v>
      </c>
      <c r="W24" s="3770">
        <f>J24</f>
        <v>100</v>
      </c>
      <c r="X24" s="909"/>
      <c r="Y24" s="4499"/>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99"/>
      <c r="Q25" s="389">
        <f t="shared" si="11"/>
        <v>111</v>
      </c>
      <c r="R25" s="3766" t="s">
        <v>13</v>
      </c>
      <c r="S25" s="3769">
        <f>F25</f>
        <v>100</v>
      </c>
      <c r="T25" s="3766" t="s">
        <v>13</v>
      </c>
      <c r="U25" s="3769">
        <f>H25</f>
        <v>100</v>
      </c>
      <c r="V25" s="3766" t="s">
        <v>13</v>
      </c>
      <c r="W25" s="3769">
        <f>J25</f>
        <v>100</v>
      </c>
      <c r="X25" s="482"/>
      <c r="Y25" s="4499"/>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18"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0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03"/>
      <c r="Q27" s="483" t="str">
        <f t="shared" si="11"/>
        <v>成新率</v>
      </c>
      <c r="R27" s="3768" t="s">
        <v>13</v>
      </c>
      <c r="S27" s="3771" t="e">
        <f t="shared" si="12"/>
        <v>#N/A</v>
      </c>
      <c r="T27" s="3768" t="s">
        <v>13</v>
      </c>
      <c r="U27" s="3771" t="e">
        <f t="shared" si="13"/>
        <v>#N/A</v>
      </c>
      <c r="V27" s="3768" t="s">
        <v>13</v>
      </c>
      <c r="W27" s="3771" t="e">
        <f t="shared" si="14"/>
        <v>#N/A</v>
      </c>
      <c r="X27" s="484"/>
      <c r="Y27" s="4503"/>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03"/>
      <c r="Q28" s="906" t="str">
        <f t="shared" si="11"/>
        <v>物业等级</v>
      </c>
      <c r="R28" s="3767" t="s">
        <v>13</v>
      </c>
      <c r="S28" s="3770">
        <f t="shared" si="12"/>
        <v>100</v>
      </c>
      <c r="T28" s="3767" t="s">
        <v>13</v>
      </c>
      <c r="U28" s="3770">
        <f t="shared" si="13"/>
        <v>100</v>
      </c>
      <c r="V28" s="3767" t="s">
        <v>13</v>
      </c>
      <c r="W28" s="3770">
        <f t="shared" si="14"/>
        <v>100</v>
      </c>
      <c r="X28" s="909"/>
      <c r="Y28" s="4503"/>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03"/>
      <c r="Q29" s="906" t="str">
        <f t="shared" si="11"/>
        <v>有无电梯</v>
      </c>
      <c r="R29" s="3767" t="s">
        <v>13</v>
      </c>
      <c r="S29" s="3770">
        <f t="shared" si="12"/>
        <v>100</v>
      </c>
      <c r="T29" s="3767" t="s">
        <v>13</v>
      </c>
      <c r="U29" s="3770">
        <f t="shared" si="13"/>
        <v>100</v>
      </c>
      <c r="V29" s="3767" t="s">
        <v>13</v>
      </c>
      <c r="W29" s="3770">
        <f t="shared" si="14"/>
        <v>100</v>
      </c>
      <c r="X29" s="909"/>
      <c r="Y29" s="4503"/>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03"/>
      <c r="Q30" s="906" t="str">
        <f t="shared" si="11"/>
        <v>建筑面积</v>
      </c>
      <c r="R30" s="3767" t="s">
        <v>13</v>
      </c>
      <c r="S30" s="3770" t="e">
        <f t="shared" si="12"/>
        <v>#N/A</v>
      </c>
      <c r="T30" s="3767" t="s">
        <v>13</v>
      </c>
      <c r="U30" s="3770" t="e">
        <f t="shared" si="13"/>
        <v>#N/A</v>
      </c>
      <c r="V30" s="3767" t="s">
        <v>13</v>
      </c>
      <c r="W30" s="3770" t="e">
        <f t="shared" si="14"/>
        <v>#N/A</v>
      </c>
      <c r="X30" s="909"/>
      <c r="Y30" s="4503"/>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03"/>
      <c r="Q31" s="389" t="str">
        <f t="shared" si="11"/>
        <v>是否封闭</v>
      </c>
      <c r="R31" s="3766" t="s">
        <v>13</v>
      </c>
      <c r="S31" s="3769">
        <f t="shared" si="12"/>
        <v>100</v>
      </c>
      <c r="T31" s="3766" t="s">
        <v>13</v>
      </c>
      <c r="U31" s="3769">
        <f t="shared" si="13"/>
        <v>100</v>
      </c>
      <c r="V31" s="3766" t="s">
        <v>13</v>
      </c>
      <c r="W31" s="3769">
        <f t="shared" si="14"/>
        <v>100</v>
      </c>
      <c r="X31" s="482"/>
      <c r="Y31" s="4503"/>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03" t="s">
        <v>1603</v>
      </c>
      <c r="Q32" s="906">
        <f t="shared" si="11"/>
        <v>111</v>
      </c>
      <c r="R32" s="3767" t="s">
        <v>13</v>
      </c>
      <c r="S32" s="3770">
        <f t="shared" si="12"/>
        <v>100</v>
      </c>
      <c r="T32" s="3767" t="s">
        <v>13</v>
      </c>
      <c r="U32" s="3770">
        <f t="shared" si="13"/>
        <v>100</v>
      </c>
      <c r="V32" s="3767" t="s">
        <v>13</v>
      </c>
      <c r="W32" s="3770">
        <f t="shared" si="14"/>
        <v>100</v>
      </c>
      <c r="X32" s="909"/>
      <c r="Y32" s="4503"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03"/>
      <c r="Q33" s="906">
        <f t="shared" si="11"/>
        <v>111</v>
      </c>
      <c r="R33" s="3767" t="s">
        <v>13</v>
      </c>
      <c r="S33" s="3770">
        <f t="shared" si="12"/>
        <v>100</v>
      </c>
      <c r="T33" s="3767" t="s">
        <v>13</v>
      </c>
      <c r="U33" s="3770">
        <f t="shared" si="13"/>
        <v>100</v>
      </c>
      <c r="V33" s="3767" t="s">
        <v>13</v>
      </c>
      <c r="W33" s="3770">
        <f t="shared" si="14"/>
        <v>100</v>
      </c>
      <c r="X33" s="909"/>
      <c r="Y33" s="4503"/>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03"/>
      <c r="Q34" s="906">
        <f t="shared" si="11"/>
        <v>111</v>
      </c>
      <c r="R34" s="3767" t="s">
        <v>13</v>
      </c>
      <c r="S34" s="3770">
        <f t="shared" si="12"/>
        <v>100</v>
      </c>
      <c r="T34" s="3767" t="s">
        <v>13</v>
      </c>
      <c r="U34" s="3770">
        <f t="shared" si="13"/>
        <v>100</v>
      </c>
      <c r="V34" s="3767" t="s">
        <v>13</v>
      </c>
      <c r="W34" s="3770">
        <f t="shared" si="14"/>
        <v>100</v>
      </c>
      <c r="X34" s="909"/>
      <c r="Y34" s="4503"/>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14" t="str">
        <f>A35</f>
        <v>成交单价（元/平方米）</v>
      </c>
      <c r="Q35" s="4614"/>
      <c r="R35" s="4607">
        <f>E35</f>
        <v>0</v>
      </c>
      <c r="S35" s="4607"/>
      <c r="T35" s="4607">
        <f>G35</f>
        <v>0</v>
      </c>
      <c r="U35" s="4607"/>
      <c r="V35" s="4607">
        <f>I35</f>
        <v>0</v>
      </c>
      <c r="W35" s="4607"/>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614" t="str">
        <f>A36</f>
        <v>比较价值（元/平方米）</v>
      </c>
      <c r="Q36" s="4614"/>
      <c r="R36" s="4607" t="e">
        <f>IF(F1="售价",ROUND(PRODUCT(R35,AA7:AA34),0),ROUND(PRODUCT(R35,AA7:AA34),1))</f>
        <v>#DIV/0!</v>
      </c>
      <c r="S36" s="4607"/>
      <c r="T36" s="4607" t="e">
        <f>IF(F1="售价",ROUND(PRODUCT(T35,AB7:AB34),0),ROUND(PRODUCT(T35,AB7:AB34),1))</f>
        <v>#DIV/0!</v>
      </c>
      <c r="U36" s="4607"/>
      <c r="V36" s="4607" t="e">
        <f>IF(F1="售价",ROUND(PRODUCT(V35,AC7:AC34),0),ROUND(PRODUCT(V35,AC7:AC34),1))</f>
        <v>#DIV/0!</v>
      </c>
      <c r="W36" s="4607"/>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15" t="str">
        <f>A37</f>
        <v>估价对象XX用房的比较价值（楼面单价，元/平方米）</v>
      </c>
      <c r="Q37" s="4616"/>
      <c r="R37" s="4617" t="e">
        <f>IF(F1="售价",ROUND(IF(D36="简单平均",AVERAGE(R36:W36),R36*F36+T36*H36+V36*J36),0),ROUND(IF(D36="简单平均",AVERAGE(R36:V36),R36*F36+T36*H36+V36*J36),1))</f>
        <v>#DIV/0!</v>
      </c>
      <c r="S37" s="4617"/>
      <c r="T37" s="4617"/>
      <c r="U37" s="4617"/>
      <c r="V37" s="4617"/>
      <c r="W37" s="461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86" t="s">
        <v>1677</v>
      </c>
      <c r="D6" s="4587"/>
      <c r="E6" s="4588" t="s">
        <v>1678</v>
      </c>
      <c r="F6" s="4589"/>
      <c r="G6" s="4586" t="s">
        <v>1679</v>
      </c>
      <c r="H6" s="4587"/>
      <c r="I6" s="4586" t="s">
        <v>1680</v>
      </c>
      <c r="J6" s="4587"/>
      <c r="K6" s="2863" t="s">
        <v>1681</v>
      </c>
      <c r="L6" s="1974"/>
      <c r="M6" s="1975"/>
      <c r="N6" s="1975"/>
      <c r="O6" s="1975"/>
      <c r="P6" s="4590" t="s">
        <v>1682</v>
      </c>
      <c r="Q6" s="4591"/>
      <c r="R6" s="4594" t="s">
        <v>1678</v>
      </c>
      <c r="S6" s="4595"/>
      <c r="T6" s="4594" t="s">
        <v>1679</v>
      </c>
      <c r="U6" s="4595"/>
      <c r="V6" s="4526" t="s">
        <v>1680</v>
      </c>
      <c r="W6" s="4526"/>
      <c r="X6" s="909"/>
      <c r="Y6" s="4601" t="s">
        <v>1682</v>
      </c>
      <c r="Z6" s="4602"/>
      <c r="AA6" s="4585" t="s">
        <v>1678</v>
      </c>
      <c r="AB6" s="4545" t="s">
        <v>1679</v>
      </c>
      <c r="AC6" s="4585" t="s">
        <v>1680</v>
      </c>
    </row>
    <row r="7" spans="1:29" ht="15">
      <c r="A7" s="238"/>
      <c r="B7" s="239"/>
      <c r="C7" s="4598" t="s">
        <v>1580</v>
      </c>
      <c r="D7" s="4599"/>
      <c r="E7" s="4605" t="s">
        <v>1581</v>
      </c>
      <c r="F7" s="4606"/>
      <c r="G7" s="4598" t="s">
        <v>1582</v>
      </c>
      <c r="H7" s="4599"/>
      <c r="I7" s="4598" t="s">
        <v>1583</v>
      </c>
      <c r="J7" s="4599"/>
      <c r="K7" s="2863"/>
      <c r="L7" s="1974"/>
      <c r="M7" s="1975"/>
      <c r="N7" s="1975"/>
      <c r="O7" s="1975"/>
      <c r="P7" s="4592"/>
      <c r="Q7" s="4516"/>
      <c r="R7" s="4521"/>
      <c r="S7" s="4522"/>
      <c r="T7" s="4521"/>
      <c r="U7" s="4522"/>
      <c r="V7" s="4526"/>
      <c r="W7" s="4526"/>
      <c r="X7" s="909"/>
      <c r="Y7" s="4537"/>
      <c r="Z7" s="4538"/>
      <c r="AA7" s="4545"/>
      <c r="AB7" s="4545"/>
      <c r="AC7" s="4545"/>
    </row>
    <row r="8" spans="1:29" ht="15.75" thickBot="1">
      <c r="A8" s="240"/>
      <c r="B8" s="241"/>
      <c r="C8" s="4596" t="s">
        <v>1584</v>
      </c>
      <c r="D8" s="4597"/>
      <c r="E8" s="4603" t="s">
        <v>1584</v>
      </c>
      <c r="F8" s="4604"/>
      <c r="G8" s="4596" t="s">
        <v>1584</v>
      </c>
      <c r="H8" s="4597"/>
      <c r="I8" s="4596" t="s">
        <v>1584</v>
      </c>
      <c r="J8" s="4597"/>
      <c r="K8" s="2863" t="s">
        <v>1585</v>
      </c>
      <c r="L8" s="1974"/>
      <c r="M8" s="1975"/>
      <c r="N8" s="1975"/>
      <c r="O8" s="1975"/>
      <c r="P8" s="4593"/>
      <c r="Q8" s="4518"/>
      <c r="R8" s="4521"/>
      <c r="S8" s="4522"/>
      <c r="T8" s="4523"/>
      <c r="U8" s="4524"/>
      <c r="V8" s="4526"/>
      <c r="W8" s="4526"/>
      <c r="X8" s="909"/>
      <c r="Y8" s="4539"/>
      <c r="Z8" s="4540"/>
      <c r="AA8" s="4546"/>
      <c r="AB8" s="4546"/>
      <c r="AC8" s="4546"/>
    </row>
    <row r="9" spans="1:29" s="46" customFormat="1" ht="15.75" thickBot="1">
      <c r="A9" s="3089" t="s">
        <v>1586</v>
      </c>
      <c r="B9" s="3090"/>
      <c r="C9" s="2811">
        <f>'数据-取费表'!B2</f>
        <v>46092</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600" t="s">
        <v>1587</v>
      </c>
      <c r="Q9" s="4541"/>
      <c r="R9" s="3759" t="s">
        <v>13</v>
      </c>
      <c r="S9" s="3542">
        <f t="shared" ref="S9:S17" si="0">F9</f>
        <v>0</v>
      </c>
      <c r="T9" s="3759" t="s">
        <v>13</v>
      </c>
      <c r="U9" s="3542">
        <f t="shared" ref="U9:U17" si="1">H9</f>
        <v>0</v>
      </c>
      <c r="V9" s="3759" t="s">
        <v>13</v>
      </c>
      <c r="W9" s="3542">
        <f t="shared" ref="W9:W17" si="2">J9</f>
        <v>0</v>
      </c>
      <c r="X9" s="482"/>
      <c r="Y9" s="4533" t="s">
        <v>1587</v>
      </c>
      <c r="Z9" s="4534"/>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600" t="s">
        <v>1590</v>
      </c>
      <c r="Q10" s="4532"/>
      <c r="R10" s="3759" t="s">
        <v>13</v>
      </c>
      <c r="S10" s="3542">
        <f t="shared" si="0"/>
        <v>100</v>
      </c>
      <c r="T10" s="3759" t="s">
        <v>13</v>
      </c>
      <c r="U10" s="3542">
        <f t="shared" si="1"/>
        <v>100</v>
      </c>
      <c r="V10" s="3759" t="s">
        <v>13</v>
      </c>
      <c r="W10" s="3542">
        <f t="shared" si="2"/>
        <v>100</v>
      </c>
      <c r="X10" s="482"/>
      <c r="Y10" s="4533" t="s">
        <v>1590</v>
      </c>
      <c r="Z10" s="4534"/>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491" t="s">
        <v>1593</v>
      </c>
      <c r="Q11" s="1698" t="str">
        <f t="shared" ref="Q11:Q17" si="6">B11</f>
        <v>用途</v>
      </c>
      <c r="R11" s="3759" t="s">
        <v>13</v>
      </c>
      <c r="S11" s="3542">
        <f t="shared" si="0"/>
        <v>100</v>
      </c>
      <c r="T11" s="3759" t="s">
        <v>13</v>
      </c>
      <c r="U11" s="3542">
        <f t="shared" si="1"/>
        <v>100</v>
      </c>
      <c r="V11" s="3759" t="s">
        <v>13</v>
      </c>
      <c r="W11" s="3542">
        <f t="shared" si="2"/>
        <v>100</v>
      </c>
      <c r="X11" s="482"/>
      <c r="Y11" s="4505"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112.2</v>
      </c>
      <c r="G12" s="2872"/>
      <c r="H12" s="3731">
        <f>ROUND(100/'数据-取费表'!G16,1)</f>
        <v>112.2</v>
      </c>
      <c r="I12" s="2872"/>
      <c r="J12" s="3731">
        <f>ROUND(100/'数据-取费表'!G16,1)</f>
        <v>112.2</v>
      </c>
      <c r="K12" s="3125"/>
      <c r="L12" s="1977"/>
      <c r="M12" s="1978"/>
      <c r="N12" s="1978"/>
      <c r="O12" s="2029"/>
      <c r="P12" s="4491"/>
      <c r="Q12" s="1698" t="str">
        <f t="shared" si="6"/>
        <v>土地使用年限（年）</v>
      </c>
      <c r="R12" s="3759" t="s">
        <v>13</v>
      </c>
      <c r="S12" s="3542">
        <f t="shared" si="0"/>
        <v>112.2</v>
      </c>
      <c r="T12" s="3759" t="s">
        <v>13</v>
      </c>
      <c r="U12" s="3542">
        <f t="shared" si="1"/>
        <v>112.2</v>
      </c>
      <c r="V12" s="3759" t="s">
        <v>13</v>
      </c>
      <c r="W12" s="3542">
        <f t="shared" si="2"/>
        <v>112.2</v>
      </c>
      <c r="X12" s="482"/>
      <c r="Y12" s="4505"/>
      <c r="Z12" s="28" t="str">
        <f t="shared" si="7"/>
        <v>土地使用年限（年）</v>
      </c>
      <c r="AA12" s="28">
        <f t="shared" si="3"/>
        <v>0.89126559714795006</v>
      </c>
      <c r="AB12" s="28">
        <f t="shared" si="4"/>
        <v>0.89126559714795006</v>
      </c>
      <c r="AC12" s="28">
        <f t="shared" si="5"/>
        <v>0.89126559714795006</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491"/>
      <c r="Q13" s="1698" t="str">
        <f t="shared" si="6"/>
        <v>容积率</v>
      </c>
      <c r="R13" s="3759" t="s">
        <v>13</v>
      </c>
      <c r="S13" s="3542">
        <f t="shared" si="0"/>
        <v>100</v>
      </c>
      <c r="T13" s="3759" t="s">
        <v>13</v>
      </c>
      <c r="U13" s="3542">
        <f t="shared" si="1"/>
        <v>100</v>
      </c>
      <c r="V13" s="3759" t="s">
        <v>13</v>
      </c>
      <c r="W13" s="3542">
        <f t="shared" si="2"/>
        <v>100</v>
      </c>
      <c r="X13" s="482"/>
      <c r="Y13" s="4505"/>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491"/>
      <c r="Q14" s="1698" t="str">
        <f t="shared" si="6"/>
        <v>配建</v>
      </c>
      <c r="R14" s="3759" t="s">
        <v>13</v>
      </c>
      <c r="S14" s="3542">
        <f t="shared" si="0"/>
        <v>100</v>
      </c>
      <c r="T14" s="3759" t="s">
        <v>13</v>
      </c>
      <c r="U14" s="3542">
        <f t="shared" si="1"/>
        <v>100</v>
      </c>
      <c r="V14" s="3759" t="s">
        <v>13</v>
      </c>
      <c r="W14" s="3542">
        <f t="shared" si="2"/>
        <v>100</v>
      </c>
      <c r="X14" s="482"/>
      <c r="Y14" s="4505"/>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491"/>
      <c r="Q15" s="1698">
        <f t="shared" si="6"/>
        <v>111</v>
      </c>
      <c r="R15" s="3759" t="s">
        <v>13</v>
      </c>
      <c r="S15" s="3542">
        <f t="shared" si="0"/>
        <v>100</v>
      </c>
      <c r="T15" s="3759" t="s">
        <v>13</v>
      </c>
      <c r="U15" s="3542">
        <f t="shared" si="1"/>
        <v>100</v>
      </c>
      <c r="V15" s="3759" t="s">
        <v>13</v>
      </c>
      <c r="W15" s="3542">
        <f t="shared" si="2"/>
        <v>100</v>
      </c>
      <c r="X15" s="482"/>
      <c r="Y15" s="4505"/>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491"/>
      <c r="Q16" s="1698">
        <f t="shared" si="6"/>
        <v>111</v>
      </c>
      <c r="R16" s="3759" t="s">
        <v>13</v>
      </c>
      <c r="S16" s="3542">
        <f t="shared" si="0"/>
        <v>100</v>
      </c>
      <c r="T16" s="3759" t="s">
        <v>13</v>
      </c>
      <c r="U16" s="3542">
        <f t="shared" si="1"/>
        <v>100</v>
      </c>
      <c r="V16" s="3759" t="s">
        <v>13</v>
      </c>
      <c r="W16" s="3542">
        <f t="shared" si="2"/>
        <v>100</v>
      </c>
      <c r="X16" s="482"/>
      <c r="Y16" s="4505"/>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08" t="s">
        <v>1598</v>
      </c>
      <c r="Q17" s="1507" t="str">
        <f t="shared" si="6"/>
        <v>居住社区成熟度</v>
      </c>
      <c r="R17" s="3760" t="s">
        <v>13</v>
      </c>
      <c r="S17" s="3762">
        <f t="shared" si="0"/>
        <v>100</v>
      </c>
      <c r="T17" s="3760" t="s">
        <v>13</v>
      </c>
      <c r="U17" s="3762">
        <f t="shared" si="1"/>
        <v>100</v>
      </c>
      <c r="V17" s="3760" t="s">
        <v>13</v>
      </c>
      <c r="W17" s="3762">
        <f t="shared" si="2"/>
        <v>100</v>
      </c>
      <c r="X17" s="909"/>
      <c r="Y17" s="4498"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09"/>
      <c r="Q18" s="1507"/>
      <c r="R18" s="3760"/>
      <c r="S18" s="3762"/>
      <c r="T18" s="3760"/>
      <c r="U18" s="3762"/>
      <c r="V18" s="3760"/>
      <c r="W18" s="3762"/>
      <c r="X18" s="909"/>
      <c r="Y18" s="4499"/>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09"/>
      <c r="Q19" s="1507" t="str">
        <f>B19</f>
        <v>商业繁华度</v>
      </c>
      <c r="R19" s="3760" t="s">
        <v>13</v>
      </c>
      <c r="S19" s="3762">
        <f>F19</f>
        <v>100</v>
      </c>
      <c r="T19" s="3760" t="s">
        <v>13</v>
      </c>
      <c r="U19" s="3762">
        <f>H19</f>
        <v>100</v>
      </c>
      <c r="V19" s="3760" t="s">
        <v>13</v>
      </c>
      <c r="W19" s="3762">
        <f>J19</f>
        <v>100</v>
      </c>
      <c r="X19" s="909"/>
      <c r="Y19" s="4499"/>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09"/>
      <c r="Q20" s="1507"/>
      <c r="R20" s="3760"/>
      <c r="S20" s="3762"/>
      <c r="T20" s="3760"/>
      <c r="U20" s="3762"/>
      <c r="V20" s="3760"/>
      <c r="W20" s="3762"/>
      <c r="X20" s="909"/>
      <c r="Y20" s="4499"/>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09"/>
      <c r="Q21" s="1507" t="str">
        <f>B21</f>
        <v>办公集聚程度</v>
      </c>
      <c r="R21" s="3760" t="s">
        <v>13</v>
      </c>
      <c r="S21" s="3762">
        <f>F21</f>
        <v>100</v>
      </c>
      <c r="T21" s="3760" t="s">
        <v>13</v>
      </c>
      <c r="U21" s="3762">
        <f>H21</f>
        <v>100</v>
      </c>
      <c r="V21" s="3760" t="s">
        <v>13</v>
      </c>
      <c r="W21" s="3762">
        <f>J21</f>
        <v>100</v>
      </c>
      <c r="X21" s="909"/>
      <c r="Y21" s="4499"/>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09"/>
      <c r="Q22" s="1507"/>
      <c r="R22" s="3760"/>
      <c r="S22" s="3762"/>
      <c r="T22" s="3760"/>
      <c r="U22" s="3762"/>
      <c r="V22" s="3760"/>
      <c r="W22" s="3762"/>
      <c r="X22" s="909"/>
      <c r="Y22" s="4499"/>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09"/>
      <c r="Q23" s="1507" t="str">
        <f>B23</f>
        <v>交通便捷度</v>
      </c>
      <c r="R23" s="3760" t="s">
        <v>13</v>
      </c>
      <c r="S23" s="3762">
        <f>F23</f>
        <v>100</v>
      </c>
      <c r="T23" s="3760" t="s">
        <v>13</v>
      </c>
      <c r="U23" s="3762">
        <f>H23</f>
        <v>100</v>
      </c>
      <c r="V23" s="3760" t="s">
        <v>13</v>
      </c>
      <c r="W23" s="3762">
        <f>J23</f>
        <v>100</v>
      </c>
      <c r="X23" s="909"/>
      <c r="Y23" s="4499"/>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09"/>
      <c r="Q24" s="1507"/>
      <c r="R24" s="3760"/>
      <c r="S24" s="3762"/>
      <c r="T24" s="3760"/>
      <c r="U24" s="3762"/>
      <c r="V24" s="3760"/>
      <c r="W24" s="3762"/>
      <c r="X24" s="909"/>
      <c r="Y24" s="4499"/>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09"/>
      <c r="Q25" s="1507" t="str">
        <f t="shared" ref="Q25:Q39" si="8">B25</f>
        <v>区域土地利用方向</v>
      </c>
      <c r="R25" s="3760" t="s">
        <v>13</v>
      </c>
      <c r="S25" s="3762">
        <f>F25</f>
        <v>100</v>
      </c>
      <c r="T25" s="3760" t="s">
        <v>13</v>
      </c>
      <c r="U25" s="3762">
        <f>H25</f>
        <v>100</v>
      </c>
      <c r="V25" s="3760" t="s">
        <v>13</v>
      </c>
      <c r="W25" s="3762">
        <f>J25</f>
        <v>100</v>
      </c>
      <c r="X25" s="909"/>
      <c r="Y25" s="4499"/>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09"/>
      <c r="Q26" s="1507"/>
      <c r="R26" s="3760"/>
      <c r="S26" s="3762"/>
      <c r="T26" s="3760"/>
      <c r="U26" s="3762"/>
      <c r="V26" s="3760"/>
      <c r="W26" s="3762"/>
      <c r="X26" s="909"/>
      <c r="Y26" s="4499"/>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09"/>
      <c r="Q27" s="1507" t="str">
        <f t="shared" si="8"/>
        <v>自然及人文环境状况</v>
      </c>
      <c r="R27" s="3760" t="s">
        <v>13</v>
      </c>
      <c r="S27" s="3762">
        <f>F27</f>
        <v>100</v>
      </c>
      <c r="T27" s="3760" t="s">
        <v>13</v>
      </c>
      <c r="U27" s="3762">
        <f>H27</f>
        <v>100</v>
      </c>
      <c r="V27" s="3760" t="s">
        <v>13</v>
      </c>
      <c r="W27" s="3762">
        <f>J27</f>
        <v>100</v>
      </c>
      <c r="X27" s="909"/>
      <c r="Y27" s="4499"/>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09"/>
      <c r="Q28" s="1507"/>
      <c r="R28" s="3760"/>
      <c r="S28" s="3762"/>
      <c r="T28" s="3760"/>
      <c r="U28" s="3762"/>
      <c r="V28" s="3760"/>
      <c r="W28" s="3762"/>
      <c r="X28" s="909"/>
      <c r="Y28" s="4499"/>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09"/>
      <c r="Q29" s="1698" t="str">
        <f t="shared" si="8"/>
        <v>公共配套设施</v>
      </c>
      <c r="R29" s="3759" t="s">
        <v>13</v>
      </c>
      <c r="S29" s="3542">
        <f>F29</f>
        <v>100</v>
      </c>
      <c r="T29" s="3759" t="s">
        <v>13</v>
      </c>
      <c r="U29" s="3542">
        <f>H29</f>
        <v>100</v>
      </c>
      <c r="V29" s="3759" t="s">
        <v>13</v>
      </c>
      <c r="W29" s="3542">
        <f>J29</f>
        <v>100</v>
      </c>
      <c r="X29" s="482"/>
      <c r="Y29" s="4499"/>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09"/>
      <c r="Q30" s="1698"/>
      <c r="R30" s="3759"/>
      <c r="S30" s="3542"/>
      <c r="T30" s="3759"/>
      <c r="U30" s="3542"/>
      <c r="V30" s="3759"/>
      <c r="W30" s="3542"/>
      <c r="X30" s="482"/>
      <c r="Y30" s="4499"/>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09"/>
      <c r="Q31" s="1698" t="str">
        <f t="shared" ref="Q31" si="9">B31</f>
        <v>基础设施水平</v>
      </c>
      <c r="R31" s="3759" t="s">
        <v>13</v>
      </c>
      <c r="S31" s="3542">
        <f>F31</f>
        <v>100</v>
      </c>
      <c r="T31" s="3759" t="s">
        <v>13</v>
      </c>
      <c r="U31" s="3542">
        <f>H31</f>
        <v>100</v>
      </c>
      <c r="V31" s="3759" t="s">
        <v>13</v>
      </c>
      <c r="W31" s="3542">
        <f>J31</f>
        <v>100</v>
      </c>
      <c r="X31" s="482"/>
      <c r="Y31" s="4499"/>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09"/>
      <c r="Q32" s="1698"/>
      <c r="R32" s="3759"/>
      <c r="S32" s="3542"/>
      <c r="T32" s="3759"/>
      <c r="U32" s="3542"/>
      <c r="V32" s="3759"/>
      <c r="W32" s="3542"/>
      <c r="X32" s="482"/>
      <c r="Y32" s="4499"/>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09"/>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499"/>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09"/>
      <c r="Q34" s="1507" t="str">
        <f t="shared" si="8"/>
        <v>毗邻道路的类型与等级</v>
      </c>
      <c r="R34" s="3760" t="s">
        <v>13</v>
      </c>
      <c r="S34" s="3762">
        <f t="shared" si="10"/>
        <v>100</v>
      </c>
      <c r="T34" s="3760" t="s">
        <v>13</v>
      </c>
      <c r="U34" s="3762">
        <f t="shared" si="11"/>
        <v>100</v>
      </c>
      <c r="V34" s="3760" t="s">
        <v>13</v>
      </c>
      <c r="W34" s="3762">
        <f t="shared" si="12"/>
        <v>100</v>
      </c>
      <c r="X34" s="909"/>
      <c r="Y34" s="4499"/>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09"/>
      <c r="Q35" s="1507"/>
      <c r="R35" s="3760"/>
      <c r="S35" s="3762"/>
      <c r="T35" s="3760"/>
      <c r="U35" s="3762"/>
      <c r="V35" s="3760"/>
      <c r="W35" s="3762"/>
      <c r="X35" s="909"/>
      <c r="Y35" s="4499"/>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09"/>
      <c r="Q36" s="1507" t="str">
        <f t="shared" si="8"/>
        <v>土地级别</v>
      </c>
      <c r="R36" s="3760" t="s">
        <v>13</v>
      </c>
      <c r="S36" s="3762">
        <f t="shared" si="10"/>
        <v>100</v>
      </c>
      <c r="T36" s="3760" t="s">
        <v>13</v>
      </c>
      <c r="U36" s="3762">
        <f t="shared" si="11"/>
        <v>100</v>
      </c>
      <c r="V36" s="3760" t="s">
        <v>13</v>
      </c>
      <c r="W36" s="3762">
        <f t="shared" si="12"/>
        <v>100</v>
      </c>
      <c r="X36" s="909"/>
      <c r="Y36" s="4499"/>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09"/>
      <c r="Q37" s="1507">
        <f t="shared" si="8"/>
        <v>111</v>
      </c>
      <c r="R37" s="3760" t="s">
        <v>13</v>
      </c>
      <c r="S37" s="3762">
        <f t="shared" si="10"/>
        <v>100</v>
      </c>
      <c r="T37" s="3760" t="s">
        <v>13</v>
      </c>
      <c r="U37" s="3762">
        <f t="shared" si="11"/>
        <v>100</v>
      </c>
      <c r="V37" s="3760" t="s">
        <v>13</v>
      </c>
      <c r="W37" s="3762">
        <f t="shared" si="12"/>
        <v>100</v>
      </c>
      <c r="X37" s="909"/>
      <c r="Y37" s="4499"/>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10" t="s">
        <v>1603</v>
      </c>
      <c r="Q38" s="1507">
        <f t="shared" si="8"/>
        <v>111</v>
      </c>
      <c r="R38" s="3760" t="s">
        <v>13</v>
      </c>
      <c r="S38" s="3762">
        <f t="shared" si="10"/>
        <v>100</v>
      </c>
      <c r="T38" s="3760" t="s">
        <v>13</v>
      </c>
      <c r="U38" s="3762">
        <f t="shared" si="11"/>
        <v>100</v>
      </c>
      <c r="V38" s="3760" t="s">
        <v>13</v>
      </c>
      <c r="W38" s="3762">
        <f t="shared" si="12"/>
        <v>100</v>
      </c>
      <c r="X38" s="909"/>
      <c r="Y38" s="4503"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11"/>
      <c r="Q39" s="1507">
        <f t="shared" si="8"/>
        <v>111</v>
      </c>
      <c r="R39" s="3761" t="s">
        <v>13</v>
      </c>
      <c r="S39" s="3763">
        <f t="shared" si="10"/>
        <v>100</v>
      </c>
      <c r="T39" s="3761" t="s">
        <v>13</v>
      </c>
      <c r="U39" s="3763">
        <f t="shared" si="11"/>
        <v>100</v>
      </c>
      <c r="V39" s="3761" t="s">
        <v>13</v>
      </c>
      <c r="W39" s="3763">
        <f t="shared" si="12"/>
        <v>100</v>
      </c>
      <c r="X39" s="484"/>
      <c r="Y39" s="4503"/>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11"/>
      <c r="Q40" s="1507" t="str">
        <f>B40</f>
        <v>宗地面积</v>
      </c>
      <c r="R40" s="3760" t="s">
        <v>13</v>
      </c>
      <c r="S40" s="3762" t="e">
        <f t="shared" si="10"/>
        <v>#N/A</v>
      </c>
      <c r="T40" s="3760" t="s">
        <v>13</v>
      </c>
      <c r="U40" s="3762" t="e">
        <f t="shared" si="11"/>
        <v>#N/A</v>
      </c>
      <c r="V40" s="3760" t="s">
        <v>13</v>
      </c>
      <c r="W40" s="3762" t="e">
        <f t="shared" si="12"/>
        <v>#N/A</v>
      </c>
      <c r="X40" s="909"/>
      <c r="Y40" s="4503"/>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11"/>
      <c r="Q41" s="1507" t="str">
        <f t="shared" ref="Q41:Q47" si="14">B41</f>
        <v>宗地形状</v>
      </c>
      <c r="R41" s="3760" t="s">
        <v>13</v>
      </c>
      <c r="S41" s="3762">
        <f t="shared" si="10"/>
        <v>100</v>
      </c>
      <c r="T41" s="3760" t="s">
        <v>13</v>
      </c>
      <c r="U41" s="3762">
        <f t="shared" si="11"/>
        <v>100</v>
      </c>
      <c r="V41" s="3760" t="s">
        <v>13</v>
      </c>
      <c r="W41" s="3762">
        <f t="shared" si="12"/>
        <v>100</v>
      </c>
      <c r="X41" s="909"/>
      <c r="Y41" s="4503"/>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11"/>
      <c r="Q42" s="1507" t="str">
        <f t="shared" si="14"/>
        <v>临街宽度及深度</v>
      </c>
      <c r="R42" s="3760" t="s">
        <v>13</v>
      </c>
      <c r="S42" s="3762">
        <f t="shared" si="10"/>
        <v>100</v>
      </c>
      <c r="T42" s="3760" t="s">
        <v>13</v>
      </c>
      <c r="U42" s="3762">
        <f t="shared" si="11"/>
        <v>100</v>
      </c>
      <c r="V42" s="3760" t="s">
        <v>13</v>
      </c>
      <c r="W42" s="3762">
        <f t="shared" si="12"/>
        <v>100</v>
      </c>
      <c r="X42" s="909"/>
      <c r="Y42" s="4503"/>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11"/>
      <c r="Q43" s="1507" t="str">
        <f t="shared" si="14"/>
        <v>宗地开发程度</v>
      </c>
      <c r="R43" s="3759" t="s">
        <v>13</v>
      </c>
      <c r="S43" s="3542">
        <f t="shared" si="10"/>
        <v>100</v>
      </c>
      <c r="T43" s="3759" t="s">
        <v>13</v>
      </c>
      <c r="U43" s="3542">
        <f t="shared" si="11"/>
        <v>100</v>
      </c>
      <c r="V43" s="3759" t="s">
        <v>13</v>
      </c>
      <c r="W43" s="3542">
        <f t="shared" si="12"/>
        <v>100</v>
      </c>
      <c r="X43" s="482"/>
      <c r="Y43" s="4503"/>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11" t="s">
        <v>1603</v>
      </c>
      <c r="Q44" s="1507" t="str">
        <f t="shared" si="14"/>
        <v>工程地质条件</v>
      </c>
      <c r="R44" s="3760" t="s">
        <v>13</v>
      </c>
      <c r="S44" s="3762">
        <f t="shared" si="10"/>
        <v>100</v>
      </c>
      <c r="T44" s="3760" t="s">
        <v>13</v>
      </c>
      <c r="U44" s="3762">
        <f t="shared" si="11"/>
        <v>100</v>
      </c>
      <c r="V44" s="3760" t="s">
        <v>13</v>
      </c>
      <c r="W44" s="3762">
        <f t="shared" si="12"/>
        <v>100</v>
      </c>
      <c r="X44" s="909"/>
      <c r="Y44" s="4503"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11"/>
      <c r="Q45" s="1507">
        <f t="shared" si="14"/>
        <v>111</v>
      </c>
      <c r="R45" s="3760" t="s">
        <v>13</v>
      </c>
      <c r="S45" s="3762">
        <f t="shared" si="10"/>
        <v>100</v>
      </c>
      <c r="T45" s="3760" t="s">
        <v>13</v>
      </c>
      <c r="U45" s="3762">
        <f t="shared" si="11"/>
        <v>100</v>
      </c>
      <c r="V45" s="3760" t="s">
        <v>13</v>
      </c>
      <c r="W45" s="3762">
        <f t="shared" si="12"/>
        <v>100</v>
      </c>
      <c r="X45" s="909"/>
      <c r="Y45" s="4503"/>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11"/>
      <c r="Q46" s="1507">
        <f t="shared" si="14"/>
        <v>111</v>
      </c>
      <c r="R46" s="3760" t="s">
        <v>13</v>
      </c>
      <c r="S46" s="3762">
        <f t="shared" si="10"/>
        <v>100</v>
      </c>
      <c r="T46" s="3760" t="s">
        <v>13</v>
      </c>
      <c r="U46" s="3762">
        <f t="shared" si="11"/>
        <v>100</v>
      </c>
      <c r="V46" s="3760" t="s">
        <v>13</v>
      </c>
      <c r="W46" s="3762">
        <f t="shared" si="12"/>
        <v>100</v>
      </c>
      <c r="X46" s="909"/>
      <c r="Y46" s="4503"/>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11"/>
      <c r="Q47" s="1507">
        <f t="shared" si="14"/>
        <v>111</v>
      </c>
      <c r="R47" s="3761" t="s">
        <v>13</v>
      </c>
      <c r="S47" s="3763">
        <f t="shared" si="10"/>
        <v>100</v>
      </c>
      <c r="T47" s="3761" t="s">
        <v>13</v>
      </c>
      <c r="U47" s="3763">
        <f t="shared" si="11"/>
        <v>100</v>
      </c>
      <c r="V47" s="3761" t="s">
        <v>13</v>
      </c>
      <c r="W47" s="3763">
        <f t="shared" si="12"/>
        <v>100</v>
      </c>
      <c r="X47" s="484"/>
      <c r="Y47" s="4503"/>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491" t="str">
        <f>A48</f>
        <v>成交单价</v>
      </c>
      <c r="Q48" s="4491"/>
      <c r="R48" s="4492">
        <f>E48</f>
        <v>0</v>
      </c>
      <c r="S48" s="4492"/>
      <c r="T48" s="4492">
        <f>G48</f>
        <v>0</v>
      </c>
      <c r="U48" s="4492"/>
      <c r="V48" s="4492">
        <f>I48</f>
        <v>0</v>
      </c>
      <c r="W48" s="4492"/>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491" t="str">
        <f>A49</f>
        <v>比较价值（元/平方米）</v>
      </c>
      <c r="Q49" s="4491"/>
      <c r="R49" s="4492" t="e">
        <f>ROUND(PRODUCT(R48,AA9:AA47),0)</f>
        <v>#DIV/0!</v>
      </c>
      <c r="S49" s="4492"/>
      <c r="T49" s="4492" t="e">
        <f>ROUND(PRODUCT(T48,AB9:AB47),0)</f>
        <v>#DIV/0!</v>
      </c>
      <c r="U49" s="4492"/>
      <c r="V49" s="4492" t="e">
        <f>ROUND(PRODUCT(V48,AC9:AC47),0)</f>
        <v>#DIV/0!</v>
      </c>
      <c r="W49" s="4492"/>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82" t="str">
        <f>A50</f>
        <v>估价对象XX用房的比较价值（楼面单价，元/平方米）</v>
      </c>
      <c r="Q50" s="4583"/>
      <c r="R50" s="4584" t="e">
        <f>ROUND(IF(D49="简单平均",AVERAGE(R49:W49),R49*F49+T49*H49+V49*J49),0)</f>
        <v>#DIV/0!</v>
      </c>
      <c r="S50" s="4584"/>
      <c r="T50" s="4584"/>
      <c r="U50" s="4584"/>
      <c r="V50" s="4584"/>
      <c r="W50" s="4584"/>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09" t="s">
        <v>1794</v>
      </c>
      <c r="H57" s="4626"/>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54.09</v>
      </c>
      <c r="F58" s="3086" t="e">
        <f t="shared" ref="F58:F66" si="15">ROUND(B58*E58/10000,0)</f>
        <v>#DIV/0!</v>
      </c>
      <c r="G58" s="4627"/>
      <c r="H58" s="4614"/>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54.09</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86" t="s">
        <v>1677</v>
      </c>
      <c r="D6" s="4587"/>
      <c r="E6" s="4588" t="s">
        <v>1678</v>
      </c>
      <c r="F6" s="4589"/>
      <c r="G6" s="4586" t="s">
        <v>1679</v>
      </c>
      <c r="H6" s="4587"/>
      <c r="I6" s="4586" t="s">
        <v>1680</v>
      </c>
      <c r="J6" s="4587"/>
      <c r="K6" s="393" t="s">
        <v>1681</v>
      </c>
      <c r="L6" s="1974"/>
      <c r="M6" s="1975"/>
      <c r="N6" s="1975"/>
      <c r="O6" s="1975"/>
      <c r="P6" s="4590" t="s">
        <v>1682</v>
      </c>
      <c r="Q6" s="4591"/>
      <c r="R6" s="4594" t="s">
        <v>1678</v>
      </c>
      <c r="S6" s="4595"/>
      <c r="T6" s="4594" t="s">
        <v>1679</v>
      </c>
      <c r="U6" s="4595"/>
      <c r="V6" s="4526" t="s">
        <v>1680</v>
      </c>
      <c r="W6" s="4526"/>
      <c r="X6" s="909"/>
      <c r="Y6" s="4601" t="s">
        <v>1682</v>
      </c>
      <c r="Z6" s="4602"/>
      <c r="AA6" s="4585" t="s">
        <v>1678</v>
      </c>
      <c r="AB6" s="4545" t="s">
        <v>1679</v>
      </c>
      <c r="AC6" s="4585" t="s">
        <v>1680</v>
      </c>
    </row>
    <row r="7" spans="1:29" ht="15">
      <c r="A7" s="3097"/>
      <c r="B7" s="3162"/>
      <c r="C7" s="4598" t="s">
        <v>1580</v>
      </c>
      <c r="D7" s="4599"/>
      <c r="E7" s="4605" t="s">
        <v>1581</v>
      </c>
      <c r="F7" s="4606"/>
      <c r="G7" s="4598" t="s">
        <v>1582</v>
      </c>
      <c r="H7" s="4599"/>
      <c r="I7" s="4598" t="s">
        <v>1583</v>
      </c>
      <c r="J7" s="4599"/>
      <c r="K7" s="393"/>
      <c r="L7" s="1974"/>
      <c r="M7" s="1975"/>
      <c r="N7" s="1975"/>
      <c r="O7" s="1975"/>
      <c r="P7" s="4592"/>
      <c r="Q7" s="4516"/>
      <c r="R7" s="4521"/>
      <c r="S7" s="4522"/>
      <c r="T7" s="4521"/>
      <c r="U7" s="4522"/>
      <c r="V7" s="4526"/>
      <c r="W7" s="4526"/>
      <c r="X7" s="909"/>
      <c r="Y7" s="4537"/>
      <c r="Z7" s="4538"/>
      <c r="AA7" s="4545"/>
      <c r="AB7" s="4545"/>
      <c r="AC7" s="4545"/>
    </row>
    <row r="8" spans="1:29" ht="15.75" thickBot="1">
      <c r="A8" s="3163"/>
      <c r="B8" s="3164"/>
      <c r="C8" s="4628" t="s">
        <v>1826</v>
      </c>
      <c r="D8" s="4629"/>
      <c r="E8" s="4630" t="s">
        <v>1826</v>
      </c>
      <c r="F8" s="4631"/>
      <c r="G8" s="4628" t="s">
        <v>1826</v>
      </c>
      <c r="H8" s="4629"/>
      <c r="I8" s="4628" t="s">
        <v>1826</v>
      </c>
      <c r="J8" s="4629"/>
      <c r="K8" s="393" t="s">
        <v>1585</v>
      </c>
      <c r="L8" s="1974"/>
      <c r="M8" s="1975"/>
      <c r="N8" s="1975"/>
      <c r="O8" s="1975"/>
      <c r="P8" s="4593"/>
      <c r="Q8" s="4518"/>
      <c r="R8" s="4521"/>
      <c r="S8" s="4522"/>
      <c r="T8" s="4523"/>
      <c r="U8" s="4524"/>
      <c r="V8" s="4526"/>
      <c r="W8" s="4526"/>
      <c r="X8" s="909"/>
      <c r="Y8" s="4539"/>
      <c r="Z8" s="4540"/>
      <c r="AA8" s="4546"/>
      <c r="AB8" s="4546"/>
      <c r="AC8" s="4546"/>
    </row>
    <row r="9" spans="1:29" s="46" customFormat="1" ht="15.75" thickBot="1">
      <c r="A9" s="3089" t="s">
        <v>1586</v>
      </c>
      <c r="B9" s="3090"/>
      <c r="C9" s="2811">
        <f>'数据-取费表'!B2</f>
        <v>46092</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600" t="s">
        <v>1587</v>
      </c>
      <c r="Q9" s="4541"/>
      <c r="R9" s="3759" t="s">
        <v>13</v>
      </c>
      <c r="S9" s="3542">
        <f t="shared" ref="S9:S17" si="0">F9</f>
        <v>0</v>
      </c>
      <c r="T9" s="3759" t="s">
        <v>13</v>
      </c>
      <c r="U9" s="3542">
        <f t="shared" ref="U9:U17" si="1">H9</f>
        <v>0</v>
      </c>
      <c r="V9" s="3759" t="s">
        <v>13</v>
      </c>
      <c r="W9" s="3542">
        <f t="shared" ref="W9:W17" si="2">J9</f>
        <v>0</v>
      </c>
      <c r="X9" s="482"/>
      <c r="Y9" s="4533" t="s">
        <v>1587</v>
      </c>
      <c r="Z9" s="4534"/>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600" t="s">
        <v>1590</v>
      </c>
      <c r="Q10" s="4532"/>
      <c r="R10" s="3759" t="s">
        <v>13</v>
      </c>
      <c r="S10" s="3542">
        <f t="shared" si="0"/>
        <v>0</v>
      </c>
      <c r="T10" s="3759" t="s">
        <v>13</v>
      </c>
      <c r="U10" s="3542">
        <f t="shared" si="1"/>
        <v>0</v>
      </c>
      <c r="V10" s="3759" t="s">
        <v>13</v>
      </c>
      <c r="W10" s="3542">
        <f t="shared" si="2"/>
        <v>0</v>
      </c>
      <c r="X10" s="482"/>
      <c r="Y10" s="4533" t="s">
        <v>1590</v>
      </c>
      <c r="Z10" s="4534"/>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491" t="s">
        <v>1593</v>
      </c>
      <c r="Q11" s="1698" t="str">
        <f t="shared" ref="Q11:Q17" si="6">B11</f>
        <v>用途</v>
      </c>
      <c r="R11" s="3759" t="s">
        <v>13</v>
      </c>
      <c r="S11" s="3542">
        <f t="shared" si="0"/>
        <v>100</v>
      </c>
      <c r="T11" s="3759" t="s">
        <v>13</v>
      </c>
      <c r="U11" s="3542">
        <f t="shared" si="1"/>
        <v>100</v>
      </c>
      <c r="V11" s="3759" t="s">
        <v>13</v>
      </c>
      <c r="W11" s="3542">
        <f t="shared" si="2"/>
        <v>100</v>
      </c>
      <c r="X11" s="482"/>
      <c r="Y11" s="4505"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112.2</v>
      </c>
      <c r="G12" s="2816"/>
      <c r="H12" s="3731">
        <f>ROUND(100/'数据-取费表'!G16,1)</f>
        <v>112.2</v>
      </c>
      <c r="I12" s="2816"/>
      <c r="J12" s="3731">
        <f>ROUND(100/'数据-取费表'!G16,1)</f>
        <v>112.2</v>
      </c>
      <c r="K12" s="434"/>
      <c r="L12" s="1977"/>
      <c r="M12" s="1978"/>
      <c r="N12" s="1978"/>
      <c r="O12" s="2029"/>
      <c r="P12" s="4491"/>
      <c r="Q12" s="1698" t="str">
        <f t="shared" si="6"/>
        <v>土地使用年限（年）</v>
      </c>
      <c r="R12" s="3759" t="s">
        <v>13</v>
      </c>
      <c r="S12" s="3542">
        <f t="shared" si="0"/>
        <v>112.2</v>
      </c>
      <c r="T12" s="3759" t="s">
        <v>13</v>
      </c>
      <c r="U12" s="3542">
        <f t="shared" si="1"/>
        <v>112.2</v>
      </c>
      <c r="V12" s="3759" t="s">
        <v>13</v>
      </c>
      <c r="W12" s="3542">
        <f t="shared" si="2"/>
        <v>112.2</v>
      </c>
      <c r="X12" s="482"/>
      <c r="Y12" s="4505"/>
      <c r="Z12" s="28" t="str">
        <f t="shared" si="7"/>
        <v>土地使用年限（年）</v>
      </c>
      <c r="AA12" s="28">
        <f t="shared" si="3"/>
        <v>0.89126559714795006</v>
      </c>
      <c r="AB12" s="28">
        <f t="shared" si="4"/>
        <v>0.89126559714795006</v>
      </c>
      <c r="AC12" s="28">
        <f t="shared" si="5"/>
        <v>0.89126559714795006</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491"/>
      <c r="Q13" s="1698" t="str">
        <f t="shared" si="6"/>
        <v>容积率</v>
      </c>
      <c r="R13" s="3759" t="s">
        <v>13</v>
      </c>
      <c r="S13" s="3542" t="e">
        <f t="shared" si="0"/>
        <v>#N/A</v>
      </c>
      <c r="T13" s="3759" t="s">
        <v>13</v>
      </c>
      <c r="U13" s="3542" t="e">
        <f t="shared" si="1"/>
        <v>#N/A</v>
      </c>
      <c r="V13" s="3759" t="s">
        <v>13</v>
      </c>
      <c r="W13" s="3542" t="e">
        <f t="shared" si="2"/>
        <v>#N/A</v>
      </c>
      <c r="X13" s="482"/>
      <c r="Y13" s="4505"/>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491"/>
      <c r="Q14" s="1698">
        <f t="shared" si="6"/>
        <v>111</v>
      </c>
      <c r="R14" s="3759" t="s">
        <v>13</v>
      </c>
      <c r="S14" s="3542">
        <f t="shared" si="0"/>
        <v>100</v>
      </c>
      <c r="T14" s="3759" t="s">
        <v>13</v>
      </c>
      <c r="U14" s="3542">
        <f t="shared" si="1"/>
        <v>100</v>
      </c>
      <c r="V14" s="3759" t="s">
        <v>13</v>
      </c>
      <c r="W14" s="3542">
        <f t="shared" si="2"/>
        <v>100</v>
      </c>
      <c r="X14" s="482"/>
      <c r="Y14" s="4505"/>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491"/>
      <c r="Q15" s="1698">
        <f t="shared" si="6"/>
        <v>111</v>
      </c>
      <c r="R15" s="3759" t="s">
        <v>13</v>
      </c>
      <c r="S15" s="3542">
        <f t="shared" si="0"/>
        <v>100</v>
      </c>
      <c r="T15" s="3759" t="s">
        <v>13</v>
      </c>
      <c r="U15" s="3542">
        <f t="shared" si="1"/>
        <v>100</v>
      </c>
      <c r="V15" s="3759" t="s">
        <v>13</v>
      </c>
      <c r="W15" s="3542">
        <f t="shared" si="2"/>
        <v>100</v>
      </c>
      <c r="X15" s="482"/>
      <c r="Y15" s="4505"/>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491"/>
      <c r="Q16" s="1698">
        <f t="shared" si="6"/>
        <v>111</v>
      </c>
      <c r="R16" s="3759" t="s">
        <v>13</v>
      </c>
      <c r="S16" s="3542">
        <f t="shared" si="0"/>
        <v>100</v>
      </c>
      <c r="T16" s="3759" t="s">
        <v>13</v>
      </c>
      <c r="U16" s="3542">
        <f t="shared" si="1"/>
        <v>100</v>
      </c>
      <c r="V16" s="3759" t="s">
        <v>13</v>
      </c>
      <c r="W16" s="3542">
        <f t="shared" si="2"/>
        <v>100</v>
      </c>
      <c r="X16" s="482"/>
      <c r="Y16" s="4505"/>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08" t="s">
        <v>1598</v>
      </c>
      <c r="Q17" s="1507" t="str">
        <f t="shared" si="6"/>
        <v>产业集聚程度</v>
      </c>
      <c r="R17" s="3760" t="s">
        <v>13</v>
      </c>
      <c r="S17" s="3762">
        <f t="shared" si="0"/>
        <v>100</v>
      </c>
      <c r="T17" s="3760" t="s">
        <v>13</v>
      </c>
      <c r="U17" s="3762">
        <f t="shared" si="1"/>
        <v>100</v>
      </c>
      <c r="V17" s="3760" t="s">
        <v>13</v>
      </c>
      <c r="W17" s="3762">
        <f t="shared" si="2"/>
        <v>100</v>
      </c>
      <c r="X17" s="909"/>
      <c r="Y17" s="4498"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09"/>
      <c r="Q18" s="1507"/>
      <c r="R18" s="3760"/>
      <c r="S18" s="3762"/>
      <c r="T18" s="3760"/>
      <c r="U18" s="3762"/>
      <c r="V18" s="3760"/>
      <c r="W18" s="3762"/>
      <c r="X18" s="909"/>
      <c r="Y18" s="4499"/>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09"/>
      <c r="Q19" s="1507" t="str">
        <f>B19</f>
        <v>交通便捷度</v>
      </c>
      <c r="R19" s="3760" t="s">
        <v>13</v>
      </c>
      <c r="S19" s="3762">
        <f>F19</f>
        <v>100</v>
      </c>
      <c r="T19" s="3760" t="s">
        <v>13</v>
      </c>
      <c r="U19" s="3762">
        <f>H19</f>
        <v>100</v>
      </c>
      <c r="V19" s="3760" t="s">
        <v>13</v>
      </c>
      <c r="W19" s="3762">
        <f>J19</f>
        <v>100</v>
      </c>
      <c r="X19" s="909"/>
      <c r="Y19" s="4499"/>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09"/>
      <c r="Q20" s="1507"/>
      <c r="R20" s="3760"/>
      <c r="S20" s="3762"/>
      <c r="T20" s="3760"/>
      <c r="U20" s="3762"/>
      <c r="V20" s="3760"/>
      <c r="W20" s="3762"/>
      <c r="X20" s="909"/>
      <c r="Y20" s="4499"/>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09"/>
      <c r="Q21" s="1507" t="str">
        <f t="shared" ref="Q21:Q35" si="8">B21</f>
        <v>区域土地利用方向</v>
      </c>
      <c r="R21" s="3760" t="s">
        <v>13</v>
      </c>
      <c r="S21" s="3762">
        <f>F21</f>
        <v>100</v>
      </c>
      <c r="T21" s="3760" t="s">
        <v>13</v>
      </c>
      <c r="U21" s="3762">
        <f>H21</f>
        <v>100</v>
      </c>
      <c r="V21" s="3760" t="s">
        <v>13</v>
      </c>
      <c r="W21" s="3762">
        <f>J21</f>
        <v>100</v>
      </c>
      <c r="X21" s="909"/>
      <c r="Y21" s="4499"/>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09"/>
      <c r="Q22" s="1507"/>
      <c r="R22" s="3760"/>
      <c r="S22" s="3762"/>
      <c r="T22" s="3760"/>
      <c r="U22" s="3762"/>
      <c r="V22" s="3760"/>
      <c r="W22" s="3762"/>
      <c r="X22" s="909"/>
      <c r="Y22" s="4499"/>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09"/>
      <c r="Q23" s="1507" t="str">
        <f t="shared" si="8"/>
        <v>环境状况</v>
      </c>
      <c r="R23" s="3760" t="s">
        <v>13</v>
      </c>
      <c r="S23" s="3762">
        <f>F23</f>
        <v>100</v>
      </c>
      <c r="T23" s="3760" t="s">
        <v>13</v>
      </c>
      <c r="U23" s="3762">
        <f>H23</f>
        <v>100</v>
      </c>
      <c r="V23" s="3760" t="s">
        <v>13</v>
      </c>
      <c r="W23" s="3762">
        <f>J23</f>
        <v>100</v>
      </c>
      <c r="X23" s="909"/>
      <c r="Y23" s="4499"/>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09"/>
      <c r="Q24" s="1507"/>
      <c r="R24" s="3760"/>
      <c r="S24" s="3762"/>
      <c r="T24" s="3760"/>
      <c r="U24" s="3762"/>
      <c r="V24" s="3760"/>
      <c r="W24" s="3762"/>
      <c r="X24" s="909"/>
      <c r="Y24" s="4499"/>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09"/>
      <c r="Q25" s="1698" t="str">
        <f t="shared" si="8"/>
        <v>公共配套设施</v>
      </c>
      <c r="R25" s="3759" t="s">
        <v>13</v>
      </c>
      <c r="S25" s="3542">
        <f>F25</f>
        <v>100</v>
      </c>
      <c r="T25" s="3759" t="s">
        <v>13</v>
      </c>
      <c r="U25" s="3542">
        <f>H25</f>
        <v>100</v>
      </c>
      <c r="V25" s="3759" t="s">
        <v>13</v>
      </c>
      <c r="W25" s="3542">
        <f>J25</f>
        <v>100</v>
      </c>
      <c r="X25" s="482"/>
      <c r="Y25" s="4499"/>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09"/>
      <c r="Q26" s="1698"/>
      <c r="R26" s="3759"/>
      <c r="S26" s="3542"/>
      <c r="T26" s="3759"/>
      <c r="U26" s="3542"/>
      <c r="V26" s="3759"/>
      <c r="W26" s="3542"/>
      <c r="X26" s="482"/>
      <c r="Y26" s="4499"/>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09"/>
      <c r="Q27" s="1698" t="str">
        <f t="shared" ref="Q27" si="9">B27</f>
        <v>基础设施水平</v>
      </c>
      <c r="R27" s="3759" t="s">
        <v>13</v>
      </c>
      <c r="S27" s="3542">
        <f>F27</f>
        <v>100</v>
      </c>
      <c r="T27" s="3759" t="s">
        <v>13</v>
      </c>
      <c r="U27" s="3542">
        <f>H27</f>
        <v>100</v>
      </c>
      <c r="V27" s="3759" t="s">
        <v>13</v>
      </c>
      <c r="W27" s="3542">
        <f>J27</f>
        <v>100</v>
      </c>
      <c r="X27" s="482"/>
      <c r="Y27" s="4499"/>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09"/>
      <c r="Q28" s="1698"/>
      <c r="R28" s="3759"/>
      <c r="S28" s="3542"/>
      <c r="T28" s="3759"/>
      <c r="U28" s="3542"/>
      <c r="V28" s="3759"/>
      <c r="W28" s="3542"/>
      <c r="X28" s="482"/>
      <c r="Y28" s="4499"/>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09"/>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499"/>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09"/>
      <c r="Q30" s="1507" t="str">
        <f t="shared" si="8"/>
        <v>毗邻道路的类型与等级</v>
      </c>
      <c r="R30" s="3760" t="s">
        <v>13</v>
      </c>
      <c r="S30" s="3762">
        <f t="shared" si="10"/>
        <v>100</v>
      </c>
      <c r="T30" s="3760" t="s">
        <v>13</v>
      </c>
      <c r="U30" s="3762">
        <f t="shared" si="11"/>
        <v>100</v>
      </c>
      <c r="V30" s="3760" t="s">
        <v>13</v>
      </c>
      <c r="W30" s="3762">
        <f t="shared" si="12"/>
        <v>100</v>
      </c>
      <c r="X30" s="909"/>
      <c r="Y30" s="4499"/>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09"/>
      <c r="Q31" s="1507"/>
      <c r="R31" s="3760"/>
      <c r="S31" s="3762"/>
      <c r="T31" s="3760"/>
      <c r="U31" s="3762"/>
      <c r="V31" s="3760"/>
      <c r="W31" s="3762"/>
      <c r="X31" s="909"/>
      <c r="Y31" s="4499"/>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09"/>
      <c r="Q32" s="1507" t="str">
        <f t="shared" si="8"/>
        <v>土地级别</v>
      </c>
      <c r="R32" s="3760" t="s">
        <v>13</v>
      </c>
      <c r="S32" s="3762">
        <f t="shared" si="10"/>
        <v>100</v>
      </c>
      <c r="T32" s="3760" t="s">
        <v>13</v>
      </c>
      <c r="U32" s="3762">
        <f t="shared" si="11"/>
        <v>100</v>
      </c>
      <c r="V32" s="3760" t="s">
        <v>13</v>
      </c>
      <c r="W32" s="3762">
        <f t="shared" si="12"/>
        <v>100</v>
      </c>
      <c r="X32" s="909"/>
      <c r="Y32" s="4499"/>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09"/>
      <c r="Q33" s="1507">
        <f t="shared" si="8"/>
        <v>111</v>
      </c>
      <c r="R33" s="3760" t="s">
        <v>13</v>
      </c>
      <c r="S33" s="3762">
        <f t="shared" si="10"/>
        <v>100</v>
      </c>
      <c r="T33" s="3760" t="s">
        <v>13</v>
      </c>
      <c r="U33" s="3762">
        <f t="shared" si="11"/>
        <v>100</v>
      </c>
      <c r="V33" s="3760" t="s">
        <v>13</v>
      </c>
      <c r="W33" s="3762">
        <f t="shared" si="12"/>
        <v>100</v>
      </c>
      <c r="X33" s="909"/>
      <c r="Y33" s="4499"/>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10" t="s">
        <v>1603</v>
      </c>
      <c r="Q34" s="1507">
        <f t="shared" si="8"/>
        <v>111</v>
      </c>
      <c r="R34" s="3760" t="s">
        <v>13</v>
      </c>
      <c r="S34" s="3762">
        <f t="shared" si="10"/>
        <v>100</v>
      </c>
      <c r="T34" s="3760" t="s">
        <v>13</v>
      </c>
      <c r="U34" s="3762">
        <f t="shared" si="11"/>
        <v>100</v>
      </c>
      <c r="V34" s="3760" t="s">
        <v>13</v>
      </c>
      <c r="W34" s="3762">
        <f t="shared" si="12"/>
        <v>100</v>
      </c>
      <c r="X34" s="909"/>
      <c r="Y34" s="4503"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11"/>
      <c r="Q35" s="1507">
        <f t="shared" si="8"/>
        <v>111</v>
      </c>
      <c r="R35" s="3761" t="s">
        <v>13</v>
      </c>
      <c r="S35" s="3763">
        <f t="shared" si="10"/>
        <v>100</v>
      </c>
      <c r="T35" s="3761" t="s">
        <v>13</v>
      </c>
      <c r="U35" s="3763">
        <f t="shared" si="11"/>
        <v>100</v>
      </c>
      <c r="V35" s="3761" t="s">
        <v>13</v>
      </c>
      <c r="W35" s="3763">
        <f t="shared" si="12"/>
        <v>100</v>
      </c>
      <c r="X35" s="484"/>
      <c r="Y35" s="4503"/>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11"/>
      <c r="Q36" s="1507" t="str">
        <f>B36</f>
        <v>宗地面积</v>
      </c>
      <c r="R36" s="3760" t="s">
        <v>13</v>
      </c>
      <c r="S36" s="3762" t="e">
        <f t="shared" si="10"/>
        <v>#N/A</v>
      </c>
      <c r="T36" s="3760" t="s">
        <v>13</v>
      </c>
      <c r="U36" s="3762" t="e">
        <f t="shared" si="11"/>
        <v>#N/A</v>
      </c>
      <c r="V36" s="3760" t="s">
        <v>13</v>
      </c>
      <c r="W36" s="3762" t="e">
        <f t="shared" si="12"/>
        <v>#N/A</v>
      </c>
      <c r="X36" s="909"/>
      <c r="Y36" s="4503"/>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11"/>
      <c r="Q37" s="1507" t="str">
        <f t="shared" ref="Q37:Q42" si="14">B37</f>
        <v>宗地形状</v>
      </c>
      <c r="R37" s="3760" t="s">
        <v>13</v>
      </c>
      <c r="S37" s="3762">
        <f t="shared" si="10"/>
        <v>100</v>
      </c>
      <c r="T37" s="3760" t="s">
        <v>13</v>
      </c>
      <c r="U37" s="3762">
        <f t="shared" si="11"/>
        <v>100</v>
      </c>
      <c r="V37" s="3760" t="s">
        <v>13</v>
      </c>
      <c r="W37" s="3762">
        <f t="shared" si="12"/>
        <v>100</v>
      </c>
      <c r="X37" s="909"/>
      <c r="Y37" s="4503"/>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11"/>
      <c r="Q38" s="1507" t="str">
        <f t="shared" si="14"/>
        <v>宗地开发程度</v>
      </c>
      <c r="R38" s="3759" t="s">
        <v>13</v>
      </c>
      <c r="S38" s="3542">
        <f t="shared" si="10"/>
        <v>100</v>
      </c>
      <c r="T38" s="3759" t="s">
        <v>13</v>
      </c>
      <c r="U38" s="3542">
        <f t="shared" si="11"/>
        <v>100</v>
      </c>
      <c r="V38" s="3759" t="s">
        <v>13</v>
      </c>
      <c r="W38" s="3542">
        <f t="shared" si="12"/>
        <v>100</v>
      </c>
      <c r="X38" s="482"/>
      <c r="Y38" s="4503"/>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11" t="s">
        <v>1603</v>
      </c>
      <c r="Q39" s="1507" t="str">
        <f t="shared" si="14"/>
        <v>工程地质条件</v>
      </c>
      <c r="R39" s="3760" t="s">
        <v>13</v>
      </c>
      <c r="S39" s="3762">
        <f t="shared" si="10"/>
        <v>100</v>
      </c>
      <c r="T39" s="3760" t="s">
        <v>13</v>
      </c>
      <c r="U39" s="3762">
        <f t="shared" si="11"/>
        <v>100</v>
      </c>
      <c r="V39" s="3760" t="s">
        <v>13</v>
      </c>
      <c r="W39" s="3762">
        <f t="shared" si="12"/>
        <v>100</v>
      </c>
      <c r="X39" s="909"/>
      <c r="Y39" s="4503"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11"/>
      <c r="Q40" s="1507">
        <f t="shared" si="14"/>
        <v>111</v>
      </c>
      <c r="R40" s="3760" t="s">
        <v>13</v>
      </c>
      <c r="S40" s="3762">
        <f t="shared" si="10"/>
        <v>100</v>
      </c>
      <c r="T40" s="3760" t="s">
        <v>13</v>
      </c>
      <c r="U40" s="3762">
        <f t="shared" si="11"/>
        <v>100</v>
      </c>
      <c r="V40" s="3760" t="s">
        <v>13</v>
      </c>
      <c r="W40" s="3762">
        <f t="shared" si="12"/>
        <v>100</v>
      </c>
      <c r="X40" s="909"/>
      <c r="Y40" s="4503"/>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11"/>
      <c r="Q41" s="1507">
        <f t="shared" si="14"/>
        <v>111</v>
      </c>
      <c r="R41" s="3760" t="s">
        <v>13</v>
      </c>
      <c r="S41" s="3762">
        <f t="shared" si="10"/>
        <v>100</v>
      </c>
      <c r="T41" s="3760" t="s">
        <v>13</v>
      </c>
      <c r="U41" s="3762">
        <f t="shared" si="11"/>
        <v>100</v>
      </c>
      <c r="V41" s="3760" t="s">
        <v>13</v>
      </c>
      <c r="W41" s="3762">
        <f t="shared" si="12"/>
        <v>100</v>
      </c>
      <c r="X41" s="909"/>
      <c r="Y41" s="4503"/>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11"/>
      <c r="Q42" s="1507">
        <f t="shared" si="14"/>
        <v>111</v>
      </c>
      <c r="R42" s="3761" t="s">
        <v>13</v>
      </c>
      <c r="S42" s="3763">
        <f t="shared" si="10"/>
        <v>100</v>
      </c>
      <c r="T42" s="3761" t="s">
        <v>13</v>
      </c>
      <c r="U42" s="3763">
        <f t="shared" si="11"/>
        <v>100</v>
      </c>
      <c r="V42" s="3761" t="s">
        <v>13</v>
      </c>
      <c r="W42" s="3763">
        <f t="shared" si="12"/>
        <v>100</v>
      </c>
      <c r="X42" s="484"/>
      <c r="Y42" s="4503"/>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491" t="str">
        <f>A43</f>
        <v>成交单价</v>
      </c>
      <c r="Q43" s="4491"/>
      <c r="R43" s="4492">
        <f>E43</f>
        <v>0</v>
      </c>
      <c r="S43" s="4492"/>
      <c r="T43" s="4492">
        <f>G43</f>
        <v>0</v>
      </c>
      <c r="U43" s="4492"/>
      <c r="V43" s="4492">
        <f>I43</f>
        <v>0</v>
      </c>
      <c r="W43" s="4492"/>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491" t="str">
        <f>A44</f>
        <v>比较价值（元/平方米）</v>
      </c>
      <c r="Q44" s="4491"/>
      <c r="R44" s="4492" t="e">
        <f>ROUND(PRODUCT(R43,AA9:AA42),0)</f>
        <v>#DIV/0!</v>
      </c>
      <c r="S44" s="4492"/>
      <c r="T44" s="4492" t="e">
        <f>ROUND(PRODUCT(T43,AB9:AB42),0)</f>
        <v>#DIV/0!</v>
      </c>
      <c r="U44" s="4492"/>
      <c r="V44" s="4492" t="e">
        <f>ROUND(PRODUCT(V43,AC9:AC42),0)</f>
        <v>#DIV/0!</v>
      </c>
      <c r="W44" s="4492"/>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82" t="str">
        <f>A45</f>
        <v>估价对象XX用房的比较价值（楼面单价，元/平方米）</v>
      </c>
      <c r="Q45" s="4583"/>
      <c r="R45" s="4584" t="e">
        <f>ROUND(IF(D44="简单平均",AVERAGE(R44:W44),R44*F44+T44*H44+V44*J44),0)</f>
        <v>#DIV/0!</v>
      </c>
      <c r="S45" s="4584"/>
      <c r="T45" s="4584"/>
      <c r="U45" s="4584"/>
      <c r="V45" s="4584"/>
      <c r="W45" s="458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09" t="s">
        <v>1794</v>
      </c>
      <c r="H52" s="4626"/>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54.09</v>
      </c>
      <c r="F53" s="3067" t="e">
        <f t="shared" ref="F53:F62" si="15">ROUND(B53*E53/10000,0)</f>
        <v>#DIV/0!</v>
      </c>
      <c r="G53" s="4627"/>
      <c r="H53" s="4614"/>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5"/>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32" t="s">
        <v>3367</v>
      </c>
      <c r="D6" s="4632"/>
      <c r="E6" s="4632"/>
      <c r="F6" s="4632"/>
      <c r="G6" s="4632"/>
      <c r="H6" s="4632"/>
      <c r="I6" s="4632"/>
      <c r="J6" s="4632"/>
      <c r="K6" s="4633"/>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6" t="s">
        <v>3380</v>
      </c>
      <c r="B11" s="4637"/>
      <c r="C11" s="4637"/>
      <c r="D11" s="4637"/>
      <c r="E11" s="4637"/>
      <c r="F11" s="4637"/>
      <c r="G11" s="4637"/>
      <c r="H11" s="4637"/>
      <c r="I11" s="4637"/>
      <c r="J11" s="4637"/>
      <c r="K11" s="4638"/>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0</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0.08</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0</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150</v>
      </c>
      <c r="F21" s="2698"/>
      <c r="G21" s="186"/>
      <c r="H21" s="186"/>
      <c r="I21" s="186"/>
      <c r="J21" s="186"/>
      <c r="K21" s="1868"/>
    </row>
    <row r="22" spans="1:33" s="523" customFormat="1" ht="13.5" customHeight="1">
      <c r="A22" s="2696" t="s">
        <v>3377</v>
      </c>
      <c r="B22" s="2697" t="s">
        <v>3388</v>
      </c>
      <c r="C22" s="2703">
        <f ca="1">ROUND(D22*E22/10000,0)</f>
        <v>1</v>
      </c>
      <c r="D22" s="2705">
        <f ca="1">IF(C1="",'数据-汇总表'!E6,IF(INDIRECT("'数据-取费表'!c"&amp;$K$1)="住宅",INDIRECT("'数据-取费表'!s"&amp;$K$1),INDIRECT("'数据-取费表'!k"&amp;$K$1)+INDIRECT("'数据-取费表'!s"&amp;$K$1)))</f>
        <v>54.09</v>
      </c>
      <c r="E22" s="2703">
        <f>'数据-取费表'!B28</f>
        <v>190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54.09</v>
      </c>
      <c r="E23" s="2702">
        <f>'数据-取费表'!B35</f>
        <v>300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54.09</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1.4999999999999999E-2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34" t="s">
        <v>3379</v>
      </c>
      <c r="H32" s="4634"/>
      <c r="I32" s="4634"/>
      <c r="J32" s="4634"/>
      <c r="K32" s="4635"/>
    </row>
    <row r="33" spans="1:11" s="176" customFormat="1" ht="13.5" customHeight="1">
      <c r="A33" s="2493">
        <v>8</v>
      </c>
      <c r="B33" s="2659" t="s">
        <v>1554</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0</v>
      </c>
      <c r="D35" s="174"/>
      <c r="E35" s="525"/>
      <c r="F35" s="2673"/>
      <c r="G35" s="55"/>
      <c r="H35" s="55"/>
      <c r="I35" s="55"/>
      <c r="J35" s="55"/>
      <c r="K35" s="2680"/>
    </row>
    <row r="36" spans="1:11" s="521" customFormat="1" ht="15">
      <c r="A36" s="2493">
        <v>9</v>
      </c>
      <c r="B36" s="2677" t="s">
        <v>3378</v>
      </c>
      <c r="C36" s="2662">
        <f ca="1">ROUND((C13-C15-C27-C28-C31-C35-C32)/(1+F14+C30+C34),0)</f>
        <v>0</v>
      </c>
      <c r="D36" s="2678"/>
      <c r="E36" s="2678"/>
      <c r="F36" s="172"/>
      <c r="G36" s="2711" t="s">
        <v>3390</v>
      </c>
      <c r="H36" s="2678"/>
      <c r="I36" s="2678"/>
      <c r="J36" s="2678"/>
      <c r="K36" s="2679"/>
    </row>
    <row r="37" spans="1:11" s="2788" customFormat="1" ht="15.75" thickBot="1">
      <c r="A37" s="2691">
        <v>10</v>
      </c>
      <c r="B37" s="2692" t="s">
        <v>3465</v>
      </c>
      <c r="C37" s="2785">
        <f ca="1">ROUND(C36*(1+F37),0)</f>
        <v>0</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0</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0</v>
      </c>
      <c r="D53" s="626"/>
      <c r="E53" s="626"/>
      <c r="F53" s="626"/>
      <c r="G53" s="626"/>
    </row>
    <row r="54" spans="1:7" s="3209" customFormat="1">
      <c r="A54" s="3404" t="s">
        <v>3376</v>
      </c>
      <c r="B54" s="3405" t="s">
        <v>3493</v>
      </c>
      <c r="C54" s="3406">
        <f ca="1">C20</f>
        <v>0</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0+0V</v>
      </c>
      <c r="D64" s="626"/>
      <c r="E64" s="626"/>
      <c r="F64" s="626"/>
      <c r="G64" s="626"/>
    </row>
    <row r="65" spans="1:7" s="3209" customFormat="1">
      <c r="A65" s="626">
        <v>5</v>
      </c>
      <c r="B65" s="2695" t="s">
        <v>3483</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0</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0</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43" t="s">
        <v>1867</v>
      </c>
      <c r="X8" s="464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45"/>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45"/>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6" t="s">
        <v>3134</v>
      </c>
      <c r="B20" s="66" t="s">
        <v>1901</v>
      </c>
      <c r="C20" s="4144" t="e">
        <f>ROUND(IF(F21="与级别开发程度一致",0,(G21-E21)/C21),0)</f>
        <v>#DIV/0!</v>
      </c>
      <c r="D20" s="2426" t="s">
        <v>1905</v>
      </c>
      <c r="E20" s="2427"/>
      <c r="F20" s="4652" t="s">
        <v>1902</v>
      </c>
      <c r="G20" s="4653"/>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47"/>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46092</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0</v>
      </c>
      <c r="E26" s="4160">
        <f>ROUNDDOWN(G3,1)</f>
        <v>0</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0</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0"/>
      <c r="B37" s="4182" t="s">
        <v>1943</v>
      </c>
      <c r="C37" s="4152" t="e">
        <f>ROUND(D5*C22*C23*C24*C28*F37,0)</f>
        <v>#DIV/0!</v>
      </c>
      <c r="D37" s="4154"/>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1"/>
      <c r="B38" s="3539" t="s">
        <v>1944</v>
      </c>
      <c r="C38" s="4152" t="e">
        <f>ROUND(D5*C22*C23*C24*C28*F38,0)</f>
        <v>#DIV/0!</v>
      </c>
      <c r="D38" s="4154"/>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1"/>
      <c r="B39" s="3539" t="s">
        <v>3137</v>
      </c>
      <c r="C39" s="4152" t="e">
        <f>ROUND(D5*C22*C23*C24*C28*F39,0)</f>
        <v>#DIV/0!</v>
      </c>
      <c r="D39" s="4154"/>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4"/>
      <c r="E40" s="3088" t="e">
        <f t="shared" si="4"/>
        <v>#DIV/0!</v>
      </c>
      <c r="F40" s="4157">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4"/>
      <c r="E41" s="3088" t="e">
        <f t="shared" si="4"/>
        <v>#DIV/0!</v>
      </c>
      <c r="F41" s="4157">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4">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4">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4">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14.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3148</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4">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4">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15"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14.25">
      <c r="A94" s="2453" t="s">
        <v>3151</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3147</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3152</v>
      </c>
      <c r="B96" s="2456" t="s">
        <v>3163</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3153</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3154</v>
      </c>
      <c r="B98" s="2457" t="s">
        <v>3164</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4">
      <c r="A99" s="2453" t="s">
        <v>3155</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4">
      <c r="A100" s="2453" t="s">
        <v>3156</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4.75" thickBot="1">
      <c r="A101" s="2454" t="s">
        <v>3157</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48" t="s">
        <v>3172</v>
      </c>
      <c r="B103" s="4648"/>
      <c r="C103" s="4648"/>
      <c r="D103" s="4648"/>
      <c r="E103" s="4648"/>
      <c r="F103" s="4648"/>
      <c r="G103" s="4648"/>
      <c r="H103" s="4648"/>
      <c r="I103" s="4648"/>
      <c r="J103" s="4648"/>
      <c r="K103" s="1293"/>
      <c r="L103" s="1293"/>
      <c r="M103" s="1293"/>
      <c r="N103" s="1293"/>
    </row>
    <row r="104" spans="1:14">
      <c r="A104" s="4649" t="s">
        <v>3173</v>
      </c>
      <c r="B104" s="4649" t="s">
        <v>3174</v>
      </c>
      <c r="C104" s="4215" t="s">
        <v>3175</v>
      </c>
      <c r="D104" s="1534"/>
      <c r="E104" s="1534"/>
      <c r="F104" s="1534"/>
      <c r="G104" s="1534"/>
      <c r="H104" s="1534"/>
      <c r="I104" s="1534"/>
      <c r="J104" s="1534"/>
      <c r="K104" s="1534"/>
      <c r="L104" s="1534"/>
      <c r="M104" s="1534"/>
      <c r="N104" s="4216"/>
    </row>
    <row r="105" spans="1:14">
      <c r="A105" s="4649"/>
      <c r="B105" s="4649"/>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39"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40"/>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40"/>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40"/>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40"/>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40"/>
      <c r="B111" s="2460" t="s">
        <v>3146</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41"/>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42" t="s">
        <v>3189</v>
      </c>
      <c r="B113" s="4642"/>
      <c r="C113" s="4642"/>
      <c r="D113" s="4642"/>
      <c r="E113" s="4642"/>
      <c r="F113" s="4642"/>
      <c r="G113" s="4642"/>
      <c r="H113" s="4642"/>
      <c r="I113" s="4642"/>
      <c r="J113" s="4642"/>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0</v>
      </c>
      <c r="C116" s="4210" t="s">
        <v>3191</v>
      </c>
      <c r="D116" s="4214">
        <f>SUMPRODUCT((A118:A122=F116)*(B117:M117=H116)*B118:M122)</f>
        <v>0</v>
      </c>
      <c r="E116" s="4210" t="s">
        <v>3192</v>
      </c>
      <c r="F116" s="4211">
        <f>E2</f>
        <v>0</v>
      </c>
      <c r="G116" s="4210" t="s">
        <v>3193</v>
      </c>
      <c r="H116" s="4211">
        <f>G2</f>
        <v>0</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0.99680000000000002</v>
      </c>
      <c r="C118" s="4202">
        <f>B118</f>
        <v>0.99680000000000002</v>
      </c>
      <c r="D118" s="4202">
        <f>ROUND(0.949-0.014*B116,4)</f>
        <v>0.94899999999999995</v>
      </c>
      <c r="E118" s="4202">
        <f>D118</f>
        <v>0.94899999999999995</v>
      </c>
      <c r="F118" s="4202">
        <f>E118</f>
        <v>0.94899999999999995</v>
      </c>
      <c r="G118" s="4202">
        <f>F118</f>
        <v>0.94899999999999995</v>
      </c>
      <c r="H118" s="4202">
        <f>G118</f>
        <v>0.94899999999999995</v>
      </c>
      <c r="I118" s="4202">
        <f>ROUND(0.8486-0.018*B116,4)</f>
        <v>0.84860000000000002</v>
      </c>
      <c r="J118" s="4202">
        <f t="shared" ref="J118:M122" si="35">I118</f>
        <v>0.84860000000000002</v>
      </c>
      <c r="K118" s="4202">
        <f t="shared" si="35"/>
        <v>0.84860000000000002</v>
      </c>
      <c r="L118" s="4202">
        <f t="shared" si="35"/>
        <v>0.84860000000000002</v>
      </c>
      <c r="M118" s="4203">
        <f t="shared" si="35"/>
        <v>0.84860000000000002</v>
      </c>
      <c r="N118" s="2462"/>
    </row>
    <row r="119" spans="1:14">
      <c r="A119" s="2436" t="s">
        <v>3207</v>
      </c>
      <c r="B119" s="4202">
        <f>ROUND(0.993-0.0112*B116,4)</f>
        <v>0.99299999999999999</v>
      </c>
      <c r="C119" s="4202">
        <f>B119</f>
        <v>0.99299999999999999</v>
      </c>
      <c r="D119" s="4202">
        <f>ROUND(0.9415-0.0142*B116,4)</f>
        <v>0.9415</v>
      </c>
      <c r="E119" s="4202">
        <f t="shared" ref="E119:H120" si="36">D119</f>
        <v>0.9415</v>
      </c>
      <c r="F119" s="4202">
        <f t="shared" si="36"/>
        <v>0.9415</v>
      </c>
      <c r="G119" s="4202">
        <f t="shared" si="36"/>
        <v>0.9415</v>
      </c>
      <c r="H119" s="4202">
        <f t="shared" si="36"/>
        <v>0.9415</v>
      </c>
      <c r="I119" s="4202">
        <f>ROUND(0.838-0.0182*B116,4)</f>
        <v>0.83799999999999997</v>
      </c>
      <c r="J119" s="4202">
        <f t="shared" si="35"/>
        <v>0.83799999999999997</v>
      </c>
      <c r="K119" s="4202">
        <f t="shared" si="35"/>
        <v>0.83799999999999997</v>
      </c>
      <c r="L119" s="4202">
        <f t="shared" si="35"/>
        <v>0.83799999999999997</v>
      </c>
      <c r="M119" s="4203">
        <f t="shared" si="35"/>
        <v>0.83799999999999997</v>
      </c>
      <c r="N119" s="2462"/>
    </row>
    <row r="120" spans="1:14">
      <c r="A120" s="2436" t="s">
        <v>3208</v>
      </c>
      <c r="B120" s="4202">
        <f>ROUND(0.9448-0.0115*B116,4)</f>
        <v>0.94479999999999997</v>
      </c>
      <c r="C120" s="4202">
        <f>B120</f>
        <v>0.94479999999999997</v>
      </c>
      <c r="D120" s="4202">
        <f>ROUND(0.937-0.0145*B116,4)</f>
        <v>0.93700000000000006</v>
      </c>
      <c r="E120" s="4202">
        <f t="shared" si="36"/>
        <v>0.93700000000000006</v>
      </c>
      <c r="F120" s="4202">
        <f t="shared" si="36"/>
        <v>0.93700000000000006</v>
      </c>
      <c r="G120" s="4202">
        <f t="shared" si="36"/>
        <v>0.93700000000000006</v>
      </c>
      <c r="H120" s="4202">
        <f t="shared" si="36"/>
        <v>0.93700000000000006</v>
      </c>
      <c r="I120" s="4202">
        <f>ROUND(0.7965-0.0185*B116,4)</f>
        <v>0.79649999999999999</v>
      </c>
      <c r="J120" s="4202">
        <f t="shared" si="35"/>
        <v>0.79649999999999999</v>
      </c>
      <c r="K120" s="4202">
        <f t="shared" si="35"/>
        <v>0.79649999999999999</v>
      </c>
      <c r="L120" s="4202">
        <f t="shared" si="35"/>
        <v>0.79649999999999999</v>
      </c>
      <c r="M120" s="4203">
        <f t="shared" si="35"/>
        <v>0.79649999999999999</v>
      </c>
      <c r="N120" s="2462"/>
    </row>
    <row r="121" spans="1:14">
      <c r="A121" s="2436" t="s">
        <v>3209</v>
      </c>
      <c r="B121" s="4202">
        <f>ROUND(0.7836-0.012*B116,4)</f>
        <v>0.78359999999999996</v>
      </c>
      <c r="C121" s="4202">
        <f>B121</f>
        <v>0.78359999999999996</v>
      </c>
      <c r="D121" s="4202">
        <f>ROUND(0.753-0.015*B116,4)</f>
        <v>0.753</v>
      </c>
      <c r="E121" s="4202">
        <f>D121</f>
        <v>0.753</v>
      </c>
      <c r="F121" s="4202">
        <f>E121</f>
        <v>0.753</v>
      </c>
      <c r="G121" s="4202">
        <f>ROUND(0.6612-0.018*B116,4)</f>
        <v>0.66120000000000001</v>
      </c>
      <c r="H121" s="4202">
        <f>G121</f>
        <v>0.66120000000000001</v>
      </c>
      <c r="I121" s="4202">
        <f>ROUND(0.5905-0.019*B116,4)</f>
        <v>0.59050000000000002</v>
      </c>
      <c r="J121" s="4202">
        <f t="shared" si="35"/>
        <v>0.59050000000000002</v>
      </c>
      <c r="K121" s="4202">
        <f t="shared" si="35"/>
        <v>0.59050000000000002</v>
      </c>
      <c r="L121" s="4202">
        <f t="shared" si="35"/>
        <v>0.59050000000000002</v>
      </c>
      <c r="M121" s="4203">
        <f t="shared" si="35"/>
        <v>0.59050000000000002</v>
      </c>
      <c r="N121" s="2462"/>
    </row>
    <row r="122" spans="1:14" ht="13.5" thickBot="1">
      <c r="A122" s="4208" t="s">
        <v>2492</v>
      </c>
      <c r="B122" s="4204">
        <f>ROUND(0.9404-0.0106*B116,4)</f>
        <v>0.94040000000000001</v>
      </c>
      <c r="C122" s="4204">
        <f>B122</f>
        <v>0.94040000000000001</v>
      </c>
      <c r="D122" s="4204">
        <f>ROUND(0.8955-0.0135*B116,4)</f>
        <v>0.89549999999999996</v>
      </c>
      <c r="E122" s="4204">
        <f t="shared" ref="E122:H122" si="37">D122</f>
        <v>0.89549999999999996</v>
      </c>
      <c r="F122" s="4204">
        <f t="shared" si="37"/>
        <v>0.89549999999999996</v>
      </c>
      <c r="G122" s="4204">
        <f t="shared" si="37"/>
        <v>0.89549999999999996</v>
      </c>
      <c r="H122" s="4204">
        <f t="shared" si="37"/>
        <v>0.89549999999999996</v>
      </c>
      <c r="I122" s="4204">
        <f>ROUND(0.7632-0.0166*B116,4)</f>
        <v>0.76319999999999999</v>
      </c>
      <c r="J122" s="4204">
        <f t="shared" si="35"/>
        <v>0.76319999999999999</v>
      </c>
      <c r="K122" s="4204">
        <f t="shared" si="35"/>
        <v>0.76319999999999999</v>
      </c>
      <c r="L122" s="4204">
        <f t="shared" si="35"/>
        <v>0.76319999999999999</v>
      </c>
      <c r="M122" s="4205">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5"/>
      <c r="C2" s="4265"/>
      <c r="D2" s="4265"/>
      <c r="E2" s="4265"/>
    </row>
    <row r="3" spans="1:5" ht="18">
      <c r="A3" s="4266" t="str">
        <f>IF(项目基本情况!B9="房地产市场价值","估价结果一览表（市场价值不需“结果表-1”）","估价结果一览表")</f>
        <v>估价结果一览表</v>
      </c>
      <c r="B3" s="4266"/>
      <c r="C3" s="4266"/>
      <c r="D3" s="4266"/>
      <c r="E3" s="4266"/>
    </row>
    <row r="4" spans="1:5" ht="19.5" thickBot="1">
      <c r="A4" s="1035"/>
      <c r="B4" s="4264" t="s">
        <v>901</v>
      </c>
      <c r="C4" s="4264"/>
      <c r="D4" s="4264"/>
      <c r="E4" s="1035"/>
    </row>
    <row r="5" spans="1:5" ht="16.5" thickTop="1">
      <c r="B5" s="4262" t="s">
        <v>893</v>
      </c>
      <c r="C5" s="1036" t="s">
        <v>894</v>
      </c>
      <c r="D5" s="540">
        <f ca="1">结果表!H101</f>
        <v>101.27809999999999</v>
      </c>
    </row>
    <row r="6" spans="1:5" ht="15.75">
      <c r="B6" s="4262"/>
      <c r="C6" s="1036" t="s">
        <v>895</v>
      </c>
      <c r="D6" s="540" t="str">
        <f ca="1">NUMBERSTRING(INT(D5*10000),2)&amp;"元整"</f>
        <v>壹佰零壹万贰仟柒佰捌拾壹元整</v>
      </c>
    </row>
    <row r="7" spans="1:5" ht="15.75">
      <c r="B7" s="4267"/>
      <c r="C7" s="1037" t="s">
        <v>896</v>
      </c>
      <c r="D7" s="541">
        <f ca="1">结果表!H102</f>
        <v>18724</v>
      </c>
    </row>
    <row r="8" spans="1:5" ht="15.75">
      <c r="B8" s="4268" t="str">
        <f>结果表!E103</f>
        <v>2.估价师知悉的法定优先受偿款</v>
      </c>
      <c r="C8" s="1038" t="s">
        <v>897</v>
      </c>
      <c r="D8" s="541">
        <f>结果表!H103</f>
        <v>0</v>
      </c>
    </row>
    <row r="9" spans="1:5" ht="15.75">
      <c r="B9" s="4270"/>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1" t="str">
        <f>结果表!E107</f>
        <v>3.房地产抵押价值</v>
      </c>
      <c r="C13" s="1041" t="s">
        <v>894</v>
      </c>
      <c r="D13" s="543">
        <f ca="1">结果表!H107</f>
        <v>101.27809999999999</v>
      </c>
    </row>
    <row r="14" spans="1:5" ht="15.75">
      <c r="B14" s="4262"/>
      <c r="C14" s="1036" t="s">
        <v>895</v>
      </c>
      <c r="D14" s="540" t="str">
        <f ca="1">NUMBERSTRING(INT(D13*10000),2)&amp;"元整"</f>
        <v>壹佰零壹万贰仟柒佰捌拾壹元整</v>
      </c>
    </row>
    <row r="15" spans="1:5" ht="15">
      <c r="B15" s="4267"/>
      <c r="C15" s="1037" t="s">
        <v>905</v>
      </c>
      <c r="D15" s="548">
        <f ca="1">结果表!H108</f>
        <v>18724</v>
      </c>
    </row>
    <row r="16" spans="1:5" ht="15">
      <c r="B16" s="4268" t="str">
        <f>结果表!E109</f>
        <v>——</v>
      </c>
      <c r="C16" s="1041" t="s">
        <v>906</v>
      </c>
      <c r="D16" s="1042" t="str">
        <f>结果表!H109</f>
        <v>——</v>
      </c>
    </row>
    <row r="17" spans="1:5" ht="15.75">
      <c r="B17" s="4269"/>
      <c r="C17" s="1036" t="s">
        <v>907</v>
      </c>
      <c r="D17" s="540" t="e">
        <f>NUMBERSTRING(INT(D16*10000),2)&amp;"元整"</f>
        <v>#VALUE!</v>
      </c>
    </row>
    <row r="18" spans="1:5" ht="15">
      <c r="B18" s="4270"/>
      <c r="C18" s="1037" t="s">
        <v>896</v>
      </c>
      <c r="D18" s="548" t="str">
        <f>结果表!H110</f>
        <v>——</v>
      </c>
    </row>
    <row r="19" spans="1:5" ht="15.75">
      <c r="B19" s="4261" t="str">
        <f>结果表!E111</f>
        <v>——</v>
      </c>
      <c r="C19" s="1041" t="s">
        <v>894</v>
      </c>
      <c r="D19" s="541" t="str">
        <f>结果表!H111</f>
        <v>——</v>
      </c>
    </row>
    <row r="20" spans="1:5" ht="15.75">
      <c r="B20" s="4262"/>
      <c r="C20" s="1036" t="s">
        <v>907</v>
      </c>
      <c r="D20" s="540" t="e">
        <f>NUMBERSTRING(INT(D19*10000),2)&amp;"元整"</f>
        <v>#VALUE!</v>
      </c>
    </row>
    <row r="21" spans="1:5" ht="15.75" thickBot="1">
      <c r="B21" s="4263"/>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-22</v>
      </c>
      <c r="C2" s="171" t="s">
        <v>1531</v>
      </c>
      <c r="D2" s="171"/>
      <c r="E2" s="2045"/>
      <c r="F2" s="2045"/>
      <c r="G2" s="2045"/>
      <c r="H2" s="2045"/>
      <c r="I2" s="2045"/>
      <c r="J2" s="2045"/>
      <c r="K2" s="2045"/>
    </row>
    <row r="3" spans="1:33" ht="18" customHeight="1">
      <c r="A3" s="98" t="s">
        <v>1433</v>
      </c>
      <c r="B3" s="2523">
        <f ca="1">ROUND(B2*10000/IF(C1="",'数据-汇总表'!E3,INDIRECT("'数据-取费表'!K"&amp;$K$1)),0)</f>
        <v>-4067</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32" t="s">
        <v>3367</v>
      </c>
      <c r="D6" s="4632"/>
      <c r="E6" s="4632"/>
      <c r="F6" s="4632"/>
      <c r="G6" s="4632"/>
      <c r="H6" s="4632"/>
      <c r="I6" s="4632"/>
      <c r="J6" s="4632"/>
      <c r="K6" s="4633"/>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54" t="s">
        <v>3511</v>
      </c>
      <c r="B11" s="4655"/>
      <c r="C11" s="4655"/>
      <c r="D11" s="4655"/>
      <c r="E11" s="4655"/>
      <c r="F11" s="4655"/>
      <c r="G11" s="4655"/>
      <c r="H11" s="4655"/>
      <c r="I11" s="4655"/>
      <c r="J11" s="4655"/>
      <c r="K11" s="4656"/>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22</v>
      </c>
      <c r="D15" s="530"/>
      <c r="E15" s="173"/>
      <c r="F15" s="3226"/>
      <c r="G15" s="3351" t="s">
        <v>3530</v>
      </c>
      <c r="H15" s="526"/>
      <c r="I15" s="526"/>
      <c r="J15" s="526"/>
      <c r="K15" s="527"/>
    </row>
    <row r="16" spans="1:33" s="523" customFormat="1" ht="13.5" customHeight="1">
      <c r="A16" s="3362" t="s">
        <v>3580</v>
      </c>
      <c r="B16" s="3230" t="s">
        <v>3513</v>
      </c>
      <c r="C16" s="3231">
        <f ca="1">SUM(C17:C22)</f>
        <v>23</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19</v>
      </c>
      <c r="D17" s="3233"/>
      <c r="E17" s="3234"/>
      <c r="F17" s="3246"/>
      <c r="G17" s="3352"/>
      <c r="H17" s="3349"/>
      <c r="I17" s="3349"/>
      <c r="J17" s="3349"/>
      <c r="K17" s="3361"/>
    </row>
    <row r="18" spans="1:33" s="523" customFormat="1" ht="13.5" customHeight="1">
      <c r="A18" s="3363" t="s">
        <v>3519</v>
      </c>
      <c r="B18" s="3218" t="s">
        <v>3520</v>
      </c>
      <c r="C18" s="2501">
        <f ca="1">ROUND(C17*F18,0)</f>
        <v>2</v>
      </c>
      <c r="D18" s="3230"/>
      <c r="E18" s="3230"/>
      <c r="F18" s="3247">
        <f>'数据-取费表'!B33</f>
        <v>0.08</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2</v>
      </c>
      <c r="D20" s="3228">
        <f ca="1">IF(C1="",'数据-汇总表'!E3,INDIRECT("'数据-取费表'!K"&amp;$K$1)+INDIRECT("'数据-取费表'!S"&amp;$K$1))</f>
        <v>54.09</v>
      </c>
      <c r="E20" s="3229">
        <f>'数据-取费表'!B35</f>
        <v>300</v>
      </c>
      <c r="F20" s="3228"/>
      <c r="G20" s="2497"/>
      <c r="H20" s="3349"/>
      <c r="I20" s="3349"/>
      <c r="J20" s="526"/>
      <c r="K20" s="527"/>
    </row>
    <row r="21" spans="1:33" s="523" customFormat="1" ht="13.5" customHeight="1">
      <c r="A21" s="3363" t="s">
        <v>3534</v>
      </c>
      <c r="B21" s="3220" t="s">
        <v>3491</v>
      </c>
      <c r="C21" s="2501">
        <f ca="1">ROUND(C17*F21,0)</f>
        <v>0</v>
      </c>
      <c r="D21" s="3235"/>
      <c r="E21" s="3235"/>
      <c r="F21" s="3247">
        <f>'数据-取费表'!B36</f>
        <v>1.4999999999999999E-2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0</v>
      </c>
      <c r="D23" s="3236"/>
      <c r="E23" s="3236"/>
      <c r="F23" s="3248">
        <f>'数据-取费表'!B38</f>
        <v>0.02</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1+0.0002V建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1</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3526</v>
      </c>
      <c r="B28" s="3230" t="s">
        <v>3543</v>
      </c>
      <c r="C28" s="2650" t="str">
        <f ca="1">C29&amp;"+"&amp;C30&amp;"V建"</f>
        <v>3+0.0015V建</v>
      </c>
      <c r="D28" s="1011"/>
      <c r="E28" s="1011"/>
      <c r="F28" s="3249">
        <f ca="1">IF(C1="",'数据-取费表'!Q16,INDIRECT("'数据-取费表'!q"&amp;$K$1))</f>
        <v>0.15</v>
      </c>
      <c r="G28" s="4657" t="s">
        <v>3527</v>
      </c>
      <c r="H28" s="3349"/>
      <c r="I28" s="3349"/>
      <c r="J28" s="3349"/>
      <c r="K28" s="3361"/>
    </row>
    <row r="29" spans="1:33" s="523" customFormat="1" ht="13.5" customHeight="1">
      <c r="A29" s="3363" t="s">
        <v>3539</v>
      </c>
      <c r="B29" s="3220" t="s">
        <v>3544</v>
      </c>
      <c r="C29" s="2651">
        <f ca="1">ROUND((C16+C23)*F28,0)</f>
        <v>3</v>
      </c>
      <c r="D29" s="1011"/>
      <c r="E29" s="1011"/>
      <c r="F29" s="2720"/>
      <c r="G29" s="4657"/>
      <c r="H29" s="3356"/>
      <c r="I29" s="3356"/>
      <c r="J29" s="3356"/>
      <c r="K29" s="3366"/>
    </row>
    <row r="30" spans="1:33" s="531" customFormat="1" ht="13.5" customHeight="1">
      <c r="A30" s="3363" t="s">
        <v>3540</v>
      </c>
      <c r="B30" s="3220" t="s">
        <v>3545</v>
      </c>
      <c r="C30" s="2501">
        <f ca="1">ROUND(F24*F28,4)</f>
        <v>1.5E-3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27</v>
      </c>
      <c r="D32" s="3241"/>
      <c r="E32" s="3242"/>
      <c r="F32" s="3228"/>
      <c r="G32" s="3359" t="s">
        <v>3517</v>
      </c>
      <c r="H32" s="3360"/>
      <c r="I32" s="3360"/>
      <c r="J32" s="3360"/>
      <c r="K32" s="3367"/>
    </row>
    <row r="33" spans="1:11" s="176" customFormat="1" ht="13.5" customHeight="1">
      <c r="A33" s="3362" t="s">
        <v>3538</v>
      </c>
      <c r="B33" s="3243" t="s">
        <v>3528</v>
      </c>
      <c r="C33" s="3244">
        <f ca="1">ROUND(C32*(1-F33),0)</f>
        <v>5</v>
      </c>
      <c r="D33" s="3245"/>
      <c r="E33" s="3030"/>
      <c r="F33" s="3248">
        <f>IF('数据-取费表'!B24=0,'数据-取费表'!N16,1)</f>
        <v>0.83</v>
      </c>
      <c r="G33" s="3351" t="s">
        <v>3529</v>
      </c>
      <c r="H33" s="3356"/>
      <c r="I33" s="3356"/>
      <c r="J33" s="3356"/>
      <c r="K33" s="3366"/>
    </row>
    <row r="34" spans="1:11" s="521" customFormat="1" ht="15.75" thickBot="1">
      <c r="A34" s="3368">
        <v>4</v>
      </c>
      <c r="B34" s="3369" t="s">
        <v>3586</v>
      </c>
      <c r="C34" s="3370">
        <f ca="1">C13-C15</f>
        <v>-22</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C104" sqref="C104:N104"/>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5</v>
      </c>
      <c r="C2" s="94" t="s">
        <v>1432</v>
      </c>
      <c r="D2" s="94"/>
      <c r="E2" s="2510"/>
      <c r="F2" s="94"/>
      <c r="G2" s="94"/>
    </row>
    <row r="3" spans="1:7" s="95" customFormat="1" ht="15.75">
      <c r="A3" s="98" t="s">
        <v>1433</v>
      </c>
      <c r="B3" s="2523">
        <f ca="1">ROUND(B2*10000/(IF(C1="",'数据-汇总表'!E3,INDIRECT("'数据-取费表'!k"&amp;$G$1))),0)</f>
        <v>924</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4</v>
      </c>
      <c r="D20" s="3336"/>
      <c r="E20" s="3337"/>
      <c r="F20" s="2557"/>
      <c r="G20" s="3343"/>
    </row>
    <row r="21" spans="1:9" s="118" customFormat="1" ht="15">
      <c r="A21" s="3279" t="s">
        <v>3587</v>
      </c>
      <c r="B21" s="3257" t="s">
        <v>3312</v>
      </c>
      <c r="C21" s="2562">
        <f>IF(G21="已包含在土地购买价格中","0",IF(C1="",'数据-取费表'!B29,IF(G22="全部缴纳",C22+C23,H22)))</f>
        <v>1</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150</v>
      </c>
      <c r="F22" s="2553"/>
      <c r="G22" s="1339"/>
      <c r="H22" s="762"/>
      <c r="I22" s="1340" t="s">
        <v>1448</v>
      </c>
    </row>
    <row r="23" spans="1:9" s="109" customFormat="1">
      <c r="A23" s="2505" t="s">
        <v>3571</v>
      </c>
      <c r="B23" s="3258" t="s">
        <v>1449</v>
      </c>
      <c r="C23" s="2561">
        <f ca="1">ROUND(D23*E23/10000,0)</f>
        <v>1</v>
      </c>
      <c r="D23" s="3250">
        <f ca="1">IF(C1="",'数据-汇总表'!E6,IF(INDIRECT("'数据-取费表'!c"&amp;$G$1)="住宅",INDIRECT("'数据-取费表'!s"&amp;$G$1),INDIRECT("'数据-取费表'!k"&amp;$G$1)+INDIRECT("'数据-取费表'!s"&amp;$G$1)))</f>
        <v>54.09</v>
      </c>
      <c r="E23" s="3250">
        <f>'数据-取费表'!B28</f>
        <v>190</v>
      </c>
      <c r="F23" s="2553"/>
      <c r="G23" s="3344"/>
    </row>
    <row r="24" spans="1:9" s="109" customFormat="1" ht="13.5">
      <c r="A24" s="3223" t="s">
        <v>3572</v>
      </c>
      <c r="B24" s="3259" t="s">
        <v>3588</v>
      </c>
      <c r="C24" s="2562">
        <f ca="1">IF(G24="已包含在土地取得成本中","0",ROUND(D24*E24/10000,0))</f>
        <v>1</v>
      </c>
      <c r="D24" s="3251">
        <f ca="1">D22+D23</f>
        <v>54.09</v>
      </c>
      <c r="E24" s="3251">
        <f>'数据-取费表'!B31</f>
        <v>120</v>
      </c>
      <c r="F24" s="3260"/>
      <c r="G24" s="1338"/>
    </row>
    <row r="25" spans="1:9" s="109" customFormat="1" ht="13.5">
      <c r="A25" s="3223" t="s">
        <v>337</v>
      </c>
      <c r="B25" s="3259" t="s">
        <v>3589</v>
      </c>
      <c r="C25" s="2562">
        <f ca="1">ROUND(E25*D25/10000,0)</f>
        <v>2</v>
      </c>
      <c r="D25" s="3251">
        <f ca="1">D24</f>
        <v>54.09</v>
      </c>
      <c r="E25" s="3251">
        <f>'数据-取费表'!B35</f>
        <v>300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1</v>
      </c>
      <c r="D30" s="2538"/>
      <c r="E30" s="296"/>
      <c r="F30" s="3265">
        <f ca="1">IF(C1="",'数据-取费表'!Q16,INDIRECT("'数据-取费表'!q"&amp;$G$1))</f>
        <v>0.15</v>
      </c>
      <c r="G30" s="3347"/>
    </row>
    <row r="31" spans="1:9" s="109" customFormat="1" ht="15.75">
      <c r="A31" s="2504" t="s">
        <v>3577</v>
      </c>
      <c r="B31" s="2503" t="s">
        <v>3569</v>
      </c>
      <c r="C31" s="2525">
        <f ca="1">C7+C20+C29+C30</f>
        <v>5</v>
      </c>
      <c r="D31" s="2516"/>
      <c r="E31" s="2516"/>
      <c r="F31" s="2515"/>
      <c r="G31" s="2517" t="s">
        <v>3600</v>
      </c>
    </row>
    <row r="32" spans="1:9" s="109" customFormat="1" ht="15.75">
      <c r="A32" s="2504" t="s">
        <v>3568</v>
      </c>
      <c r="B32" s="2503" t="s">
        <v>3567</v>
      </c>
      <c r="C32" s="3330">
        <f ca="1">ROUND(C31*F32,0)</f>
        <v>1</v>
      </c>
      <c r="D32" s="130"/>
      <c r="E32" s="131"/>
      <c r="F32" s="3266">
        <v>0.1</v>
      </c>
      <c r="G32" s="3348"/>
    </row>
    <row r="33" spans="1:14" s="109" customFormat="1" ht="15.75">
      <c r="A33" s="3329">
        <v>8</v>
      </c>
      <c r="B33" s="2503" t="s">
        <v>3579</v>
      </c>
      <c r="C33" s="2525">
        <f ca="1">C31+C32</f>
        <v>6</v>
      </c>
      <c r="D33" s="2516"/>
      <c r="E33" s="2516"/>
      <c r="F33" s="3267"/>
      <c r="G33" s="2517" t="s">
        <v>3599</v>
      </c>
    </row>
    <row r="34" spans="1:14" s="118" customFormat="1" ht="16.5" thickBot="1">
      <c r="A34" s="3281">
        <v>9</v>
      </c>
      <c r="B34" s="3282" t="s">
        <v>3578</v>
      </c>
      <c r="C34" s="2525">
        <f ca="1">ROUND(C33*F34,0)</f>
        <v>5</v>
      </c>
      <c r="D34" s="3283"/>
      <c r="E34" s="3283"/>
      <c r="F34" s="3332">
        <f>'数据-取费表'!AS16</f>
        <v>0.81399999999999995</v>
      </c>
      <c r="G34" s="2517" t="s">
        <v>3601</v>
      </c>
    </row>
    <row r="35" spans="1:14" s="109" customFormat="1"/>
    <row r="36" spans="1:14" s="109" customFormat="1"/>
    <row r="41" spans="1:14">
      <c r="J41" s="4231" t="s">
        <v>4052</v>
      </c>
    </row>
    <row r="42" spans="1:14">
      <c r="J42" s="4231" t="s">
        <v>4049</v>
      </c>
    </row>
    <row r="43" spans="1:14">
      <c r="J43" s="4232" t="s">
        <v>3988</v>
      </c>
      <c r="K43" s="4232"/>
      <c r="L43" s="4233"/>
      <c r="M43" s="4233"/>
      <c r="N43" s="4233"/>
    </row>
    <row r="44" spans="1:14" ht="25.5">
      <c r="J44" s="4661" t="s">
        <v>3989</v>
      </c>
      <c r="K44" s="4662"/>
      <c r="L44" s="4663"/>
      <c r="M44" s="4234" t="s">
        <v>3990</v>
      </c>
      <c r="N44" s="4234" t="s">
        <v>3991</v>
      </c>
    </row>
    <row r="45" spans="1:14">
      <c r="J45" s="4661" t="s">
        <v>3992</v>
      </c>
      <c r="K45" s="4662"/>
      <c r="L45" s="4663"/>
      <c r="M45" s="4234" t="s">
        <v>3993</v>
      </c>
      <c r="N45" s="4658" t="s">
        <v>3994</v>
      </c>
    </row>
    <row r="46" spans="1:14">
      <c r="J46" s="4661" t="s">
        <v>3995</v>
      </c>
      <c r="K46" s="4662"/>
      <c r="L46" s="4663"/>
      <c r="M46" s="4664" t="s">
        <v>3996</v>
      </c>
      <c r="N46" s="4659"/>
    </row>
    <row r="47" spans="1:14">
      <c r="J47" s="4661" t="s">
        <v>3997</v>
      </c>
      <c r="K47" s="4662"/>
      <c r="L47" s="4663"/>
      <c r="M47" s="4665"/>
      <c r="N47" s="4659"/>
    </row>
    <row r="48" spans="1:14">
      <c r="J48" s="4658" t="s">
        <v>4008</v>
      </c>
      <c r="K48" s="4664"/>
      <c r="L48" s="4234" t="s">
        <v>3998</v>
      </c>
      <c r="M48" s="4664" t="s">
        <v>3999</v>
      </c>
      <c r="N48" s="4659"/>
    </row>
    <row r="49" spans="10:15">
      <c r="J49" s="4659"/>
      <c r="K49" s="4666"/>
      <c r="L49" s="4234" t="s">
        <v>4000</v>
      </c>
      <c r="M49" s="4666"/>
      <c r="N49" s="4659"/>
    </row>
    <row r="50" spans="10:15">
      <c r="J50" s="4659"/>
      <c r="K50" s="4665"/>
      <c r="L50" s="4234" t="s">
        <v>4001</v>
      </c>
      <c r="M50" s="4666"/>
      <c r="N50" s="4659"/>
    </row>
    <row r="51" spans="10:15">
      <c r="J51" s="4659"/>
      <c r="K51" s="4658" t="s">
        <v>4009</v>
      </c>
      <c r="L51" s="4234" t="s">
        <v>4002</v>
      </c>
      <c r="M51" s="4666"/>
      <c r="N51" s="4659"/>
    </row>
    <row r="52" spans="10:15">
      <c r="J52" s="4660"/>
      <c r="K52" s="4659"/>
      <c r="L52" s="4234" t="s">
        <v>4010</v>
      </c>
      <c r="M52" s="4666"/>
      <c r="N52" s="4659"/>
    </row>
    <row r="53" spans="10:15">
      <c r="J53" s="4664"/>
      <c r="K53" s="4659"/>
      <c r="L53" s="4234" t="s">
        <v>4011</v>
      </c>
      <c r="M53" s="4666"/>
      <c r="N53" s="4659"/>
    </row>
    <row r="54" spans="10:15">
      <c r="J54" s="4666"/>
      <c r="K54" s="4659"/>
      <c r="L54" s="4234" t="s">
        <v>4003</v>
      </c>
      <c r="M54" s="4666"/>
      <c r="N54" s="4659"/>
    </row>
    <row r="55" spans="10:15">
      <c r="J55" s="4666"/>
      <c r="K55" s="4659"/>
      <c r="L55" s="4234" t="s">
        <v>4004</v>
      </c>
      <c r="M55" s="4666"/>
      <c r="N55" s="4659"/>
    </row>
    <row r="56" spans="10:15">
      <c r="J56" s="4666"/>
      <c r="K56" s="4659"/>
      <c r="L56" s="4234" t="s">
        <v>4005</v>
      </c>
      <c r="M56" s="4665"/>
      <c r="N56" s="4659"/>
    </row>
    <row r="57" spans="10:15">
      <c r="J57" s="4665"/>
      <c r="K57" s="4660"/>
      <c r="L57" s="4234" t="s">
        <v>4006</v>
      </c>
      <c r="M57" s="4235" t="s">
        <v>4007</v>
      </c>
      <c r="N57" s="4660"/>
    </row>
    <row r="60" spans="10:15">
      <c r="J60" s="4233" t="s">
        <v>4012</v>
      </c>
      <c r="K60" s="4233"/>
      <c r="L60" s="4233"/>
      <c r="M60" s="4233"/>
      <c r="N60" s="4233"/>
      <c r="O60" s="4233"/>
    </row>
    <row r="61" spans="10:15">
      <c r="J61" s="4232" t="s">
        <v>4013</v>
      </c>
      <c r="K61" s="4232" t="s">
        <v>4014</v>
      </c>
      <c r="L61" s="4232" t="s">
        <v>4015</v>
      </c>
      <c r="M61" s="4232" t="s">
        <v>4016</v>
      </c>
      <c r="N61" s="4232" t="s">
        <v>4017</v>
      </c>
      <c r="O61" s="4232" t="s">
        <v>4009</v>
      </c>
    </row>
    <row r="62" spans="10:15">
      <c r="J62" s="4232" t="s">
        <v>4018</v>
      </c>
      <c r="K62" s="4236" t="s">
        <v>4051</v>
      </c>
      <c r="L62" s="4232" t="s">
        <v>4019</v>
      </c>
      <c r="M62" s="4232" t="s">
        <v>4019</v>
      </c>
      <c r="N62" s="4232" t="s">
        <v>4020</v>
      </c>
      <c r="O62" s="4232" t="s">
        <v>4020</v>
      </c>
    </row>
    <row r="63" spans="10:15">
      <c r="J63" s="4232" t="s">
        <v>4021</v>
      </c>
      <c r="K63" s="4232" t="s">
        <v>4022</v>
      </c>
      <c r="L63" s="4232" t="s">
        <v>4023</v>
      </c>
      <c r="M63" s="4232" t="s">
        <v>4023</v>
      </c>
      <c r="N63" s="4232" t="s">
        <v>4024</v>
      </c>
      <c r="O63" s="4232" t="s">
        <v>4024</v>
      </c>
    </row>
    <row r="67" spans="10:15">
      <c r="J67" s="4233" t="s">
        <v>4025</v>
      </c>
      <c r="K67" s="4233"/>
      <c r="L67" s="4233"/>
      <c r="M67" s="4233"/>
      <c r="N67" s="4233"/>
      <c r="O67" s="4233"/>
    </row>
    <row r="68" spans="10:15">
      <c r="J68" s="4232" t="s">
        <v>4013</v>
      </c>
      <c r="K68" s="4232" t="s">
        <v>4026</v>
      </c>
      <c r="L68" s="4668" t="s">
        <v>4027</v>
      </c>
      <c r="M68" s="4668"/>
      <c r="N68" s="4668"/>
      <c r="O68" s="4232" t="s">
        <v>3991</v>
      </c>
    </row>
    <row r="69" spans="10:15" ht="25.5">
      <c r="J69" s="4232" t="s">
        <v>4028</v>
      </c>
      <c r="K69" s="4237" t="s">
        <v>4029</v>
      </c>
      <c r="L69" s="4667" t="s">
        <v>4030</v>
      </c>
      <c r="M69" s="4667"/>
      <c r="N69" s="4667"/>
      <c r="O69" s="4232"/>
    </row>
    <row r="70" spans="10:15" ht="25.5">
      <c r="J70" s="4232" t="s">
        <v>4031</v>
      </c>
      <c r="K70" s="4237" t="s">
        <v>4032</v>
      </c>
      <c r="L70" s="4667" t="s">
        <v>4033</v>
      </c>
      <c r="M70" s="4667"/>
      <c r="N70" s="4667"/>
      <c r="O70" s="4232"/>
    </row>
    <row r="71" spans="10:15" ht="25.5">
      <c r="J71" s="4232" t="s">
        <v>4034</v>
      </c>
      <c r="K71" s="4237" t="s">
        <v>4035</v>
      </c>
      <c r="L71" s="4667" t="s">
        <v>4036</v>
      </c>
      <c r="M71" s="4667"/>
      <c r="N71" s="4667"/>
      <c r="O71" s="4232"/>
    </row>
    <row r="72" spans="10:15" ht="27" customHeight="1">
      <c r="J72" s="4232" t="s">
        <v>4037</v>
      </c>
      <c r="K72" s="4237" t="s">
        <v>4038</v>
      </c>
      <c r="L72" s="4667" t="s">
        <v>4050</v>
      </c>
      <c r="M72" s="4667"/>
      <c r="N72" s="4667"/>
      <c r="O72" s="4232"/>
    </row>
    <row r="73" spans="10:15" ht="30" customHeight="1">
      <c r="J73" s="4232" t="s">
        <v>4039</v>
      </c>
      <c r="K73" s="4237" t="s">
        <v>4040</v>
      </c>
      <c r="L73" s="4667" t="s">
        <v>4041</v>
      </c>
      <c r="M73" s="4667"/>
      <c r="N73" s="4667"/>
      <c r="O73" s="4232" t="s">
        <v>2195</v>
      </c>
    </row>
    <row r="74" spans="10:15" ht="57.75" customHeight="1">
      <c r="J74" s="4232" t="s">
        <v>4042</v>
      </c>
      <c r="K74" s="4237" t="s">
        <v>4043</v>
      </c>
      <c r="L74" s="4667" t="s">
        <v>4044</v>
      </c>
      <c r="M74" s="4667"/>
      <c r="N74" s="4667"/>
      <c r="O74" s="4232" t="s">
        <v>4045</v>
      </c>
    </row>
    <row r="75" spans="10:15" ht="32.25" customHeight="1">
      <c r="J75" s="4232" t="s">
        <v>4046</v>
      </c>
      <c r="K75" s="4237" t="s">
        <v>4047</v>
      </c>
      <c r="L75" s="4667" t="s">
        <v>4048</v>
      </c>
      <c r="M75" s="4667"/>
      <c r="N75" s="4667"/>
      <c r="O75" s="423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104" sqref="C104:N104"/>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80" t="s">
        <v>2487</v>
      </c>
      <c r="B20" s="4673" t="s">
        <v>2508</v>
      </c>
      <c r="C20" s="2492" t="s">
        <v>2319</v>
      </c>
      <c r="D20" s="2492"/>
      <c r="E20" s="3055">
        <v>1</v>
      </c>
      <c r="F20" s="2246" t="s">
        <v>2320</v>
      </c>
      <c r="G20" s="2246"/>
    </row>
    <row r="21" spans="1:13" ht="19.5" customHeight="1">
      <c r="A21" s="4681"/>
      <c r="B21" s="4669"/>
      <c r="C21" s="2255" t="s">
        <v>2321</v>
      </c>
      <c r="D21" s="2255"/>
      <c r="E21" s="3056">
        <v>1</v>
      </c>
      <c r="F21" s="2246" t="s">
        <v>2322</v>
      </c>
      <c r="G21" s="2246"/>
    </row>
    <row r="22" spans="1:13" ht="19.5" customHeight="1">
      <c r="A22" s="4681"/>
      <c r="B22" s="4669"/>
      <c r="C22" s="2255" t="s">
        <v>2323</v>
      </c>
      <c r="D22" s="2255"/>
      <c r="E22" s="3056">
        <v>0.9</v>
      </c>
      <c r="F22" s="2246" t="s">
        <v>2324</v>
      </c>
      <c r="G22" s="2246"/>
    </row>
    <row r="23" spans="1:13" ht="19.5" customHeight="1">
      <c r="A23" s="4681"/>
      <c r="B23" s="4669"/>
      <c r="C23" s="2255" t="s">
        <v>2325</v>
      </c>
      <c r="D23" s="2255"/>
      <c r="E23" s="3056">
        <v>0.9</v>
      </c>
      <c r="F23" s="2246" t="s">
        <v>2326</v>
      </c>
      <c r="G23" s="2246"/>
    </row>
    <row r="24" spans="1:13" ht="19.5" customHeight="1">
      <c r="A24" s="4681"/>
      <c r="B24" s="4669"/>
      <c r="C24" s="2255" t="s">
        <v>2327</v>
      </c>
      <c r="D24" s="2255"/>
      <c r="E24" s="3056">
        <v>0.8</v>
      </c>
      <c r="F24" s="2246" t="s">
        <v>2328</v>
      </c>
      <c r="G24" s="2246"/>
    </row>
    <row r="25" spans="1:13" ht="19.5" customHeight="1">
      <c r="A25" s="4681"/>
      <c r="B25" s="4669"/>
      <c r="C25" s="2255" t="s">
        <v>2329</v>
      </c>
      <c r="D25" s="2255"/>
      <c r="E25" s="3056">
        <v>0.8</v>
      </c>
      <c r="F25" s="2246"/>
      <c r="G25" s="2246"/>
    </row>
    <row r="26" spans="1:13" ht="19.5" customHeight="1">
      <c r="A26" s="4681"/>
      <c r="B26" s="4669"/>
      <c r="C26" s="2255" t="s">
        <v>3268</v>
      </c>
      <c r="D26" s="2255"/>
      <c r="E26" s="3056">
        <v>0.43</v>
      </c>
      <c r="F26" s="2246"/>
      <c r="G26" s="2246"/>
    </row>
    <row r="27" spans="1:13" ht="19.5" customHeight="1" thickBot="1">
      <c r="A27" s="4682"/>
      <c r="B27" s="4674"/>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75" t="s">
        <v>2511</v>
      </c>
      <c r="B29" s="4678" t="s">
        <v>2492</v>
      </c>
      <c r="C29" s="2244" t="s">
        <v>2332</v>
      </c>
      <c r="D29" s="2245"/>
      <c r="E29" s="3055">
        <v>1</v>
      </c>
      <c r="F29" s="2246" t="s">
        <v>2333</v>
      </c>
      <c r="G29" s="2246"/>
    </row>
    <row r="30" spans="1:13" ht="19.5" customHeight="1">
      <c r="A30" s="4676"/>
      <c r="B30" s="4672"/>
      <c r="C30" s="2247" t="s">
        <v>2334</v>
      </c>
      <c r="D30" s="2248"/>
      <c r="E30" s="3056">
        <v>1</v>
      </c>
      <c r="F30" s="2246" t="s">
        <v>2335</v>
      </c>
      <c r="G30" s="2246"/>
    </row>
    <row r="31" spans="1:13" ht="19.5" customHeight="1">
      <c r="A31" s="4676"/>
      <c r="B31" s="4672"/>
      <c r="C31" s="2247" t="s">
        <v>2336</v>
      </c>
      <c r="D31" s="2248"/>
      <c r="E31" s="3056">
        <v>0.8</v>
      </c>
      <c r="F31" s="2246" t="s">
        <v>2337</v>
      </c>
      <c r="G31" s="2246"/>
    </row>
    <row r="32" spans="1:13" ht="19.5" customHeight="1">
      <c r="A32" s="4676"/>
      <c r="B32" s="4672"/>
      <c r="C32" s="2247" t="s">
        <v>2338</v>
      </c>
      <c r="D32" s="2248"/>
      <c r="E32" s="3056">
        <v>0.8</v>
      </c>
      <c r="F32" s="2246" t="s">
        <v>2339</v>
      </c>
      <c r="G32" s="2246"/>
    </row>
    <row r="33" spans="1:7" ht="19.5" customHeight="1">
      <c r="A33" s="4676"/>
      <c r="B33" s="4672"/>
      <c r="C33" s="2247" t="s">
        <v>2340</v>
      </c>
      <c r="D33" s="2248"/>
      <c r="E33" s="3056">
        <v>0.8</v>
      </c>
      <c r="F33" s="2246" t="s">
        <v>2341</v>
      </c>
      <c r="G33" s="2246"/>
    </row>
    <row r="34" spans="1:7" ht="19.5" customHeight="1">
      <c r="A34" s="4676"/>
      <c r="B34" s="4672"/>
      <c r="C34" s="2247" t="s">
        <v>2342</v>
      </c>
      <c r="D34" s="2248"/>
      <c r="E34" s="3056">
        <v>0.7</v>
      </c>
      <c r="F34" s="2246" t="s">
        <v>2343</v>
      </c>
      <c r="G34" s="2246"/>
    </row>
    <row r="35" spans="1:7" ht="19.5" customHeight="1">
      <c r="A35" s="4676"/>
      <c r="B35" s="4672"/>
      <c r="C35" s="2247" t="s">
        <v>2344</v>
      </c>
      <c r="D35" s="2248"/>
      <c r="E35" s="3056">
        <v>0.8</v>
      </c>
      <c r="F35" s="2246" t="s">
        <v>2345</v>
      </c>
      <c r="G35" s="2246"/>
    </row>
    <row r="36" spans="1:7" ht="19.5" customHeight="1">
      <c r="A36" s="4676"/>
      <c r="B36" s="4672"/>
      <c r="C36" s="2247" t="s">
        <v>2346</v>
      </c>
      <c r="D36" s="2248"/>
      <c r="E36" s="3056">
        <v>0.6</v>
      </c>
      <c r="F36" s="2246" t="s">
        <v>2347</v>
      </c>
      <c r="G36" s="2246"/>
    </row>
    <row r="37" spans="1:7" ht="19.5" customHeight="1">
      <c r="A37" s="4676"/>
      <c r="B37" s="4672"/>
      <c r="C37" s="2247" t="s">
        <v>2348</v>
      </c>
      <c r="D37" s="2248"/>
      <c r="E37" s="3056">
        <v>0.2</v>
      </c>
      <c r="F37" s="2246" t="s">
        <v>2349</v>
      </c>
      <c r="G37" s="2246"/>
    </row>
    <row r="38" spans="1:7" ht="19.5" customHeight="1">
      <c r="A38" s="4676"/>
      <c r="B38" s="4672"/>
      <c r="C38" s="2247" t="s">
        <v>2350</v>
      </c>
      <c r="D38" s="2248"/>
      <c r="E38" s="3056">
        <v>0.2</v>
      </c>
      <c r="F38" s="2246" t="s">
        <v>2351</v>
      </c>
      <c r="G38" s="2246"/>
    </row>
    <row r="39" spans="1:7" ht="19.5" customHeight="1">
      <c r="A39" s="4676"/>
      <c r="B39" s="4670" t="s">
        <v>2512</v>
      </c>
      <c r="C39" s="2247" t="s">
        <v>2352</v>
      </c>
      <c r="D39" s="2248"/>
      <c r="E39" s="3056">
        <v>0.6</v>
      </c>
      <c r="F39" s="2246" t="s">
        <v>2353</v>
      </c>
      <c r="G39" s="2246"/>
    </row>
    <row r="40" spans="1:7" ht="19.5" customHeight="1">
      <c r="A40" s="4676"/>
      <c r="B40" s="4672"/>
      <c r="C40" s="2247" t="s">
        <v>2354</v>
      </c>
      <c r="D40" s="2248"/>
      <c r="E40" s="3056">
        <v>0.6</v>
      </c>
      <c r="F40" s="2246" t="s">
        <v>2355</v>
      </c>
      <c r="G40" s="2246"/>
    </row>
    <row r="41" spans="1:7" ht="19.5" customHeight="1" thickBot="1">
      <c r="A41" s="4677"/>
      <c r="B41" s="4679"/>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80" t="s">
        <v>2490</v>
      </c>
      <c r="B43" s="4678" t="s">
        <v>2514</v>
      </c>
      <c r="C43" s="2244" t="s">
        <v>2359</v>
      </c>
      <c r="D43" s="2245"/>
      <c r="E43" s="3055">
        <v>1</v>
      </c>
      <c r="F43" s="2246" t="s">
        <v>2360</v>
      </c>
      <c r="G43" s="2246"/>
    </row>
    <row r="44" spans="1:7" ht="19.5" customHeight="1">
      <c r="A44" s="4681"/>
      <c r="B44" s="4672"/>
      <c r="C44" s="2247" t="s">
        <v>2361</v>
      </c>
      <c r="D44" s="2248"/>
      <c r="E44" s="3056">
        <v>1</v>
      </c>
      <c r="F44" s="2246" t="s">
        <v>2362</v>
      </c>
      <c r="G44" s="2246"/>
    </row>
    <row r="45" spans="1:7" ht="19.5" customHeight="1">
      <c r="A45" s="4681"/>
      <c r="B45" s="4671"/>
      <c r="C45" s="2247" t="s">
        <v>2363</v>
      </c>
      <c r="D45" s="2248"/>
      <c r="E45" s="3056">
        <v>1.5</v>
      </c>
      <c r="F45" s="2246" t="s">
        <v>2364</v>
      </c>
      <c r="G45" s="2246"/>
    </row>
    <row r="46" spans="1:7" ht="19.5" customHeight="1">
      <c r="A46" s="4681"/>
      <c r="B46" s="2255" t="s">
        <v>2515</v>
      </c>
      <c r="C46" s="2247" t="s">
        <v>2516</v>
      </c>
      <c r="D46" s="2248"/>
      <c r="E46" s="3056">
        <v>2</v>
      </c>
      <c r="F46" s="2246" t="s">
        <v>2365</v>
      </c>
      <c r="G46" s="2246"/>
    </row>
    <row r="47" spans="1:7" ht="19.5" customHeight="1">
      <c r="A47" s="4681"/>
      <c r="B47" s="4670" t="s">
        <v>2517</v>
      </c>
      <c r="C47" s="2247" t="s">
        <v>2366</v>
      </c>
      <c r="D47" s="2248"/>
      <c r="E47" s="3056">
        <v>1</v>
      </c>
      <c r="F47" s="2246" t="s">
        <v>2367</v>
      </c>
      <c r="G47" s="2246"/>
    </row>
    <row r="48" spans="1:7" ht="19.5" customHeight="1">
      <c r="A48" s="4681"/>
      <c r="B48" s="4672"/>
      <c r="C48" s="2247" t="s">
        <v>2368</v>
      </c>
      <c r="D48" s="2248"/>
      <c r="E48" s="3056">
        <v>1</v>
      </c>
      <c r="F48" s="2246" t="s">
        <v>2369</v>
      </c>
      <c r="G48" s="2246"/>
    </row>
    <row r="49" spans="1:7" ht="19.5" customHeight="1">
      <c r="A49" s="4681"/>
      <c r="B49" s="4672"/>
      <c r="C49" s="2247" t="s">
        <v>2370</v>
      </c>
      <c r="D49" s="2248"/>
      <c r="E49" s="3056">
        <v>1</v>
      </c>
      <c r="F49" s="2246" t="s">
        <v>2371</v>
      </c>
      <c r="G49" s="2246"/>
    </row>
    <row r="50" spans="1:7" ht="19.5" customHeight="1">
      <c r="A50" s="4681"/>
      <c r="B50" s="4672"/>
      <c r="C50" s="2247" t="s">
        <v>2372</v>
      </c>
      <c r="D50" s="2248"/>
      <c r="E50" s="3056">
        <v>1</v>
      </c>
      <c r="F50" s="2246" t="s">
        <v>2373</v>
      </c>
      <c r="G50" s="2246"/>
    </row>
    <row r="51" spans="1:7" ht="19.5" customHeight="1">
      <c r="A51" s="4681"/>
      <c r="B51" s="4672"/>
      <c r="C51" s="2247" t="s">
        <v>2374</v>
      </c>
      <c r="D51" s="2248"/>
      <c r="E51" s="3056">
        <v>1</v>
      </c>
      <c r="F51" s="2246" t="s">
        <v>2375</v>
      </c>
      <c r="G51" s="2246"/>
    </row>
    <row r="52" spans="1:7" ht="19.5" customHeight="1">
      <c r="A52" s="4681"/>
      <c r="B52" s="4672"/>
      <c r="C52" s="2247" t="s">
        <v>2376</v>
      </c>
      <c r="D52" s="2248"/>
      <c r="E52" s="3056">
        <v>1</v>
      </c>
      <c r="F52" s="2246" t="s">
        <v>2377</v>
      </c>
      <c r="G52" s="2246"/>
    </row>
    <row r="53" spans="1:7" ht="19.5" customHeight="1" thickBot="1">
      <c r="A53" s="4682"/>
      <c r="B53" s="4679"/>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70" t="s">
        <v>2531</v>
      </c>
      <c r="C75" s="2235" t="s">
        <v>2532</v>
      </c>
      <c r="D75" s="2235" t="s">
        <v>2533</v>
      </c>
      <c r="E75" s="3061">
        <v>0.2</v>
      </c>
      <c r="F75" s="3062">
        <v>25</v>
      </c>
    </row>
    <row r="76" spans="1:7" ht="24">
      <c r="A76" s="2255">
        <v>2</v>
      </c>
      <c r="B76" s="4672"/>
      <c r="C76" s="2235" t="s">
        <v>2534</v>
      </c>
      <c r="D76" s="2235" t="s">
        <v>2535</v>
      </c>
      <c r="E76" s="3061">
        <v>0.2</v>
      </c>
      <c r="F76" s="3062">
        <v>25</v>
      </c>
    </row>
    <row r="77" spans="1:7" ht="24">
      <c r="A77" s="2255">
        <v>3</v>
      </c>
      <c r="B77" s="4672"/>
      <c r="C77" s="2235" t="s">
        <v>2536</v>
      </c>
      <c r="D77" s="2235" t="s">
        <v>2537</v>
      </c>
      <c r="E77" s="3061">
        <v>0.2</v>
      </c>
      <c r="F77" s="3062">
        <v>25</v>
      </c>
    </row>
    <row r="78" spans="1:7" ht="13.5">
      <c r="A78" s="2255">
        <v>4</v>
      </c>
      <c r="B78" s="4672"/>
      <c r="C78" s="2235" t="s">
        <v>2538</v>
      </c>
      <c r="D78" s="2235" t="s">
        <v>2539</v>
      </c>
      <c r="E78" s="3061">
        <v>0.15</v>
      </c>
      <c r="F78" s="3062">
        <v>20</v>
      </c>
    </row>
    <row r="79" spans="1:7" ht="24">
      <c r="A79" s="2255">
        <v>5</v>
      </c>
      <c r="B79" s="4672"/>
      <c r="C79" s="2235" t="s">
        <v>2540</v>
      </c>
      <c r="D79" s="2235" t="s">
        <v>2541</v>
      </c>
      <c r="E79" s="3061">
        <v>0.15</v>
      </c>
      <c r="F79" s="3062">
        <v>20</v>
      </c>
    </row>
    <row r="80" spans="1:7" ht="24">
      <c r="A80" s="2255">
        <v>6</v>
      </c>
      <c r="B80" s="4672"/>
      <c r="C80" s="2235" t="s">
        <v>2542</v>
      </c>
      <c r="D80" s="2235" t="s">
        <v>2543</v>
      </c>
      <c r="E80" s="3061">
        <v>0.15</v>
      </c>
      <c r="F80" s="3062">
        <v>20</v>
      </c>
    </row>
    <row r="81" spans="1:6" ht="24">
      <c r="A81" s="2255">
        <v>7</v>
      </c>
      <c r="B81" s="4672"/>
      <c r="C81" s="2235" t="s">
        <v>2544</v>
      </c>
      <c r="D81" s="2235" t="s">
        <v>2545</v>
      </c>
      <c r="E81" s="3061">
        <v>0.15</v>
      </c>
      <c r="F81" s="3062">
        <v>20</v>
      </c>
    </row>
    <row r="82" spans="1:6" ht="24">
      <c r="A82" s="2255">
        <v>8</v>
      </c>
      <c r="B82" s="4672"/>
      <c r="C82" s="2235" t="s">
        <v>2546</v>
      </c>
      <c r="D82" s="2235" t="s">
        <v>2547</v>
      </c>
      <c r="E82" s="3061">
        <v>0.1</v>
      </c>
      <c r="F82" s="3062">
        <v>15</v>
      </c>
    </row>
    <row r="83" spans="1:6" ht="24">
      <c r="A83" s="2255">
        <v>9</v>
      </c>
      <c r="B83" s="4672"/>
      <c r="C83" s="2235" t="s">
        <v>2548</v>
      </c>
      <c r="D83" s="2235" t="s">
        <v>2549</v>
      </c>
      <c r="E83" s="3061">
        <v>0.1</v>
      </c>
      <c r="F83" s="3062">
        <v>15</v>
      </c>
    </row>
    <row r="84" spans="1:6" ht="24">
      <c r="A84" s="2255">
        <v>10</v>
      </c>
      <c r="B84" s="4672"/>
      <c r="C84" s="2235" t="s">
        <v>2550</v>
      </c>
      <c r="D84" s="2235" t="s">
        <v>2551</v>
      </c>
      <c r="E84" s="3061">
        <v>0.1</v>
      </c>
      <c r="F84" s="3062">
        <v>15</v>
      </c>
    </row>
    <row r="85" spans="1:6" ht="24">
      <c r="A85" s="2255">
        <v>11</v>
      </c>
      <c r="B85" s="4672"/>
      <c r="C85" s="2235" t="s">
        <v>2552</v>
      </c>
      <c r="D85" s="2235" t="s">
        <v>2553</v>
      </c>
      <c r="E85" s="3061">
        <v>0.1</v>
      </c>
      <c r="F85" s="3062">
        <v>15</v>
      </c>
    </row>
    <row r="86" spans="1:6" ht="24">
      <c r="A86" s="2255">
        <v>12</v>
      </c>
      <c r="B86" s="4672"/>
      <c r="C86" s="2235" t="s">
        <v>2554</v>
      </c>
      <c r="D86" s="2235" t="s">
        <v>2555</v>
      </c>
      <c r="E86" s="3061">
        <v>0.1</v>
      </c>
      <c r="F86" s="3062">
        <v>15</v>
      </c>
    </row>
    <row r="87" spans="1:6" ht="13.5">
      <c r="A87" s="2255">
        <v>13</v>
      </c>
      <c r="B87" s="4672"/>
      <c r="C87" s="2235" t="s">
        <v>2556</v>
      </c>
      <c r="D87" s="2235" t="s">
        <v>2557</v>
      </c>
      <c r="E87" s="3061">
        <v>0.1</v>
      </c>
      <c r="F87" s="3062">
        <v>15</v>
      </c>
    </row>
    <row r="88" spans="1:6" ht="13.5">
      <c r="A88" s="2255">
        <v>14</v>
      </c>
      <c r="B88" s="4672"/>
      <c r="C88" s="2235" t="s">
        <v>2558</v>
      </c>
      <c r="D88" s="2235" t="s">
        <v>2559</v>
      </c>
      <c r="E88" s="3061">
        <v>0.1</v>
      </c>
      <c r="F88" s="3062">
        <v>15</v>
      </c>
    </row>
    <row r="89" spans="1:6" ht="13.5">
      <c r="A89" s="2255">
        <v>15</v>
      </c>
      <c r="B89" s="4672"/>
      <c r="C89" s="2235" t="s">
        <v>2560</v>
      </c>
      <c r="D89" s="2235" t="s">
        <v>2561</v>
      </c>
      <c r="E89" s="3061">
        <v>0.1</v>
      </c>
      <c r="F89" s="3062">
        <v>15</v>
      </c>
    </row>
    <row r="90" spans="1:6" ht="24">
      <c r="A90" s="2255">
        <v>16</v>
      </c>
      <c r="B90" s="4672"/>
      <c r="C90" s="2235" t="s">
        <v>2562</v>
      </c>
      <c r="D90" s="2235" t="s">
        <v>2563</v>
      </c>
      <c r="E90" s="3061">
        <v>0.1</v>
      </c>
      <c r="F90" s="3062">
        <v>15</v>
      </c>
    </row>
    <row r="91" spans="1:6" ht="24">
      <c r="A91" s="2255">
        <v>17</v>
      </c>
      <c r="B91" s="4671"/>
      <c r="C91" s="2235" t="s">
        <v>2564</v>
      </c>
      <c r="D91" s="2235" t="s">
        <v>2565</v>
      </c>
      <c r="E91" s="3061">
        <v>0.1</v>
      </c>
      <c r="F91" s="3062">
        <v>15</v>
      </c>
    </row>
    <row r="92" spans="1:6" ht="13.5">
      <c r="A92" s="2255">
        <v>18</v>
      </c>
      <c r="B92" s="4670" t="s">
        <v>2566</v>
      </c>
      <c r="C92" s="2235" t="s">
        <v>2567</v>
      </c>
      <c r="D92" s="2235" t="s">
        <v>2568</v>
      </c>
      <c r="E92" s="3061">
        <v>0.2</v>
      </c>
      <c r="F92" s="3062">
        <v>25</v>
      </c>
    </row>
    <row r="93" spans="1:6" ht="24">
      <c r="A93" s="2255">
        <v>19</v>
      </c>
      <c r="B93" s="4672"/>
      <c r="C93" s="2235" t="s">
        <v>2569</v>
      </c>
      <c r="D93" s="2235" t="s">
        <v>2570</v>
      </c>
      <c r="E93" s="3061">
        <v>0.2</v>
      </c>
      <c r="F93" s="3062">
        <v>25</v>
      </c>
    </row>
    <row r="94" spans="1:6" ht="13.5">
      <c r="A94" s="2255">
        <v>20</v>
      </c>
      <c r="B94" s="4672"/>
      <c r="C94" s="2235" t="s">
        <v>2571</v>
      </c>
      <c r="D94" s="2235" t="s">
        <v>2572</v>
      </c>
      <c r="E94" s="3061">
        <v>0.15</v>
      </c>
      <c r="F94" s="3062">
        <v>20</v>
      </c>
    </row>
    <row r="95" spans="1:6" ht="13.5">
      <c r="A95" s="2255">
        <v>21</v>
      </c>
      <c r="B95" s="4672"/>
      <c r="C95" s="2235" t="s">
        <v>2573</v>
      </c>
      <c r="D95" s="2235" t="s">
        <v>2574</v>
      </c>
      <c r="E95" s="3061">
        <v>0.15</v>
      </c>
      <c r="F95" s="3062">
        <v>20</v>
      </c>
    </row>
    <row r="96" spans="1:6" ht="13.5">
      <c r="A96" s="2255">
        <v>22</v>
      </c>
      <c r="B96" s="4672"/>
      <c r="C96" s="2235" t="s">
        <v>2575</v>
      </c>
      <c r="D96" s="2235" t="s">
        <v>2576</v>
      </c>
      <c r="E96" s="3061">
        <v>0.15</v>
      </c>
      <c r="F96" s="3062">
        <v>20</v>
      </c>
    </row>
    <row r="97" spans="1:6" ht="36">
      <c r="A97" s="2255">
        <v>23</v>
      </c>
      <c r="B97" s="4672"/>
      <c r="C97" s="2235" t="s">
        <v>2577</v>
      </c>
      <c r="D97" s="2235" t="s">
        <v>2578</v>
      </c>
      <c r="E97" s="3061">
        <v>0.15</v>
      </c>
      <c r="F97" s="3062">
        <v>20</v>
      </c>
    </row>
    <row r="98" spans="1:6" ht="13.5">
      <c r="A98" s="2255">
        <v>24</v>
      </c>
      <c r="B98" s="4672"/>
      <c r="C98" s="2235" t="s">
        <v>2579</v>
      </c>
      <c r="D98" s="2235" t="s">
        <v>2580</v>
      </c>
      <c r="E98" s="3061">
        <v>0.1</v>
      </c>
      <c r="F98" s="3062">
        <v>15</v>
      </c>
    </row>
    <row r="99" spans="1:6" ht="13.5">
      <c r="A99" s="2255">
        <v>25</v>
      </c>
      <c r="B99" s="4672"/>
      <c r="C99" s="2235" t="s">
        <v>2581</v>
      </c>
      <c r="D99" s="2235" t="s">
        <v>2582</v>
      </c>
      <c r="E99" s="3061">
        <v>0.1</v>
      </c>
      <c r="F99" s="3062">
        <v>15</v>
      </c>
    </row>
    <row r="100" spans="1:6" ht="24">
      <c r="A100" s="2255">
        <v>26</v>
      </c>
      <c r="B100" s="4672"/>
      <c r="C100" s="2235" t="s">
        <v>2583</v>
      </c>
      <c r="D100" s="2235" t="s">
        <v>2584</v>
      </c>
      <c r="E100" s="3061">
        <v>0.1</v>
      </c>
      <c r="F100" s="3062">
        <v>15</v>
      </c>
    </row>
    <row r="101" spans="1:6" ht="24">
      <c r="A101" s="2255">
        <v>27</v>
      </c>
      <c r="B101" s="4672"/>
      <c r="C101" s="2235" t="s">
        <v>2585</v>
      </c>
      <c r="D101" s="2235" t="s">
        <v>2586</v>
      </c>
      <c r="E101" s="3061">
        <v>0.1</v>
      </c>
      <c r="F101" s="3062">
        <v>15</v>
      </c>
    </row>
    <row r="102" spans="1:6" ht="13.5">
      <c r="A102" s="2255">
        <v>28</v>
      </c>
      <c r="B102" s="4672"/>
      <c r="C102" s="2235" t="s">
        <v>2587</v>
      </c>
      <c r="D102" s="2235" t="s">
        <v>2588</v>
      </c>
      <c r="E102" s="3061">
        <v>0.1</v>
      </c>
      <c r="F102" s="3062">
        <v>15</v>
      </c>
    </row>
    <row r="103" spans="1:6" ht="13.5">
      <c r="A103" s="2255">
        <v>29</v>
      </c>
      <c r="B103" s="4672"/>
      <c r="C103" s="2235" t="s">
        <v>2589</v>
      </c>
      <c r="D103" s="2235" t="s">
        <v>2590</v>
      </c>
      <c r="E103" s="3061">
        <v>0.1</v>
      </c>
      <c r="F103" s="3062">
        <v>15</v>
      </c>
    </row>
    <row r="104" spans="1:6" ht="13.5">
      <c r="A104" s="2255">
        <v>30</v>
      </c>
      <c r="B104" s="4672"/>
      <c r="C104" s="2235" t="s">
        <v>2591</v>
      </c>
      <c r="D104" s="2235" t="s">
        <v>2592</v>
      </c>
      <c r="E104" s="3061">
        <v>0.1</v>
      </c>
      <c r="F104" s="3062">
        <v>15</v>
      </c>
    </row>
    <row r="105" spans="1:6" ht="24">
      <c r="A105" s="2255">
        <v>31</v>
      </c>
      <c r="B105" s="4672"/>
      <c r="C105" s="2235" t="s">
        <v>2593</v>
      </c>
      <c r="D105" s="2235" t="s">
        <v>2594</v>
      </c>
      <c r="E105" s="3061">
        <v>0.1</v>
      </c>
      <c r="F105" s="3062">
        <v>15</v>
      </c>
    </row>
    <row r="106" spans="1:6" ht="24">
      <c r="A106" s="2255">
        <v>32</v>
      </c>
      <c r="B106" s="4672"/>
      <c r="C106" s="2235" t="s">
        <v>2595</v>
      </c>
      <c r="D106" s="2235" t="s">
        <v>2596</v>
      </c>
      <c r="E106" s="3061">
        <v>0.1</v>
      </c>
      <c r="F106" s="3062">
        <v>15</v>
      </c>
    </row>
    <row r="107" spans="1:6" ht="24">
      <c r="A107" s="2255">
        <v>33</v>
      </c>
      <c r="B107" s="4672"/>
      <c r="C107" s="2235" t="s">
        <v>2597</v>
      </c>
      <c r="D107" s="2235" t="s">
        <v>2598</v>
      </c>
      <c r="E107" s="3061">
        <v>0.1</v>
      </c>
      <c r="F107" s="3062">
        <v>15</v>
      </c>
    </row>
    <row r="108" spans="1:6" ht="24">
      <c r="A108" s="2255">
        <v>34</v>
      </c>
      <c r="B108" s="4671"/>
      <c r="C108" s="2235" t="s">
        <v>2599</v>
      </c>
      <c r="D108" s="2235" t="s">
        <v>2600</v>
      </c>
      <c r="E108" s="3061">
        <v>0.1</v>
      </c>
      <c r="F108" s="3062">
        <v>15</v>
      </c>
    </row>
    <row r="109" spans="1:6" ht="24">
      <c r="A109" s="2255">
        <v>35</v>
      </c>
      <c r="B109" s="4670" t="s">
        <v>2601</v>
      </c>
      <c r="C109" s="2255" t="s">
        <v>2602</v>
      </c>
      <c r="D109" s="2235" t="s">
        <v>2603</v>
      </c>
      <c r="E109" s="3061">
        <v>0.15</v>
      </c>
      <c r="F109" s="3062">
        <v>20</v>
      </c>
    </row>
    <row r="110" spans="1:6" ht="13.5">
      <c r="A110" s="2255">
        <v>36</v>
      </c>
      <c r="B110" s="4672"/>
      <c r="C110" s="2255" t="s">
        <v>2604</v>
      </c>
      <c r="D110" s="2235" t="s">
        <v>2605</v>
      </c>
      <c r="E110" s="3061">
        <v>0.15</v>
      </c>
      <c r="F110" s="3062">
        <v>20</v>
      </c>
    </row>
    <row r="111" spans="1:6" ht="13.5">
      <c r="A111" s="2255">
        <v>37</v>
      </c>
      <c r="B111" s="4672"/>
      <c r="C111" s="2255" t="s">
        <v>2606</v>
      </c>
      <c r="D111" s="2235" t="s">
        <v>2607</v>
      </c>
      <c r="E111" s="3061">
        <v>0.15</v>
      </c>
      <c r="F111" s="3062">
        <v>20</v>
      </c>
    </row>
    <row r="112" spans="1:6" ht="13.5">
      <c r="A112" s="2255">
        <v>38</v>
      </c>
      <c r="B112" s="4672"/>
      <c r="C112" s="2255" t="s">
        <v>2608</v>
      </c>
      <c r="D112" s="2235" t="s">
        <v>2609</v>
      </c>
      <c r="E112" s="3061">
        <v>0.1</v>
      </c>
      <c r="F112" s="3062">
        <v>15</v>
      </c>
    </row>
    <row r="113" spans="1:6" ht="24">
      <c r="A113" s="2255">
        <v>39</v>
      </c>
      <c r="B113" s="4672"/>
      <c r="C113" s="2255" t="s">
        <v>2610</v>
      </c>
      <c r="D113" s="2235" t="s">
        <v>2611</v>
      </c>
      <c r="E113" s="3061">
        <v>0.1</v>
      </c>
      <c r="F113" s="3062">
        <v>15</v>
      </c>
    </row>
    <row r="114" spans="1:6" ht="24">
      <c r="A114" s="2255">
        <v>40</v>
      </c>
      <c r="B114" s="4671"/>
      <c r="C114" s="2255" t="s">
        <v>2612</v>
      </c>
      <c r="D114" s="2235" t="s">
        <v>2613</v>
      </c>
      <c r="E114" s="3061">
        <v>0.1</v>
      </c>
      <c r="F114" s="3062">
        <v>15</v>
      </c>
    </row>
    <row r="115" spans="1:6" ht="13.5">
      <c r="A115" s="2255">
        <v>41</v>
      </c>
      <c r="B115" s="4669" t="s">
        <v>2614</v>
      </c>
      <c r="C115" s="2255" t="s">
        <v>2615</v>
      </c>
      <c r="D115" s="2235" t="s">
        <v>2616</v>
      </c>
      <c r="E115" s="3061">
        <v>0.1</v>
      </c>
      <c r="F115" s="3062">
        <v>15</v>
      </c>
    </row>
    <row r="116" spans="1:6" ht="13.5">
      <c r="A116" s="2255">
        <v>42</v>
      </c>
      <c r="B116" s="4669"/>
      <c r="C116" s="2255" t="s">
        <v>2617</v>
      </c>
      <c r="D116" s="2235" t="s">
        <v>2618</v>
      </c>
      <c r="E116" s="3061">
        <v>0.1</v>
      </c>
      <c r="F116" s="3062">
        <v>15</v>
      </c>
    </row>
    <row r="117" spans="1:6" ht="24">
      <c r="A117" s="2255">
        <v>43</v>
      </c>
      <c r="B117" s="4669"/>
      <c r="C117" s="2255" t="s">
        <v>2619</v>
      </c>
      <c r="D117" s="2235" t="s">
        <v>2620</v>
      </c>
      <c r="E117" s="3061">
        <v>0.1</v>
      </c>
      <c r="F117" s="3062">
        <v>15</v>
      </c>
    </row>
    <row r="118" spans="1:6" ht="13.5">
      <c r="A118" s="2255">
        <v>44</v>
      </c>
      <c r="B118" s="4670" t="s">
        <v>2621</v>
      </c>
      <c r="C118" s="2255" t="s">
        <v>2622</v>
      </c>
      <c r="D118" s="2235" t="s">
        <v>2623</v>
      </c>
      <c r="E118" s="3061">
        <v>0.1</v>
      </c>
      <c r="F118" s="3062">
        <v>15</v>
      </c>
    </row>
    <row r="119" spans="1:6" ht="24">
      <c r="A119" s="2255">
        <v>45</v>
      </c>
      <c r="B119" s="4671"/>
      <c r="C119" s="2235" t="s">
        <v>2624</v>
      </c>
      <c r="D119" s="2235" t="s">
        <v>2625</v>
      </c>
      <c r="E119" s="3061">
        <v>0.1</v>
      </c>
      <c r="F119" s="3062">
        <v>15</v>
      </c>
    </row>
    <row r="120" spans="1:6" ht="24">
      <c r="A120" s="2255">
        <v>46</v>
      </c>
      <c r="B120" s="4670" t="s">
        <v>2626</v>
      </c>
      <c r="C120" s="2255" t="s">
        <v>2627</v>
      </c>
      <c r="D120" s="2235" t="s">
        <v>2628</v>
      </c>
      <c r="E120" s="3061">
        <v>0.1</v>
      </c>
      <c r="F120" s="3062">
        <v>15</v>
      </c>
    </row>
    <row r="121" spans="1:6" ht="24">
      <c r="A121" s="2255">
        <v>47</v>
      </c>
      <c r="B121" s="4671"/>
      <c r="C121" s="2255" t="s">
        <v>2629</v>
      </c>
      <c r="D121" s="2235" t="s">
        <v>2630</v>
      </c>
      <c r="E121" s="3061">
        <v>0.1</v>
      </c>
      <c r="F121" s="3062">
        <v>15</v>
      </c>
    </row>
    <row r="122" spans="1:6" ht="13.5">
      <c r="A122" s="2255">
        <v>48</v>
      </c>
      <c r="B122" s="4670" t="s">
        <v>2631</v>
      </c>
      <c r="C122" s="2255" t="s">
        <v>2632</v>
      </c>
      <c r="D122" s="2235" t="s">
        <v>2633</v>
      </c>
      <c r="E122" s="3061">
        <v>0.1</v>
      </c>
      <c r="F122" s="3062">
        <v>15</v>
      </c>
    </row>
    <row r="123" spans="1:6" ht="13.5">
      <c r="A123" s="2255">
        <v>49</v>
      </c>
      <c r="B123" s="4671"/>
      <c r="C123" s="2255" t="s">
        <v>2634</v>
      </c>
      <c r="D123" s="2235" t="s">
        <v>2635</v>
      </c>
      <c r="E123" s="3061">
        <v>0.1</v>
      </c>
      <c r="F123" s="3062">
        <v>15</v>
      </c>
    </row>
    <row r="124" spans="1:6" ht="24">
      <c r="A124" s="2255">
        <v>50</v>
      </c>
      <c r="B124" s="4669" t="s">
        <v>2636</v>
      </c>
      <c r="C124" s="2255" t="s">
        <v>2637</v>
      </c>
      <c r="D124" s="2235" t="s">
        <v>2638</v>
      </c>
      <c r="E124" s="3061">
        <v>0.1</v>
      </c>
      <c r="F124" s="3062">
        <v>15</v>
      </c>
    </row>
    <row r="125" spans="1:6" ht="24">
      <c r="A125" s="2255">
        <v>51</v>
      </c>
      <c r="B125" s="4669"/>
      <c r="C125" s="2255" t="s">
        <v>2639</v>
      </c>
      <c r="D125" s="2235" t="s">
        <v>2640</v>
      </c>
      <c r="E125" s="3061">
        <v>0.1</v>
      </c>
      <c r="F125" s="3062">
        <v>15</v>
      </c>
    </row>
    <row r="126" spans="1:6" ht="24">
      <c r="A126" s="2255">
        <v>52</v>
      </c>
      <c r="B126" s="4669" t="s">
        <v>2641</v>
      </c>
      <c r="C126" s="2255" t="s">
        <v>2642</v>
      </c>
      <c r="D126" s="2235" t="s">
        <v>2643</v>
      </c>
      <c r="E126" s="3061">
        <v>0.1</v>
      </c>
      <c r="F126" s="3062">
        <v>15</v>
      </c>
    </row>
    <row r="127" spans="1:6" ht="24">
      <c r="A127" s="2255">
        <v>53</v>
      </c>
      <c r="B127" s="4669"/>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69" t="s">
        <v>2649</v>
      </c>
      <c r="C129" s="2255" t="s">
        <v>2650</v>
      </c>
      <c r="D129" s="2235" t="s">
        <v>2651</v>
      </c>
      <c r="E129" s="3061">
        <v>0.1</v>
      </c>
      <c r="F129" s="3062">
        <v>15</v>
      </c>
    </row>
    <row r="130" spans="1:6" ht="13.5">
      <c r="A130" s="2255">
        <v>56</v>
      </c>
      <c r="B130" s="4669"/>
      <c r="C130" s="2255" t="s">
        <v>2652</v>
      </c>
      <c r="D130" s="2235" t="s">
        <v>2653</v>
      </c>
      <c r="E130" s="3061">
        <v>0.1</v>
      </c>
      <c r="F130" s="3062">
        <v>15</v>
      </c>
    </row>
    <row r="131" spans="1:6" ht="24">
      <c r="A131" s="2255">
        <v>57</v>
      </c>
      <c r="B131" s="4669"/>
      <c r="C131" s="2255" t="s">
        <v>2654</v>
      </c>
      <c r="D131" s="2235" t="s">
        <v>2655</v>
      </c>
      <c r="E131" s="3061">
        <v>0.1</v>
      </c>
      <c r="F131" s="3062">
        <v>15</v>
      </c>
    </row>
    <row r="132" spans="1:6" ht="24">
      <c r="A132" s="2255">
        <v>58</v>
      </c>
      <c r="B132" s="4669" t="s">
        <v>2656</v>
      </c>
      <c r="C132" s="2255" t="s">
        <v>2657</v>
      </c>
      <c r="D132" s="2235" t="s">
        <v>2658</v>
      </c>
      <c r="E132" s="3061">
        <v>0.1</v>
      </c>
      <c r="F132" s="3062">
        <v>15</v>
      </c>
    </row>
    <row r="133" spans="1:6" ht="13.5">
      <c r="A133" s="2255">
        <v>59</v>
      </c>
      <c r="B133" s="4669"/>
      <c r="C133" s="2255" t="s">
        <v>2659</v>
      </c>
      <c r="D133" s="2235" t="s">
        <v>2660</v>
      </c>
      <c r="E133" s="3061">
        <v>0.1</v>
      </c>
      <c r="F133" s="3062">
        <v>15</v>
      </c>
    </row>
    <row r="134" spans="1:6" ht="13.5">
      <c r="A134" s="2255">
        <v>60</v>
      </c>
      <c r="B134" s="4670" t="s">
        <v>2661</v>
      </c>
      <c r="C134" s="2255" t="s">
        <v>2662</v>
      </c>
      <c r="D134" s="2235" t="s">
        <v>2663</v>
      </c>
      <c r="E134" s="3061">
        <v>0.1</v>
      </c>
      <c r="F134" s="3062">
        <v>15</v>
      </c>
    </row>
    <row r="135" spans="1:6" ht="13.5">
      <c r="A135" s="2255">
        <v>61</v>
      </c>
      <c r="B135" s="4671"/>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69" t="s">
        <v>2669</v>
      </c>
      <c r="C137" s="2255" t="s">
        <v>2670</v>
      </c>
      <c r="D137" s="2235" t="s">
        <v>2671</v>
      </c>
      <c r="E137" s="3061">
        <v>0.1</v>
      </c>
      <c r="F137" s="3062">
        <v>15</v>
      </c>
    </row>
    <row r="138" spans="1:6" ht="13.5">
      <c r="A138" s="2255">
        <v>64</v>
      </c>
      <c r="B138" s="4669"/>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C104" sqref="C104:N104"/>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25825</v>
      </c>
      <c r="C2" s="2" t="s">
        <v>104</v>
      </c>
      <c r="D2" s="94"/>
      <c r="E2" s="94"/>
      <c r="F2" s="94"/>
      <c r="G2" s="94"/>
    </row>
    <row r="3" spans="1:7" s="95" customFormat="1" ht="18" customHeight="1" thickBot="1">
      <c r="A3" s="98" t="s">
        <v>56</v>
      </c>
      <c r="B3" s="99">
        <f ca="1">ROUND(B2*10000/'数据-汇总表'!E3,0)</f>
        <v>4774450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1</v>
      </c>
      <c r="D10" s="538">
        <f>'数据-汇总表'!E6</f>
        <v>54.09</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54.09</v>
      </c>
      <c r="E19" s="106">
        <f>'数据-取费表'!B31</f>
        <v>120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54.09</v>
      </c>
      <c r="E37" s="144">
        <f>'数据-取费表'!B35</f>
        <v>300</v>
      </c>
      <c r="F37" s="154"/>
      <c r="G37" s="156" t="s">
        <v>90</v>
      </c>
    </row>
    <row r="38" spans="1:7" ht="13.5" customHeight="1">
      <c r="A38" s="513" t="s">
        <v>352</v>
      </c>
      <c r="B38" s="110" t="s">
        <v>34</v>
      </c>
      <c r="C38" s="115">
        <f>ROUND(C34*F38,0)</f>
        <v>0</v>
      </c>
      <c r="D38" s="115"/>
      <c r="E38" s="115"/>
      <c r="F38" s="154">
        <f>'数据-取费表'!B36</f>
        <v>1.4999999999999999E-2</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75" t="s">
        <v>92</v>
      </c>
    </row>
    <row r="43" spans="1:7" ht="13.5" customHeight="1">
      <c r="A43" s="513" t="s">
        <v>345</v>
      </c>
      <c r="B43" s="110" t="s">
        <v>420</v>
      </c>
      <c r="C43" s="133">
        <f ca="1">ROUND(IF('数据-取费表'!B22&lt;=1,C39*F22*'数据-取费表'!B21/2,C39*(POWER((1+F22),'数据-取费表'!B21/2)-1)),0)</f>
        <v>0</v>
      </c>
      <c r="D43" s="133"/>
      <c r="E43" s="133"/>
      <c r="F43" s="134"/>
      <c r="G43" s="4477"/>
    </row>
    <row r="44" spans="1:7" ht="13.5" customHeight="1">
      <c r="A44" s="513" t="s">
        <v>346</v>
      </c>
      <c r="B44" s="110" t="s">
        <v>422</v>
      </c>
      <c r="C44" s="133">
        <f ca="1">ROUND(IF('数据-取费表'!B22&lt;=1,C40*F22*'数据-取费表'!B21/2,C40*(POWER((1+F22),'数据-取费表'!B21/2)-1)),4)</f>
        <v>2.9999999999999997E-4</v>
      </c>
      <c r="D44" s="133"/>
      <c r="E44" s="133"/>
      <c r="F44" s="134"/>
      <c r="G44" s="4476"/>
    </row>
    <row r="45" spans="1:7" s="109" customFormat="1" ht="13.5" customHeight="1">
      <c r="A45" s="510" t="s">
        <v>339</v>
      </c>
      <c r="B45" s="139" t="s">
        <v>83</v>
      </c>
      <c r="C45" s="140">
        <f>C46</f>
        <v>3</v>
      </c>
      <c r="D45" s="130">
        <f>C47</f>
        <v>1.5E-3</v>
      </c>
      <c r="E45" s="131" t="s">
        <v>100</v>
      </c>
      <c r="F45" s="141"/>
      <c r="G45" s="142" t="s">
        <v>428</v>
      </c>
    </row>
    <row r="46" spans="1:7" s="109" customFormat="1" ht="13.5" customHeight="1">
      <c r="A46" s="513" t="s">
        <v>347</v>
      </c>
      <c r="B46" s="143" t="s">
        <v>421</v>
      </c>
      <c r="C46" s="144">
        <f>ROUND((C33+C39)*F27,0)</f>
        <v>3</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27</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22</v>
      </c>
      <c r="D51" s="127"/>
      <c r="E51" s="127"/>
      <c r="F51" s="159"/>
      <c r="G51" s="129" t="s">
        <v>35</v>
      </c>
    </row>
    <row r="52" spans="1:7" s="103" customFormat="1" ht="16.5" thickBot="1">
      <c r="A52" s="160" t="s">
        <v>36</v>
      </c>
      <c r="B52" s="161"/>
      <c r="C52" s="162">
        <f ca="1">C31+C51</f>
        <v>25825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104" sqref="C104:N104"/>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83" t="s">
        <v>3061</v>
      </c>
      <c r="B1" s="4683"/>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04" sqref="C104:N104"/>
    </sheetView>
  </sheetViews>
  <sheetFormatPr defaultColWidth="13.25" defaultRowHeight="13.5"/>
  <cols>
    <col min="1" max="16384" width="13.25" style="2228"/>
  </cols>
  <sheetData>
    <row r="1" spans="1:6">
      <c r="A1" s="4684" t="s">
        <v>3112</v>
      </c>
      <c r="B1" s="4684"/>
      <c r="C1" s="4684"/>
      <c r="D1" s="4684"/>
      <c r="E1" s="4684"/>
      <c r="F1" s="4685"/>
    </row>
    <row r="2" spans="1:6">
      <c r="A2" s="2387" t="s">
        <v>3113</v>
      </c>
    </row>
    <row r="3" spans="1:6">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104" sqref="C104:N104"/>
    </sheetView>
  </sheetViews>
  <sheetFormatPr defaultRowHeight="13.5"/>
  <cols>
    <col min="1" max="1" width="13.875" customWidth="1"/>
    <col min="11" max="17" width="9" customWidth="1"/>
    <col min="25" max="30" width="0" hidden="1" customWidth="1"/>
  </cols>
  <sheetData>
    <row r="1" spans="1:44">
      <c r="A1" s="2326">
        <f>基准地价修正!G23</f>
        <v>46092</v>
      </c>
      <c r="B1" s="2318" t="s">
        <v>3255</v>
      </c>
      <c r="C1" s="2319"/>
      <c r="D1" s="2319"/>
      <c r="E1" s="2319"/>
      <c r="F1" s="2319"/>
      <c r="G1" s="2319"/>
      <c r="H1" s="2319"/>
      <c r="I1" s="2319"/>
      <c r="J1" s="2293"/>
      <c r="K1" s="2319" t="s">
        <v>448</v>
      </c>
      <c r="L1" s="2319"/>
      <c r="M1" s="2319"/>
      <c r="N1" s="2319"/>
      <c r="O1" s="2319"/>
      <c r="P1" s="2319"/>
      <c r="Q1" s="2293"/>
      <c r="R1" s="4686" t="s">
        <v>450</v>
      </c>
      <c r="S1" s="4687"/>
      <c r="T1" s="4687"/>
      <c r="U1" s="4687"/>
      <c r="V1" s="4687"/>
      <c r="W1" s="4687"/>
      <c r="X1" s="2293"/>
      <c r="Y1" s="4686" t="s">
        <v>451</v>
      </c>
      <c r="Z1" s="4687"/>
      <c r="AA1" s="4687"/>
      <c r="AB1" s="4687"/>
      <c r="AC1" s="4687"/>
      <c r="AD1" s="4687"/>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86" t="s">
        <v>2707</v>
      </c>
      <c r="S33" s="4687"/>
      <c r="T33" s="4687"/>
      <c r="U33" s="4687"/>
      <c r="V33" s="4687"/>
      <c r="W33" s="4687"/>
      <c r="X33" s="2293"/>
      <c r="Y33" s="4686" t="s">
        <v>2708</v>
      </c>
      <c r="Z33" s="4687"/>
      <c r="AA33" s="4687"/>
      <c r="AB33" s="4687"/>
      <c r="AC33" s="4687"/>
      <c r="AD33" s="4687"/>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104" sqref="C104:N104"/>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1" t="s">
        <v>446</v>
      </c>
      <c r="C1" s="4691"/>
      <c r="D1" s="4691"/>
      <c r="E1" s="4691"/>
      <c r="F1" s="4691"/>
      <c r="G1" s="4687" t="s">
        <v>447</v>
      </c>
      <c r="H1" s="4687"/>
      <c r="I1" s="4687"/>
      <c r="J1" s="4687"/>
      <c r="K1" s="4687"/>
      <c r="L1" s="4687"/>
      <c r="N1" s="4687" t="s">
        <v>448</v>
      </c>
      <c r="O1" s="4687"/>
      <c r="P1" s="4687"/>
      <c r="Q1" s="4687"/>
      <c r="S1" s="4687" t="s">
        <v>449</v>
      </c>
      <c r="T1" s="4687"/>
      <c r="U1" s="4687"/>
      <c r="V1" s="4687"/>
      <c r="X1" s="4686" t="s">
        <v>450</v>
      </c>
      <c r="Y1" s="4687"/>
      <c r="Z1" s="4687"/>
      <c r="AA1" s="4687"/>
      <c r="AB1" s="4687"/>
      <c r="AD1" s="4686" t="s">
        <v>451</v>
      </c>
      <c r="AE1" s="4687"/>
      <c r="AF1" s="4687"/>
      <c r="AG1" s="4687"/>
      <c r="AH1" s="4687"/>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9">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9"/>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9"/>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6"/>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2">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9"/>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9"/>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6"/>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2">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9"/>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9"/>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0"/>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8">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9"/>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9"/>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0"/>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8">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9"/>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9"/>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0"/>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3">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4"/>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4"/>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5"/>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8">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9"/>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9"/>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0"/>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8">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9">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9">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0">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8">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9">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9">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0">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8">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9">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9">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0">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8">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9">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9">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0">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8">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9">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9">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0">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8">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9">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9">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0">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8">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9">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9">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0">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8">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9">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9">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0">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8">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9">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9">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0">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8">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9">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9">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0">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8" sqref="K8"/>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99" t="s">
        <v>2719</v>
      </c>
      <c r="B1" s="4699"/>
      <c r="C1" s="4699"/>
      <c r="D1" s="4699"/>
      <c r="E1" s="4699"/>
      <c r="F1" s="4699"/>
      <c r="G1" s="4700"/>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697"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698"/>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8" t="str">
        <f>IF(项目基本情况!B9="房地产市场价值","估价结果一览表","结果表-2")</f>
        <v>结果表-2</v>
      </c>
      <c r="B1" s="4278"/>
      <c r="C1" s="4278"/>
      <c r="D1" s="4278"/>
      <c r="E1" s="4278"/>
      <c r="F1" s="4278"/>
      <c r="G1" s="4278"/>
      <c r="H1" s="4278"/>
      <c r="I1" s="4278"/>
    </row>
    <row r="2" spans="1:9" ht="30" customHeight="1" thickTop="1">
      <c r="A2" s="4279" t="s">
        <v>912</v>
      </c>
      <c r="B2" s="4279" t="s">
        <v>913</v>
      </c>
      <c r="C2" s="4279" t="s">
        <v>914</v>
      </c>
      <c r="D2" s="4279" t="str">
        <f>结果表!D116</f>
        <v>出让国有建设用地使用权价值</v>
      </c>
      <c r="E2" s="4279"/>
      <c r="F2" s="4279">
        <f>结果表!F116</f>
        <v>0</v>
      </c>
      <c r="G2" s="4279"/>
      <c r="H2" s="4279" t="str">
        <f>IF(项目基本情况!B9="房地产市场价值","房地产市场价值","房地产价值")</f>
        <v>房地产价值</v>
      </c>
      <c r="I2" s="4279"/>
    </row>
    <row r="3" spans="1:9" ht="15">
      <c r="A3" s="4274"/>
      <c r="B3" s="4274"/>
      <c r="C3" s="4274"/>
      <c r="D3" s="544" t="s">
        <v>909</v>
      </c>
      <c r="E3" s="544" t="s">
        <v>915</v>
      </c>
      <c r="F3" s="544" t="s">
        <v>909</v>
      </c>
      <c r="G3" s="544" t="s">
        <v>910</v>
      </c>
      <c r="H3" s="544" t="s">
        <v>909</v>
      </c>
      <c r="I3" s="544" t="s">
        <v>910</v>
      </c>
    </row>
    <row r="4" spans="1:9" ht="15">
      <c r="A4" s="1047" t="str">
        <f>项目基本情况!S2</f>
        <v>北京市房地产</v>
      </c>
      <c r="B4" s="544">
        <f>项目基本情况!C17</f>
        <v>54.09</v>
      </c>
      <c r="C4" s="544">
        <f>项目基本情况!C18</f>
        <v>0</v>
      </c>
      <c r="D4" s="544">
        <f ca="1">结果表!E118</f>
        <v>46</v>
      </c>
      <c r="E4" s="544">
        <f ca="1">结果表!D118</f>
        <v>18724</v>
      </c>
      <c r="F4" s="544">
        <f ca="1">结果表!G118</f>
        <v>55</v>
      </c>
      <c r="G4" s="544">
        <f>结果表!F118</f>
        <v>0</v>
      </c>
      <c r="H4" s="544">
        <f ca="1">结果表!I118</f>
        <v>101.27809999999999</v>
      </c>
      <c r="I4" s="544">
        <f ca="1">结果表!H118</f>
        <v>18724</v>
      </c>
    </row>
    <row r="5" spans="1:9" ht="30" customHeight="1">
      <c r="A5" s="4274" t="s">
        <v>911</v>
      </c>
      <c r="B5" s="4274"/>
      <c r="C5" s="4274"/>
      <c r="D5" s="4274" t="str">
        <f ca="1">结果表!D119</f>
        <v>肆拾陆万元整</v>
      </c>
      <c r="E5" s="4274"/>
      <c r="F5" s="4274" t="str">
        <f ca="1">结果表!F119</f>
        <v>伍拾伍万元整</v>
      </c>
      <c r="G5" s="4274"/>
      <c r="H5" s="4274" t="str">
        <f ca="1">结果表!H119</f>
        <v>壹佰零壹万贰仟柒佰捌拾壹元整</v>
      </c>
      <c r="I5" s="4274"/>
    </row>
    <row r="6" spans="1:9" ht="15.75">
      <c r="A6" s="4273" t="str">
        <f>结果表!A120</f>
        <v>估价师知悉的法定优先受偿款</v>
      </c>
      <c r="B6" s="4273"/>
      <c r="C6" s="4273"/>
      <c r="D6" s="4273">
        <f>结果表!H120</f>
        <v>0</v>
      </c>
      <c r="E6" s="4273"/>
      <c r="F6" s="4273"/>
      <c r="G6" s="4273"/>
      <c r="H6" s="4273"/>
      <c r="I6" s="4273"/>
    </row>
    <row r="7" spans="1:9" ht="15">
      <c r="A7" s="4274" t="s">
        <v>911</v>
      </c>
      <c r="B7" s="4274"/>
      <c r="C7" s="4274"/>
      <c r="D7" s="4275" t="str">
        <f>结果表!H121</f>
        <v>零元整</v>
      </c>
      <c r="E7" s="4276"/>
      <c r="F7" s="4276"/>
      <c r="G7" s="4276"/>
      <c r="H7" s="4276"/>
      <c r="I7" s="4277"/>
    </row>
    <row r="8" spans="1:9" ht="15.75">
      <c r="A8" s="4273" t="str">
        <f>结果表!A122</f>
        <v>房地产抵押价值</v>
      </c>
      <c r="B8" s="4273"/>
      <c r="C8" s="4273"/>
      <c r="D8" s="4273">
        <f ca="1">结果表!H122</f>
        <v>101.27809999999999</v>
      </c>
      <c r="E8" s="4273"/>
      <c r="F8" s="4273"/>
      <c r="G8" s="4273"/>
      <c r="H8" s="4273"/>
      <c r="I8" s="4273"/>
    </row>
    <row r="9" spans="1:9" ht="15">
      <c r="A9" s="4274" t="s">
        <v>911</v>
      </c>
      <c r="B9" s="4274"/>
      <c r="C9" s="4274"/>
      <c r="D9" s="4274" t="str">
        <f ca="1">结果表!H123</f>
        <v>壹佰零壹万贰仟柒佰捌拾壹元整</v>
      </c>
      <c r="E9" s="4274"/>
      <c r="F9" s="4274"/>
      <c r="G9" s="4274"/>
      <c r="H9" s="4274"/>
      <c r="I9" s="4274"/>
    </row>
    <row r="10" spans="1:9" ht="15.75">
      <c r="A10" s="4273" t="str">
        <f>结果表!A124</f>
        <v/>
      </c>
      <c r="B10" s="4273"/>
      <c r="C10" s="4273"/>
      <c r="D10" s="4273" t="str">
        <f>结果表!H124</f>
        <v>——</v>
      </c>
      <c r="E10" s="4273"/>
      <c r="F10" s="4273"/>
      <c r="G10" s="4273"/>
      <c r="H10" s="4273"/>
      <c r="I10" s="4273"/>
    </row>
    <row r="11" spans="1:9" ht="15">
      <c r="A11" s="4274" t="s">
        <v>911</v>
      </c>
      <c r="B11" s="4274"/>
      <c r="C11" s="4274"/>
      <c r="D11" s="4274" t="e">
        <f>结果表!H125</f>
        <v>#VALUE!</v>
      </c>
      <c r="E11" s="4274"/>
      <c r="F11" s="4274"/>
      <c r="G11" s="4274"/>
      <c r="H11" s="4274"/>
      <c r="I11" s="4274"/>
    </row>
    <row r="12" spans="1:9" ht="15.75">
      <c r="A12" s="4273" t="str">
        <f>结果表!A126</f>
        <v/>
      </c>
      <c r="B12" s="4273"/>
      <c r="C12" s="4273"/>
      <c r="D12" s="4273" t="str">
        <f>结果表!H126</f>
        <v>——</v>
      </c>
      <c r="E12" s="4273"/>
      <c r="F12" s="4273"/>
      <c r="G12" s="4273"/>
      <c r="H12" s="4273"/>
      <c r="I12" s="4273"/>
    </row>
    <row r="13" spans="1:9" ht="15.75" thickBot="1">
      <c r="A13" s="4271" t="s">
        <v>911</v>
      </c>
      <c r="B13" s="4271"/>
      <c r="C13" s="4271"/>
      <c r="D13" s="4271" t="e">
        <f>结果表!H127</f>
        <v>#VALUE!</v>
      </c>
      <c r="E13" s="4271"/>
      <c r="F13" s="4271"/>
      <c r="G13" s="4271"/>
      <c r="H13" s="4271"/>
      <c r="I13" s="4271"/>
    </row>
    <row r="14" spans="1:9" ht="15" thickTop="1">
      <c r="A14" s="4272" t="s">
        <v>916</v>
      </c>
      <c r="B14" s="4272"/>
      <c r="C14" s="4272"/>
      <c r="D14" s="4272"/>
      <c r="E14" s="4272"/>
      <c r="F14" s="4272"/>
      <c r="G14" s="4272"/>
      <c r="H14" s="4272"/>
      <c r="I14" s="4272"/>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46092</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6" t="s">
        <v>933</v>
      </c>
      <c r="B1" s="4286"/>
      <c r="C1" s="4286"/>
      <c r="D1" s="4286"/>
    </row>
    <row r="2" spans="1:4" ht="18">
      <c r="A2" s="4287" t="s">
        <v>917</v>
      </c>
      <c r="B2" s="4287"/>
      <c r="C2" s="4287"/>
      <c r="D2" s="4287"/>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7" t="s">
        <v>923</v>
      </c>
      <c r="B6" s="4287"/>
      <c r="C6" s="4287"/>
      <c r="D6" s="4287"/>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8" t="s">
        <v>926</v>
      </c>
      <c r="B11" s="4280"/>
      <c r="C11" s="4280"/>
      <c r="D11" s="4280"/>
    </row>
    <row r="12" spans="1:4" ht="15.75">
      <c r="A12" s="4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5"/>
      <c r="C12" s="4285"/>
      <c r="D12" s="4285"/>
    </row>
    <row r="13" spans="1:4" ht="30" customHeight="1">
      <c r="A13" s="4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5"/>
      <c r="C13" s="4285"/>
      <c r="D13" s="4285"/>
    </row>
    <row r="14" spans="1:4" ht="15.75" customHeight="1">
      <c r="A14" s="4280" t="str">
        <f>IF(项目基本情况!B8="抵押","4.本次评估估价师所知悉的法定优先受偿款情况说明如下：","——")</f>
        <v>4.本次评估估价师所知悉的法定优先受偿款情况说明如下：</v>
      </c>
      <c r="B14" s="4285"/>
      <c r="C14" s="4285"/>
      <c r="D14" s="4285"/>
    </row>
    <row r="15" spans="1:4" ht="42" customHeight="1">
      <c r="A15" s="4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0"/>
      <c r="C15" s="4280"/>
      <c r="D15" s="4280"/>
    </row>
    <row r="16" spans="1:4" ht="30" customHeight="1">
      <c r="A16" s="4282" t="s">
        <v>927</v>
      </c>
      <c r="B16" s="4282"/>
      <c r="C16" s="4282"/>
      <c r="D16" s="4282"/>
    </row>
    <row r="17" spans="1:4" ht="144" customHeight="1">
      <c r="A17" s="4282" t="s">
        <v>928</v>
      </c>
      <c r="B17" s="4282"/>
      <c r="C17" s="4282"/>
      <c r="D17" s="4282"/>
    </row>
    <row r="18" spans="1:4" ht="15.75" customHeight="1">
      <c r="A18" s="4280" t="str">
        <f>IF(项目基本情况!B8="抵押",结果表!K120,"——")</f>
        <v>故，本次评估不存在估价师知悉的法定优先受偿款</v>
      </c>
      <c r="B18" s="4280"/>
      <c r="C18" s="4280"/>
      <c r="D18" s="4280"/>
    </row>
    <row r="19" spans="1:4" ht="46.5" customHeight="1">
      <c r="A19" s="4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0"/>
      <c r="C19" s="4280"/>
      <c r="D19" s="4280"/>
    </row>
    <row r="20" spans="1:4" ht="57.75" customHeight="1">
      <c r="A20" s="4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0"/>
      <c r="C20" s="4280"/>
      <c r="D20" s="4280"/>
    </row>
    <row r="21" spans="1:4" ht="57.75" customHeight="1">
      <c r="A21" s="4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3"/>
      <c r="C21" s="4283"/>
      <c r="D21" s="4283"/>
    </row>
    <row r="22" spans="1:4" ht="18.75" customHeight="1">
      <c r="A22" s="4284" t="s">
        <v>929</v>
      </c>
      <c r="B22" s="4284"/>
      <c r="C22" s="4284"/>
      <c r="D22" s="4284"/>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1">
        <v>42551</v>
      </c>
      <c r="D31" s="428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4" t="s">
        <v>940</v>
      </c>
      <c r="B15" s="4289" t="s">
        <v>107</v>
      </c>
      <c r="C15" s="4290"/>
    </row>
    <row r="16" spans="1:7" ht="13.5">
      <c r="A16" s="4295"/>
      <c r="B16" s="4289" t="s">
        <v>40</v>
      </c>
      <c r="C16" s="4290"/>
    </row>
    <row r="17" spans="1:3" ht="13.5">
      <c r="A17" s="4295"/>
      <c r="B17" s="4292" t="s">
        <v>941</v>
      </c>
      <c r="C17" s="1073" t="s">
        <v>940</v>
      </c>
    </row>
    <row r="18" spans="1:3" ht="13.5">
      <c r="A18" s="4295"/>
      <c r="B18" s="4292"/>
      <c r="C18" s="1073" t="s">
        <v>942</v>
      </c>
    </row>
    <row r="19" spans="1:3" ht="13.5">
      <c r="A19" s="4295"/>
      <c r="B19" s="4292"/>
      <c r="C19" s="1073" t="s">
        <v>943</v>
      </c>
    </row>
    <row r="20" spans="1:3" ht="13.5">
      <c r="A20" s="4296"/>
      <c r="B20" s="4291" t="s">
        <v>944</v>
      </c>
      <c r="C20" s="4290"/>
    </row>
    <row r="21" spans="1:3" ht="13.5">
      <c r="A21" s="1074" t="s">
        <v>945</v>
      </c>
      <c r="B21" s="1075"/>
      <c r="C21" s="1076"/>
    </row>
    <row r="22" spans="1:3" ht="13.5">
      <c r="A22" s="4293" t="s">
        <v>946</v>
      </c>
      <c r="B22" s="4291" t="s">
        <v>947</v>
      </c>
      <c r="C22" s="4290"/>
    </row>
    <row r="23" spans="1:3" ht="13.5">
      <c r="A23" s="4293"/>
      <c r="B23" s="4291" t="s">
        <v>948</v>
      </c>
      <c r="C23" s="4290"/>
    </row>
    <row r="24" spans="1:3" ht="13.5">
      <c r="A24" s="4293"/>
      <c r="B24" s="4291" t="s">
        <v>949</v>
      </c>
      <c r="C24" s="4290"/>
    </row>
    <row r="25" spans="1:3" ht="13.5">
      <c r="A25" s="4293"/>
      <c r="B25" s="4292" t="s">
        <v>950</v>
      </c>
      <c r="C25" s="1073" t="s">
        <v>951</v>
      </c>
    </row>
    <row r="26" spans="1:3" ht="13.5">
      <c r="A26" s="4293"/>
      <c r="B26" s="4292"/>
      <c r="C26" s="1073" t="s">
        <v>952</v>
      </c>
    </row>
    <row r="27" spans="1:3" ht="13.5">
      <c r="A27" s="4293"/>
      <c r="B27" s="4292"/>
      <c r="C27" s="1073" t="s">
        <v>953</v>
      </c>
    </row>
    <row r="28" spans="1:3" ht="13.5">
      <c r="A28" s="4293"/>
      <c r="B28" s="4292"/>
      <c r="C28" s="1073" t="s">
        <v>954</v>
      </c>
    </row>
    <row r="29" spans="1:3" ht="13.5">
      <c r="A29" s="4293"/>
      <c r="B29" s="4292"/>
      <c r="C29" s="1073" t="s">
        <v>955</v>
      </c>
    </row>
    <row r="30" spans="1:3" ht="13.5">
      <c r="A30" s="4293"/>
      <c r="B30" s="4292"/>
      <c r="C30" s="1073" t="s">
        <v>956</v>
      </c>
    </row>
    <row r="31" spans="1:3" ht="13.5">
      <c r="A31" s="4293"/>
      <c r="B31" s="4292"/>
      <c r="C31" s="1073" t="s">
        <v>957</v>
      </c>
    </row>
    <row r="32" spans="1:3" ht="13.5">
      <c r="A32" s="4293"/>
      <c r="B32" s="4292"/>
      <c r="C32" s="1073" t="s">
        <v>958</v>
      </c>
    </row>
    <row r="33" spans="1:3" ht="13.5">
      <c r="A33" s="4293"/>
      <c r="B33" s="4292"/>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46093</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297" t="s">
        <v>2064</v>
      </c>
      <c r="B17" s="4297"/>
      <c r="C17" s="4297"/>
      <c r="D17" s="4297"/>
      <c r="E17" s="4297"/>
      <c r="F17" s="4297"/>
      <c r="G17" s="4297"/>
      <c r="H17" s="4297"/>
    </row>
    <row r="18" spans="1:8" ht="24" customHeight="1">
      <c r="A18" s="4298" t="s">
        <v>2065</v>
      </c>
      <c r="B18" s="4298"/>
      <c r="C18" s="4298"/>
      <c r="D18" s="1707"/>
      <c r="E18" s="4299" t="s">
        <v>2066</v>
      </c>
      <c r="F18" s="4298"/>
      <c r="G18" s="429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2026-03-12T06:28:44Z</dcterms:modified>
</cp:coreProperties>
</file>