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370" tabRatio="899" firstSheet="2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 i="1" l="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E7" i="39"/>
  <c r="F7" i="39"/>
  <c r="AA7" i="39" s="1"/>
  <c r="R47" i="39" s="1"/>
  <c r="G20" i="6"/>
  <c r="E57" i="39"/>
  <c r="E58" i="39"/>
  <c r="I38" i="39"/>
  <c r="G38" i="39"/>
  <c r="E38" i="39"/>
  <c r="C38" i="39"/>
  <c r="I11" i="39"/>
  <c r="G11" i="39"/>
  <c r="E11"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19" i="6"/>
  <c r="E3" i="6"/>
  <c r="D19"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1" i="39"/>
  <c r="F15" i="4"/>
  <c r="C10" i="39"/>
  <c r="I7" i="39"/>
  <c r="G7" i="39"/>
  <c r="I5" i="39"/>
  <c r="G5" i="39"/>
  <c r="E5" i="39"/>
  <c r="A6" i="1"/>
  <c r="A7" i="1"/>
  <c r="A8" i="1"/>
  <c r="G1" i="78"/>
  <c r="C1" i="73"/>
  <c r="L1" i="73"/>
  <c r="C42" i="1"/>
  <c r="B43" i="1"/>
  <c r="B41" i="1"/>
  <c r="F32" i="78"/>
  <c r="F33" i="78"/>
  <c r="BA5" i="3"/>
  <c r="E27" i="6"/>
  <c r="K21" i="6"/>
  <c r="L21" i="6"/>
  <c r="M21" i="6"/>
  <c r="I21" i="6"/>
  <c r="H21" i="6"/>
  <c r="R21" i="6"/>
  <c r="R8" i="1"/>
  <c r="B52" i="1"/>
  <c r="F34" i="78"/>
  <c r="K8" i="1"/>
  <c r="M8" i="1"/>
  <c r="S8" i="1"/>
  <c r="T8" i="1"/>
  <c r="F15" i="78"/>
  <c r="F17" i="78"/>
  <c r="F18" i="78"/>
  <c r="F20" i="78"/>
  <c r="J1" i="73"/>
  <c r="B22" i="1"/>
  <c r="E1" i="73"/>
  <c r="K1" i="73"/>
  <c r="F23" i="78"/>
  <c r="F21" i="78"/>
  <c r="F28" i="78"/>
  <c r="C28" i="78"/>
  <c r="G15" i="4"/>
  <c r="F8" i="1"/>
  <c r="J50" i="78"/>
  <c r="J51" i="78"/>
  <c r="M47" i="78"/>
  <c r="B24" i="1"/>
  <c r="G1" i="77"/>
  <c r="K7" i="1"/>
  <c r="F32" i="77"/>
  <c r="F33" i="77"/>
  <c r="K20" i="6"/>
  <c r="L20" i="6"/>
  <c r="M20" i="6"/>
  <c r="I20" i="6"/>
  <c r="H20" i="6"/>
  <c r="R20" i="6"/>
  <c r="R7" i="1"/>
  <c r="F34" i="77"/>
  <c r="M7" i="1"/>
  <c r="S7" i="1"/>
  <c r="T7" i="1"/>
  <c r="F15" i="77"/>
  <c r="F17" i="77"/>
  <c r="F18" i="77"/>
  <c r="F20" i="77"/>
  <c r="F23" i="77"/>
  <c r="F21" i="77"/>
  <c r="F28" i="77"/>
  <c r="C28" i="77"/>
  <c r="E15" i="4"/>
  <c r="F7" i="1"/>
  <c r="J50" i="77"/>
  <c r="J51" i="77"/>
  <c r="M47" i="77"/>
  <c r="G1" i="15"/>
  <c r="K6" i="1"/>
  <c r="F32" i="15"/>
  <c r="F33" i="15"/>
  <c r="K19" i="6"/>
  <c r="L19" i="6"/>
  <c r="M19" i="6"/>
  <c r="I19" i="6"/>
  <c r="H19" i="6"/>
  <c r="R19" i="6"/>
  <c r="R6" i="1"/>
  <c r="F34" i="15"/>
  <c r="M6" i="1"/>
  <c r="S6" i="1"/>
  <c r="T6" i="1"/>
  <c r="F15" i="15"/>
  <c r="F17" i="15"/>
  <c r="F18" i="15"/>
  <c r="F20" i="15"/>
  <c r="F23" i="15"/>
  <c r="F21" i="15"/>
  <c r="F28" i="15"/>
  <c r="C28" i="15"/>
  <c r="F6" i="1"/>
  <c r="J50" i="15"/>
  <c r="J51" i="15"/>
  <c r="M47" i="15"/>
  <c r="A9" i="1"/>
  <c r="R9" i="1"/>
  <c r="AE9" i="1"/>
  <c r="D8" i="1"/>
  <c r="K59" i="78"/>
  <c r="P74" i="78"/>
  <c r="Q72" i="78"/>
  <c r="F60" i="78"/>
  <c r="F61" i="78"/>
  <c r="F62" i="78"/>
  <c r="P61" i="78"/>
  <c r="Q59" i="78"/>
  <c r="F59" i="78"/>
  <c r="Q58" i="78"/>
  <c r="Q51" i="78"/>
  <c r="D46" i="78"/>
  <c r="F31" i="78"/>
  <c r="AG8" i="1"/>
  <c r="M18" i="78"/>
  <c r="M19" i="78"/>
  <c r="M20" i="78"/>
  <c r="D24" i="78"/>
  <c r="D23" i="78"/>
  <c r="D22" i="78"/>
  <c r="M17" i="78"/>
  <c r="D7" i="1"/>
  <c r="K59" i="77"/>
  <c r="P74" i="77"/>
  <c r="Q72" i="77"/>
  <c r="F60" i="77"/>
  <c r="F61" i="77"/>
  <c r="F62" i="77"/>
  <c r="P61" i="77"/>
  <c r="Q59" i="77"/>
  <c r="F59" i="77"/>
  <c r="Q58" i="77"/>
  <c r="Q51" i="77"/>
  <c r="D46" i="77"/>
  <c r="F31" i="77"/>
  <c r="AG7" i="1"/>
  <c r="M18" i="77"/>
  <c r="M19" i="77"/>
  <c r="M20" i="77"/>
  <c r="D24" i="77"/>
  <c r="D23" i="77"/>
  <c r="D22" i="77"/>
  <c r="M17" i="77"/>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T5" i="3"/>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61" i="15"/>
  <c r="M19" i="15"/>
  <c r="M10" i="1"/>
  <c r="O10" i="1"/>
  <c r="B23" i="1"/>
  <c r="D78" i="9"/>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28" i="67"/>
  <c r="C28" i="67"/>
  <c r="F31" i="12"/>
  <c r="F52" i="9"/>
  <c r="M18" i="67"/>
  <c r="F32" i="67"/>
  <c r="F60" i="67"/>
  <c r="F30" i="69"/>
  <c r="C48" i="69"/>
  <c r="F60" i="15"/>
  <c r="M1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68"/>
  <c r="D10" i="11"/>
  <c r="C10" i="11"/>
  <c r="D20" i="12"/>
  <c r="C20" i="12" s="1"/>
  <c r="D15" i="6"/>
  <c r="C18" i="4"/>
  <c r="D8" i="6"/>
  <c r="D14" i="6"/>
  <c r="D5" i="6"/>
  <c r="D6" i="6"/>
  <c r="D12" i="6"/>
  <c r="D9" i="6"/>
  <c r="D11" i="6"/>
  <c r="D10" i="6"/>
  <c r="D13" i="6"/>
  <c r="L19" i="9"/>
  <c r="E61" i="40"/>
  <c r="H25" i="6"/>
  <c r="R25" i="6"/>
  <c r="H22" i="6"/>
  <c r="H23" i="6"/>
  <c r="H26" i="6"/>
  <c r="H24" i="6"/>
  <c r="C13" i="12"/>
  <c r="P16" i="1"/>
  <c r="C11" i="12"/>
  <c r="C12" i="12" s="1"/>
  <c r="F34" i="11"/>
  <c r="C37" i="11"/>
  <c r="F11" i="12"/>
  <c r="F34" i="68"/>
  <c r="C36" i="68"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C46" i="11"/>
  <c r="C45" i="11"/>
  <c r="K63" i="40"/>
  <c r="J65" i="40"/>
  <c r="L63" i="40"/>
  <c r="K65" i="40"/>
  <c r="E2" i="70"/>
  <c r="C34" i="69"/>
  <c r="C35" i="69" s="1"/>
  <c r="M63" i="40"/>
  <c r="L65" i="40"/>
  <c r="D10"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s="1"/>
  <c r="V47" i="39" s="1"/>
  <c r="I47" i="39" s="1"/>
  <c r="S7" i="39"/>
  <c r="H7" i="39"/>
  <c r="U7" i="39" s="1"/>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G16" i="1"/>
  <c r="F10" i="39"/>
  <c r="AA10" i="39"/>
  <c r="H10" i="39"/>
  <c r="AB10" i="39"/>
  <c r="J10" i="39"/>
  <c r="AC10" i="39"/>
  <c r="U10" i="39"/>
  <c r="W10" i="39"/>
  <c r="F10" i="40"/>
  <c r="S10" i="40"/>
  <c r="J10" i="40"/>
  <c r="AC10" i="40"/>
  <c r="AA10" i="40"/>
  <c r="W10" i="40"/>
  <c r="S10" i="39"/>
  <c r="H10" i="40"/>
  <c r="AB10" i="40"/>
  <c r="U10" i="40"/>
  <c r="F6" i="78"/>
  <c r="C14" i="78"/>
  <c r="M8" i="78"/>
  <c r="F6" i="77"/>
  <c r="F35" i="77"/>
  <c r="F43" i="77"/>
  <c r="M6" i="77"/>
  <c r="F7" i="15"/>
  <c r="F9" i="78"/>
  <c r="F35" i="78"/>
  <c r="F43" i="78"/>
  <c r="F36" i="78"/>
  <c r="F37" i="78"/>
  <c r="F42" i="78"/>
  <c r="M6" i="78"/>
  <c r="F7" i="77"/>
  <c r="F26" i="77"/>
  <c r="F13" i="77"/>
  <c r="F38" i="77"/>
  <c r="L48" i="77"/>
  <c r="M9" i="77"/>
  <c r="F9" i="15"/>
  <c r="F16" i="15"/>
  <c r="F40" i="15"/>
  <c r="M8" i="15"/>
  <c r="C14" i="15"/>
  <c r="F13" i="15"/>
  <c r="F42" i="15"/>
  <c r="M29" i="78"/>
  <c r="M21" i="78"/>
  <c r="J15" i="78"/>
  <c r="F36" i="15"/>
  <c r="M6" i="15"/>
  <c r="M28" i="78"/>
  <c r="M27" i="77"/>
  <c r="E13" i="76"/>
  <c r="F5" i="73"/>
  <c r="F3" i="73"/>
  <c r="AO12" i="1"/>
  <c r="E8" i="76"/>
  <c r="D6" i="73"/>
  <c r="M23" i="15"/>
  <c r="J15" i="15"/>
  <c r="C76" i="15"/>
  <c r="M26" i="15"/>
  <c r="J15" i="77"/>
  <c r="D3" i="73"/>
  <c r="F6" i="67"/>
  <c r="F7" i="67"/>
  <c r="F16" i="67"/>
  <c r="M8" i="67"/>
  <c r="M27" i="67"/>
  <c r="D2" i="36"/>
  <c r="B6" i="76"/>
  <c r="D2" i="34"/>
  <c r="E6" i="76"/>
  <c r="F7" i="78"/>
  <c r="D5" i="73"/>
  <c r="G1" i="73" s="1"/>
  <c r="F40" i="78"/>
  <c r="M9" i="78"/>
  <c r="F9" i="77"/>
  <c r="F16" i="77"/>
  <c r="F40" i="77"/>
  <c r="F8" i="15"/>
  <c r="F8" i="78"/>
  <c r="F4" i="73"/>
  <c r="F16" i="78"/>
  <c r="F26" i="78"/>
  <c r="F13" i="78"/>
  <c r="F38" i="78"/>
  <c r="L48" i="78"/>
  <c r="F8" i="77"/>
  <c r="C14" i="77"/>
  <c r="F36" i="77"/>
  <c r="F37" i="77"/>
  <c r="F42" i="77"/>
  <c r="M8" i="77"/>
  <c r="F6" i="15"/>
  <c r="F35" i="15"/>
  <c r="F43" i="15"/>
  <c r="L48" i="15"/>
  <c r="M9" i="15"/>
  <c r="F26" i="15"/>
  <c r="F38" i="15"/>
  <c r="C76" i="78"/>
  <c r="M26" i="78"/>
  <c r="M22" i="78"/>
  <c r="M23" i="78"/>
  <c r="C76" i="77"/>
  <c r="F37" i="15"/>
  <c r="L47" i="78"/>
  <c r="M27" i="78"/>
  <c r="M28" i="77"/>
  <c r="E7" i="76"/>
  <c r="E11" i="76"/>
  <c r="B8" i="76"/>
  <c r="B13" i="76"/>
  <c r="F7" i="73"/>
  <c r="F6" i="73"/>
  <c r="D4" i="73"/>
  <c r="AO13" i="1"/>
  <c r="M29" i="77"/>
  <c r="M21" i="77"/>
  <c r="M23" i="77"/>
  <c r="E12" i="76"/>
  <c r="B9" i="76"/>
  <c r="AO10" i="1"/>
  <c r="M24" i="67"/>
  <c r="F8" i="67"/>
  <c r="M28" i="15"/>
  <c r="M9" i="67"/>
  <c r="J15" i="67"/>
  <c r="M22" i="67"/>
  <c r="F36" i="67"/>
  <c r="F9" i="67"/>
  <c r="M23" i="67"/>
  <c r="M24" i="77"/>
  <c r="B10" i="76"/>
  <c r="D7" i="73"/>
  <c r="C76" i="67"/>
  <c r="M22" i="15"/>
  <c r="F13" i="67"/>
  <c r="L48" i="67"/>
  <c r="L47" i="15"/>
  <c r="L47" i="67"/>
  <c r="F40" i="67"/>
  <c r="M29" i="67"/>
  <c r="F42" i="67"/>
  <c r="M21" i="15"/>
  <c r="M27" i="15"/>
  <c r="E2" i="69"/>
  <c r="F20" i="31"/>
  <c r="D2" i="35"/>
  <c r="M21" i="67"/>
  <c r="D2" i="21"/>
  <c r="E2" i="68"/>
  <c r="D35" i="9"/>
  <c r="M24" i="78"/>
  <c r="L47" i="77"/>
  <c r="E9" i="76"/>
  <c r="B11" i="76"/>
  <c r="B7" i="76"/>
  <c r="AO9" i="1"/>
  <c r="M26" i="77"/>
  <c r="M22" i="77"/>
  <c r="B12" i="76"/>
  <c r="M24" i="15"/>
  <c r="F26" i="67"/>
  <c r="M6" i="67"/>
  <c r="F37" i="67"/>
  <c r="M29" i="15"/>
  <c r="E10" i="76"/>
  <c r="AO11" i="1"/>
  <c r="M26" i="67"/>
  <c r="F43" i="67"/>
  <c r="F38" i="67"/>
  <c r="M28" i="67"/>
  <c r="F35" i="67"/>
  <c r="F41" i="67"/>
  <c r="D2" i="33"/>
  <c r="D2" i="37"/>
  <c r="D34" i="9"/>
  <c r="E10" i="49" l="1"/>
  <c r="E6" i="49"/>
  <c r="B4" i="49"/>
  <c r="C4" i="4" s="1"/>
  <c r="B4" i="62" s="1"/>
  <c r="B71" i="72" s="1"/>
  <c r="E16" i="49"/>
  <c r="B16" i="49"/>
  <c r="E4" i="49"/>
  <c r="E5" i="49"/>
  <c r="E8" i="49"/>
  <c r="B9" i="49"/>
  <c r="E7" i="49"/>
  <c r="B10" i="49"/>
  <c r="D19" i="69"/>
  <c r="C19" i="69" s="1"/>
  <c r="D19" i="68"/>
  <c r="D37" i="68" s="1"/>
  <c r="C37" i="68" s="1"/>
  <c r="E11" i="49"/>
  <c r="B8" i="49"/>
  <c r="B6" i="49"/>
  <c r="E9" i="49"/>
  <c r="E21" i="49"/>
  <c r="B11" i="49"/>
  <c r="B13" i="49"/>
  <c r="B5" i="49"/>
  <c r="E22" i="49"/>
  <c r="B14" i="49"/>
  <c r="B7" i="49"/>
  <c r="E4" i="4" s="1"/>
  <c r="B5" i="62" s="1"/>
  <c r="B73" i="72" s="1"/>
  <c r="B22" i="49"/>
  <c r="C14" i="12"/>
  <c r="C10" i="68"/>
  <c r="C10" i="69"/>
  <c r="C8" i="69" s="1"/>
  <c r="C5" i="69" s="1"/>
  <c r="C38" i="69"/>
  <c r="C15" i="12"/>
  <c r="R16" i="1"/>
  <c r="AB7" i="39"/>
  <c r="T47" i="39" s="1"/>
  <c r="G47" i="39" s="1"/>
  <c r="G52" i="39" s="1"/>
  <c r="H52" i="39" s="1"/>
  <c r="G51" i="39"/>
  <c r="H51" i="39" s="1"/>
  <c r="E47" i="39"/>
  <c r="I52" i="39" s="1"/>
  <c r="J52" i="39" s="1"/>
  <c r="I51" i="39"/>
  <c r="J51" i="39" s="1"/>
  <c r="W7" i="39"/>
  <c r="C47" i="68"/>
  <c r="D45" i="68" s="1"/>
  <c r="E2" i="76"/>
  <c r="B2" i="34"/>
  <c r="B3" i="34" s="1"/>
  <c r="B2" i="21"/>
  <c r="B3" i="21" s="1"/>
  <c r="B2" i="37"/>
  <c r="B3" i="37" s="1"/>
  <c r="J20" i="67"/>
  <c r="B2" i="76"/>
  <c r="B2" i="35"/>
  <c r="B3" i="35" s="1"/>
  <c r="B2" i="33"/>
  <c r="B3" i="33" s="1"/>
  <c r="B20" i="31"/>
  <c r="B2" i="36"/>
  <c r="B3" i="36" s="1"/>
  <c r="F69" i="67"/>
  <c r="J20" i="15"/>
  <c r="F63" i="67"/>
  <c r="C62" i="67" s="1"/>
  <c r="C34" i="67"/>
  <c r="F70" i="67"/>
  <c r="F68" i="67"/>
  <c r="F66" i="67"/>
  <c r="L58" i="67"/>
  <c r="L59" i="67"/>
  <c r="N59" i="67"/>
  <c r="M59" i="67"/>
  <c r="M59" i="15"/>
  <c r="L59" i="15" s="1"/>
  <c r="N59" i="15"/>
  <c r="L58" i="15"/>
  <c r="F71" i="67"/>
  <c r="L56" i="67"/>
  <c r="I54" i="67"/>
  <c r="J57" i="67"/>
  <c r="J55" i="67" s="1"/>
  <c r="J58" i="67" s="1"/>
  <c r="Q50" i="67" s="1"/>
  <c r="F50" i="67"/>
  <c r="M7" i="67"/>
  <c r="J6" i="67" s="1"/>
  <c r="C6" i="67"/>
  <c r="Q71" i="67"/>
  <c r="B11" i="70"/>
  <c r="F64" i="67"/>
  <c r="F65" i="67"/>
  <c r="Q71" i="15"/>
  <c r="C27" i="67"/>
  <c r="F51" i="67"/>
  <c r="B10" i="70"/>
  <c r="J20" i="77"/>
  <c r="B12" i="70"/>
  <c r="B13" i="70"/>
  <c r="B9" i="70"/>
  <c r="E20" i="43"/>
  <c r="M59" i="77"/>
  <c r="L59" i="77" s="1"/>
  <c r="L58" i="77"/>
  <c r="N59" i="77"/>
  <c r="M59" i="78"/>
  <c r="L59" i="78" s="1"/>
  <c r="L58" i="78"/>
  <c r="N59" i="78"/>
  <c r="F65" i="15"/>
  <c r="F64" i="15"/>
  <c r="Q71" i="77"/>
  <c r="J20" i="78"/>
  <c r="Q71" i="78"/>
  <c r="F66" i="15"/>
  <c r="C27" i="15"/>
  <c r="C18" i="15"/>
  <c r="C15" i="15"/>
  <c r="J53" i="15"/>
  <c r="J60" i="15"/>
  <c r="Q48" i="15" s="1"/>
  <c r="L56" i="15"/>
  <c r="I54" i="15"/>
  <c r="J57" i="15"/>
  <c r="J55" i="15" s="1"/>
  <c r="J58" i="15" s="1"/>
  <c r="Q50" i="15" s="1"/>
  <c r="L60" i="15"/>
  <c r="L57" i="15"/>
  <c r="J59" i="15"/>
  <c r="F68" i="15"/>
  <c r="F71" i="15"/>
  <c r="C34" i="15"/>
  <c r="F63" i="15"/>
  <c r="C62" i="15" s="1"/>
  <c r="C6" i="15"/>
  <c r="J60" i="77"/>
  <c r="Q48" i="77" s="1"/>
  <c r="J53" i="77"/>
  <c r="L46" i="77"/>
  <c r="J59" i="77"/>
  <c r="L57" i="77"/>
  <c r="I54" i="77"/>
  <c r="L60" i="77"/>
  <c r="J57" i="77"/>
  <c r="J55" i="77" s="1"/>
  <c r="J58" i="77" s="1"/>
  <c r="Q50" i="77" s="1"/>
  <c r="L56" i="77"/>
  <c r="F66" i="77"/>
  <c r="F65" i="77"/>
  <c r="F64" i="77"/>
  <c r="C27" i="77"/>
  <c r="C18" i="77"/>
  <c r="C15" i="77"/>
  <c r="M7" i="77"/>
  <c r="J6" i="77" s="1"/>
  <c r="F50" i="77"/>
  <c r="F51" i="77"/>
  <c r="J53" i="78"/>
  <c r="J60" i="78"/>
  <c r="Q48" i="78" s="1"/>
  <c r="J59" i="78"/>
  <c r="L57" i="78"/>
  <c r="I54" i="78"/>
  <c r="L60" i="78"/>
  <c r="J57" i="78"/>
  <c r="J55" i="78" s="1"/>
  <c r="J58" i="78" s="1"/>
  <c r="Q50" i="78" s="1"/>
  <c r="L56" i="78"/>
  <c r="F66" i="78"/>
  <c r="F65" i="78"/>
  <c r="F64" i="78"/>
  <c r="C27" i="78"/>
  <c r="F71" i="78"/>
  <c r="C34" i="78"/>
  <c r="F63" i="78"/>
  <c r="C62" i="78" s="1"/>
  <c r="I1" i="73"/>
  <c r="B39" i="1" s="1"/>
  <c r="F51" i="78"/>
  <c r="M7" i="15"/>
  <c r="J6" i="15" s="1"/>
  <c r="F50" i="15"/>
  <c r="F51" i="15"/>
  <c r="F68" i="77"/>
  <c r="F71" i="77"/>
  <c r="C34" i="77"/>
  <c r="F63" i="77"/>
  <c r="C62" i="77" s="1"/>
  <c r="C6" i="77"/>
  <c r="F68" i="78"/>
  <c r="B40" i="1"/>
  <c r="C15" i="78"/>
  <c r="C18" i="78"/>
  <c r="M7" i="78"/>
  <c r="J6" i="78" s="1"/>
  <c r="F50" i="78"/>
  <c r="C6" i="78"/>
  <c r="C18" i="12"/>
  <c r="C34" i="68"/>
  <c r="C17" i="15"/>
  <c r="C16" i="67"/>
  <c r="C17" i="78"/>
  <c r="C17" i="77"/>
  <c r="C14" i="67"/>
  <c r="C16" i="15"/>
  <c r="C17" i="67"/>
  <c r="C16" i="78"/>
  <c r="C16" i="77"/>
  <c r="D37" i="69" l="1"/>
  <c r="C37" i="69" s="1"/>
  <c r="C33" i="69" s="1"/>
  <c r="K4" i="4"/>
  <c r="B46" i="48" s="1"/>
  <c r="B4" i="72" s="1"/>
  <c r="C16" i="12"/>
  <c r="C21" i="12" s="1"/>
  <c r="C20" i="69"/>
  <c r="C28" i="69" s="1"/>
  <c r="C27" i="69" s="1"/>
  <c r="C49" i="67"/>
  <c r="L46" i="78"/>
  <c r="R48" i="39"/>
  <c r="C47" i="39" s="1"/>
  <c r="C49" i="15"/>
  <c r="B3" i="76"/>
  <c r="C48" i="39"/>
  <c r="E52" i="39"/>
  <c r="F52" i="39" s="1"/>
  <c r="E51" i="39"/>
  <c r="F51" i="39" s="1"/>
  <c r="C19" i="77"/>
  <c r="C19" i="78"/>
  <c r="C15" i="67"/>
  <c r="C18" i="67"/>
  <c r="C19" i="15"/>
  <c r="C49" i="78"/>
  <c r="F1" i="78"/>
  <c r="Q52" i="78"/>
  <c r="C49" i="77"/>
  <c r="Q66" i="77"/>
  <c r="Q57" i="77"/>
  <c r="F1" i="77"/>
  <c r="Q52" i="77"/>
  <c r="F1" i="15"/>
  <c r="Q52" i="15"/>
  <c r="Q74" i="78"/>
  <c r="Q61" i="78"/>
  <c r="Q73" i="77"/>
  <c r="Q60" i="77"/>
  <c r="O17" i="43"/>
  <c r="M17" i="43"/>
  <c r="P17" i="43"/>
  <c r="N17" i="43"/>
  <c r="Q73" i="15"/>
  <c r="Q60" i="15"/>
  <c r="Q74" i="15"/>
  <c r="Q61" i="15"/>
  <c r="Q73" i="67"/>
  <c r="Q60" i="67"/>
  <c r="C38" i="68"/>
  <c r="C35" i="68"/>
  <c r="F24" i="78"/>
  <c r="C24" i="78" s="1"/>
  <c r="F24" i="77"/>
  <c r="C24" i="77" s="1"/>
  <c r="F24" i="15"/>
  <c r="C24" i="15" s="1"/>
  <c r="F22" i="11"/>
  <c r="F22" i="69"/>
  <c r="F25" i="12"/>
  <c r="C26" i="12" s="1"/>
  <c r="D25" i="12" s="1"/>
  <c r="F24" i="67"/>
  <c r="C24" i="67" s="1"/>
  <c r="F22" i="68"/>
  <c r="F11" i="78"/>
  <c r="M11" i="78"/>
  <c r="J10" i="78" s="1"/>
  <c r="J5" i="78" s="1"/>
  <c r="F11" i="77"/>
  <c r="C53" i="77" s="1"/>
  <c r="M11" i="77"/>
  <c r="J10" i="77" s="1"/>
  <c r="J5" i="77" s="1"/>
  <c r="F11" i="15"/>
  <c r="C53" i="15" s="1"/>
  <c r="C48" i="15" s="1"/>
  <c r="M11" i="15"/>
  <c r="J10" i="15" s="1"/>
  <c r="J5" i="15" s="1"/>
  <c r="M11" i="67"/>
  <c r="J10" i="67" s="1"/>
  <c r="J5" i="67" s="1"/>
  <c r="F11" i="67"/>
  <c r="Q66" i="78"/>
  <c r="Q57" i="78"/>
  <c r="Q66" i="15"/>
  <c r="Q57" i="15"/>
  <c r="L46" i="15"/>
  <c r="Q73" i="78"/>
  <c r="Q60" i="78"/>
  <c r="Q74" i="77"/>
  <c r="Q61" i="77"/>
  <c r="Q61" i="67"/>
  <c r="Q74" i="67"/>
  <c r="AE8" i="1"/>
  <c r="AE6" i="1"/>
  <c r="AE7" i="1"/>
  <c r="C39" i="69" l="1"/>
  <c r="C46" i="69" s="1"/>
  <c r="C45" i="69" s="1"/>
  <c r="C33" i="68"/>
  <c r="C39" i="68" s="1"/>
  <c r="C43" i="68" s="1"/>
  <c r="C19" i="67"/>
  <c r="C20" i="67" s="1"/>
  <c r="C23" i="67" s="1"/>
  <c r="B56" i="39"/>
  <c r="F56" i="39" s="1"/>
  <c r="B57" i="39"/>
  <c r="F57" i="39" s="1"/>
  <c r="B58" i="39"/>
  <c r="F58" i="39" s="1"/>
  <c r="B59" i="39"/>
  <c r="F59" i="39" s="1"/>
  <c r="B60" i="39"/>
  <c r="F60" i="39" s="1"/>
  <c r="B61" i="39"/>
  <c r="F61" i="39" s="1"/>
  <c r="B62" i="39"/>
  <c r="F62" i="39" s="1"/>
  <c r="B63" i="39"/>
  <c r="F63" i="39" s="1"/>
  <c r="B64" i="39"/>
  <c r="F64" i="39" s="1"/>
  <c r="B65" i="39"/>
  <c r="F65" i="39" s="1"/>
  <c r="J26" i="15"/>
  <c r="J24" i="15"/>
  <c r="J18" i="15"/>
  <c r="J26" i="77"/>
  <c r="J24" i="77"/>
  <c r="J18" i="77"/>
  <c r="J26" i="78"/>
  <c r="J18" i="78"/>
  <c r="J24" i="78"/>
  <c r="J24" i="67"/>
  <c r="J18" i="67"/>
  <c r="J26" i="67"/>
  <c r="J29" i="67" s="1"/>
  <c r="C60" i="15"/>
  <c r="C66" i="15"/>
  <c r="C10" i="67"/>
  <c r="C5" i="67" s="1"/>
  <c r="C53" i="67"/>
  <c r="C48" i="67" s="1"/>
  <c r="C26" i="69"/>
  <c r="D22" i="69" s="1"/>
  <c r="C44" i="69"/>
  <c r="D41" i="69" s="1"/>
  <c r="C24" i="69"/>
  <c r="C42" i="69"/>
  <c r="C25" i="69"/>
  <c r="C23" i="69"/>
  <c r="C48" i="77"/>
  <c r="C22" i="12"/>
  <c r="C20" i="78"/>
  <c r="C23" i="78" s="1"/>
  <c r="C10" i="78"/>
  <c r="C5" i="78" s="1"/>
  <c r="C53" i="78"/>
  <c r="C48" i="78" s="1"/>
  <c r="C10" i="77"/>
  <c r="C5" i="77" s="1"/>
  <c r="C26" i="68"/>
  <c r="D22" i="68" s="1"/>
  <c r="C44" i="68"/>
  <c r="D41" i="68" s="1"/>
  <c r="C24" i="68"/>
  <c r="C25" i="11"/>
  <c r="C44" i="11"/>
  <c r="D41" i="11" s="1"/>
  <c r="C26" i="11"/>
  <c r="D22" i="11" s="1"/>
  <c r="C24" i="11"/>
  <c r="C42" i="11"/>
  <c r="C43" i="11"/>
  <c r="C23" i="11"/>
  <c r="C10" i="15"/>
  <c r="C5" i="15" s="1"/>
  <c r="C20" i="15"/>
  <c r="C26" i="15" s="1"/>
  <c r="C20" i="77"/>
  <c r="C26" i="77" s="1"/>
  <c r="F41" i="77"/>
  <c r="F41" i="78"/>
  <c r="F41" i="15"/>
  <c r="C43" i="69" l="1"/>
  <c r="C41" i="69" s="1"/>
  <c r="C49" i="69" s="1"/>
  <c r="C51" i="69" s="1"/>
  <c r="F69" i="15"/>
  <c r="F69" i="78"/>
  <c r="F69" i="77"/>
  <c r="J29" i="78"/>
  <c r="J29" i="77"/>
  <c r="J29" i="15"/>
  <c r="C42" i="68"/>
  <c r="C26" i="78"/>
  <c r="C29" i="78" s="1"/>
  <c r="C36" i="78" s="1"/>
  <c r="C46" i="68"/>
  <c r="C45" i="68" s="1"/>
  <c r="C26" i="67"/>
  <c r="C29" i="67" s="1"/>
  <c r="C23" i="77"/>
  <c r="C29" i="77" s="1"/>
  <c r="C36" i="77" s="1"/>
  <c r="C23" i="15"/>
  <c r="C29" i="15" s="1"/>
  <c r="C22" i="11"/>
  <c r="C31" i="11" s="1"/>
  <c r="C41" i="11"/>
  <c r="C49" i="11" s="1"/>
  <c r="C51" i="11" s="1"/>
  <c r="C41" i="68"/>
  <c r="C22" i="69"/>
  <c r="C31" i="69" s="1"/>
  <c r="F66" i="39"/>
  <c r="B2" i="39" s="1"/>
  <c r="C60" i="78"/>
  <c r="C66" i="78"/>
  <c r="C60" i="77"/>
  <c r="C66" i="77"/>
  <c r="C32" i="67"/>
  <c r="C38" i="67"/>
  <c r="C32" i="15"/>
  <c r="C33" i="15"/>
  <c r="C38" i="15"/>
  <c r="C32" i="77"/>
  <c r="C33" i="77"/>
  <c r="C38" i="77"/>
  <c r="C38" i="78"/>
  <c r="C32" i="78"/>
  <c r="C33" i="78"/>
  <c r="C60" i="67"/>
  <c r="C66" i="67"/>
  <c r="C13" i="15" l="1"/>
  <c r="Q70" i="15" s="1"/>
  <c r="C36" i="15"/>
  <c r="C57" i="78"/>
  <c r="C61" i="78" s="1"/>
  <c r="C59" i="78" s="1"/>
  <c r="J19" i="77"/>
  <c r="J17" i="77" s="1"/>
  <c r="J14" i="78"/>
  <c r="J22" i="78" s="1"/>
  <c r="C13" i="78"/>
  <c r="C37" i="78" s="1"/>
  <c r="C13" i="77"/>
  <c r="C37" i="77" s="1"/>
  <c r="J19" i="15"/>
  <c r="J17" i="15" s="1"/>
  <c r="C57" i="15"/>
  <c r="C61" i="15" s="1"/>
  <c r="C59" i="15" s="1"/>
  <c r="C49" i="68"/>
  <c r="C51" i="68" s="1"/>
  <c r="Q49" i="67"/>
  <c r="J14" i="67"/>
  <c r="J22" i="67" s="1"/>
  <c r="C36" i="67"/>
  <c r="C57" i="67"/>
  <c r="C61" i="67" s="1"/>
  <c r="C59" i="67" s="1"/>
  <c r="J59" i="67"/>
  <c r="J60" i="67" s="1"/>
  <c r="L46" i="67" s="1"/>
  <c r="Q49" i="78"/>
  <c r="J19" i="78"/>
  <c r="J17" i="78" s="1"/>
  <c r="Q49" i="77"/>
  <c r="C31" i="15"/>
  <c r="J14" i="77"/>
  <c r="J13" i="77" s="1"/>
  <c r="J23" i="77" s="1"/>
  <c r="C57" i="77"/>
  <c r="C61" i="77" s="1"/>
  <c r="C59" i="77" s="1"/>
  <c r="C33" i="67"/>
  <c r="C31" i="67" s="1"/>
  <c r="C13" i="67"/>
  <c r="Q70" i="67" s="1"/>
  <c r="J19" i="67"/>
  <c r="J17" i="67" s="1"/>
  <c r="C52" i="69"/>
  <c r="B2" i="69" s="1"/>
  <c r="B3" i="69" s="1"/>
  <c r="C52" i="11"/>
  <c r="C31" i="78"/>
  <c r="C31" i="77"/>
  <c r="Q49" i="15"/>
  <c r="J14" i="15"/>
  <c r="J22" i="15" s="1"/>
  <c r="C6" i="68"/>
  <c r="B3" i="39"/>
  <c r="J13" i="78"/>
  <c r="J23" i="78" s="1"/>
  <c r="C56" i="78"/>
  <c r="C65" i="78" s="1"/>
  <c r="C37" i="15"/>
  <c r="C56" i="15" l="1"/>
  <c r="C65" i="15" s="1"/>
  <c r="C75" i="15"/>
  <c r="C64" i="67"/>
  <c r="Q70" i="78"/>
  <c r="C64" i="77"/>
  <c r="C56" i="77"/>
  <c r="C65" i="77" s="1"/>
  <c r="C64" i="78"/>
  <c r="C58" i="78" s="1"/>
  <c r="C67" i="78" s="1"/>
  <c r="C68" i="78" s="1"/>
  <c r="C71" i="78" s="1"/>
  <c r="J13" i="67"/>
  <c r="J23" i="67" s="1"/>
  <c r="C75" i="78"/>
  <c r="Q70" i="77"/>
  <c r="C64" i="15"/>
  <c r="C58" i="15" s="1"/>
  <c r="C67" i="15" s="1"/>
  <c r="C68" i="15" s="1"/>
  <c r="C75" i="77"/>
  <c r="C75" i="67"/>
  <c r="C56" i="67"/>
  <c r="C65" i="67" s="1"/>
  <c r="C37" i="67"/>
  <c r="C30" i="67" s="1"/>
  <c r="C39" i="67" s="1"/>
  <c r="J22" i="77"/>
  <c r="J16" i="77" s="1"/>
  <c r="J25" i="77" s="1"/>
  <c r="Q48" i="67"/>
  <c r="C30" i="78"/>
  <c r="C39" i="78" s="1"/>
  <c r="Q69" i="78" s="1"/>
  <c r="Q68" i="78" s="1"/>
  <c r="C30" i="77"/>
  <c r="C39" i="77" s="1"/>
  <c r="C40" i="77" s="1"/>
  <c r="C30" i="15"/>
  <c r="C39" i="15" s="1"/>
  <c r="C40" i="15" s="1"/>
  <c r="J13" i="15"/>
  <c r="J23" i="15" s="1"/>
  <c r="J16" i="15" s="1"/>
  <c r="J25" i="15" s="1"/>
  <c r="J16" i="67"/>
  <c r="J25" i="67" s="1"/>
  <c r="C57" i="69"/>
  <c r="C56" i="69" s="1"/>
  <c r="B2" i="11"/>
  <c r="B3" i="11" s="1"/>
  <c r="C56" i="11"/>
  <c r="C57" i="11" s="1"/>
  <c r="J16" i="78"/>
  <c r="J25" i="78" s="1"/>
  <c r="C7" i="68"/>
  <c r="C5" i="68" s="1"/>
  <c r="C40" i="78"/>
  <c r="L51" i="67"/>
  <c r="L51" i="78"/>
  <c r="L51" i="15"/>
  <c r="L51" i="77"/>
  <c r="C58" i="67" l="1"/>
  <c r="C67" i="67" s="1"/>
  <c r="C68" i="67" s="1"/>
  <c r="C58" i="77"/>
  <c r="C67" i="77" s="1"/>
  <c r="C68" i="77" s="1"/>
  <c r="C71" i="77" s="1"/>
  <c r="Q69" i="77"/>
  <c r="Q68" i="77" s="1"/>
  <c r="C80" i="78"/>
  <c r="C79" i="78" s="1"/>
  <c r="C80" i="77"/>
  <c r="C79" i="77" s="1"/>
  <c r="C46" i="78"/>
  <c r="Q69" i="67"/>
  <c r="Q68" i="67" s="1"/>
  <c r="C40" i="67"/>
  <c r="Q69" i="15"/>
  <c r="Q68" i="15" s="1"/>
  <c r="C80" i="67"/>
  <c r="C79" i="67" s="1"/>
  <c r="C80" i="15"/>
  <c r="C79" i="15" s="1"/>
  <c r="C20" i="68"/>
  <c r="C25" i="68" s="1"/>
  <c r="C23" i="68"/>
  <c r="Q67" i="77"/>
  <c r="Q67" i="78"/>
  <c r="Q67" i="15"/>
  <c r="Q67" i="67"/>
  <c r="L57" i="67"/>
  <c r="L60" i="67" s="1"/>
  <c r="B2" i="77"/>
  <c r="Q65" i="77"/>
  <c r="Q75" i="77" s="1"/>
  <c r="Q56" i="77"/>
  <c r="Q62" i="77" s="1"/>
  <c r="Q47" i="77"/>
  <c r="Q53" i="77" s="1"/>
  <c r="C43" i="77"/>
  <c r="C83" i="77"/>
  <c r="C82" i="77" s="1"/>
  <c r="B2" i="78"/>
  <c r="Q65" i="78"/>
  <c r="Q75" i="78" s="1"/>
  <c r="Q56" i="78"/>
  <c r="Q62" i="78" s="1"/>
  <c r="C43" i="78"/>
  <c r="Q47" i="78"/>
  <c r="Q53" i="78" s="1"/>
  <c r="C83" i="78"/>
  <c r="C82" i="78" s="1"/>
  <c r="C71" i="15"/>
  <c r="C46" i="15"/>
  <c r="C71" i="67"/>
  <c r="B2" i="15"/>
  <c r="C43" i="15"/>
  <c r="Q65" i="15"/>
  <c r="Q75" i="15" s="1"/>
  <c r="Q56" i="15"/>
  <c r="Q62" i="15" s="1"/>
  <c r="Q47" i="15"/>
  <c r="Q53" i="15" s="1"/>
  <c r="C83" i="15"/>
  <c r="C82" i="15" s="1"/>
  <c r="AO7" i="1"/>
  <c r="AO6" i="1"/>
  <c r="AO8" i="1"/>
  <c r="C45" i="67" l="1"/>
  <c r="C46" i="67" s="1"/>
  <c r="C46" i="77"/>
  <c r="D2" i="67"/>
  <c r="B3" i="67" s="1"/>
  <c r="C83" i="67"/>
  <c r="C82" i="67" s="1"/>
  <c r="Q56" i="67"/>
  <c r="C43" i="67"/>
  <c r="Q47" i="67"/>
  <c r="Q53" i="67" s="1"/>
  <c r="Q65" i="67"/>
  <c r="C22" i="68"/>
  <c r="C28" i="68"/>
  <c r="C27" i="68" s="1"/>
  <c r="B6" i="70"/>
  <c r="B8" i="70"/>
  <c r="B7" i="70"/>
  <c r="C8" i="12"/>
  <c r="B3" i="15"/>
  <c r="C6" i="12" s="1"/>
  <c r="Q57" i="67"/>
  <c r="Q66" i="67"/>
  <c r="E8" i="12"/>
  <c r="B3" i="78"/>
  <c r="E6" i="12" s="1"/>
  <c r="B3" i="77"/>
  <c r="D6" i="12" s="1"/>
  <c r="D8" i="12"/>
  <c r="Q62" i="67" l="1"/>
  <c r="B2" i="67"/>
  <c r="Q75" i="67"/>
  <c r="C31" i="68"/>
  <c r="C52" i="68" s="1"/>
  <c r="C57" i="68" s="1"/>
  <c r="C56" i="68" s="1"/>
  <c r="C4" i="12"/>
  <c r="B2" i="70"/>
  <c r="B3" i="70" s="1"/>
  <c r="B2" i="68" l="1"/>
  <c r="B3" i="68" s="1"/>
  <c r="C31" i="12"/>
  <c r="C23" i="12"/>
  <c r="C19" i="9"/>
  <c r="C20" i="9"/>
  <c r="C21" i="9" l="1"/>
  <c r="C102" i="9"/>
  <c r="C103" i="9"/>
  <c r="C27" i="12"/>
  <c r="C25" i="12" s="1"/>
  <c r="C30" i="12"/>
  <c r="C28" i="12" s="1"/>
  <c r="C32" i="12" l="1"/>
  <c r="B2" i="12" s="1"/>
  <c r="D19" i="9"/>
  <c r="D102" i="9" l="1"/>
  <c r="D22" i="9"/>
  <c r="D21" i="9"/>
  <c r="G19" i="9"/>
  <c r="C32" i="9" s="1"/>
  <c r="B3" i="12"/>
  <c r="D20" i="9"/>
  <c r="G21" i="9" l="1"/>
  <c r="G20" i="9"/>
  <c r="D103" i="9"/>
  <c r="C35" i="9"/>
  <c r="F118" i="9" s="1"/>
  <c r="H118" i="9"/>
  <c r="C34" i="9" l="1"/>
  <c r="D118" i="9" s="1"/>
  <c r="H101" i="9"/>
  <c r="D14" i="74"/>
  <c r="H4" i="52"/>
  <c r="H119" i="9"/>
  <c r="H5" i="52" s="1"/>
  <c r="C104" i="9"/>
  <c r="I118" i="9"/>
  <c r="G118" i="9"/>
  <c r="G4" i="52" s="1"/>
  <c r="B52" i="72" s="1"/>
  <c r="F4" i="52"/>
  <c r="B51" i="72" s="1"/>
  <c r="F119" i="9"/>
  <c r="F5" i="52" s="1"/>
  <c r="B53" i="72" s="1"/>
  <c r="H102" i="9" l="1"/>
  <c r="D7" i="53" s="1"/>
  <c r="B21" i="72" s="1"/>
  <c r="I4" i="52"/>
  <c r="C105" i="9"/>
  <c r="E118" i="9"/>
  <c r="E4" i="52" s="1"/>
  <c r="B48" i="72" s="1"/>
  <c r="D5" i="53"/>
  <c r="H107" i="9"/>
  <c r="D45" i="9"/>
  <c r="M48" i="9"/>
  <c r="F14" i="74"/>
  <c r="B5" i="74"/>
  <c r="E14" i="74"/>
  <c r="D4" i="52"/>
  <c r="B47" i="72" s="1"/>
  <c r="D119" i="9"/>
  <c r="D5" i="52" s="1"/>
  <c r="B49" i="72" s="1"/>
  <c r="C5" i="74" l="1"/>
  <c r="D5" i="74"/>
  <c r="M49" i="9"/>
  <c r="D122" i="9"/>
  <c r="D13" i="53"/>
  <c r="H108" i="9"/>
  <c r="D15" i="53" s="1"/>
  <c r="B31" i="72" s="1"/>
  <c r="D55" i="9"/>
  <c r="M53" i="9" s="1"/>
  <c r="C85" i="9"/>
  <c r="C78" i="9"/>
  <c r="C73" i="9" s="1"/>
  <c r="C64" i="9"/>
  <c r="C63" i="9" s="1"/>
  <c r="C67" i="9" s="1"/>
  <c r="C68" i="9" s="1"/>
  <c r="D54" i="9" s="1"/>
  <c r="C93" i="9"/>
  <c r="C86" i="9" s="1"/>
  <c r="C72" i="9"/>
  <c r="D52" i="9"/>
  <c r="D53" i="9"/>
  <c r="D6" i="53"/>
  <c r="B22" i="72" s="1"/>
  <c r="B20" i="72"/>
  <c r="C79" i="9" l="1"/>
  <c r="C80" i="9" s="1"/>
  <c r="C95" i="9"/>
  <c r="D123" i="9"/>
  <c r="D9" i="52" s="1"/>
  <c r="G14" i="74"/>
  <c r="B6" i="74" s="1"/>
  <c r="D8" i="52"/>
  <c r="D14" i="53"/>
  <c r="B32" i="72" s="1"/>
  <c r="B30" i="72"/>
  <c r="L63" i="9"/>
  <c r="M63" i="9" s="1"/>
  <c r="L64" i="9"/>
  <c r="M64" i="9" s="1"/>
  <c r="L65" i="9"/>
  <c r="M65" i="9" s="1"/>
  <c r="L66" i="9"/>
  <c r="M66" i="9" s="1"/>
  <c r="L67" i="9"/>
  <c r="M67" i="9" s="1"/>
  <c r="L68" i="9"/>
  <c r="M68" i="9" s="1"/>
  <c r="E80" i="9" l="1"/>
  <c r="E81" i="9" s="1"/>
  <c r="C81" i="9"/>
  <c r="M69" i="9"/>
  <c r="N69" i="9" s="1"/>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<sst xmlns="http://schemas.openxmlformats.org/spreadsheetml/2006/main" count="8279" uniqueCount="3152">
  <si>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</si>
  <si>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</si>
  <si>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</si>
  <si>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</si>
  <si>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</si>
  <si>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</si>
  <si>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</si>
  <si>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</si>
  <si>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</si>
  <si>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</si>
  <si>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</si>
  <si>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</si>
  <si>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</si>
  <si>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</si>
  <si>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</si>
  <si>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</si>
  <si>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</si>
  <si>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</si>
  <si>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</si>
  <si>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</si>
  <si>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</si>
  <si>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</si>
  <si>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</si>
  <si>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</si>
  <si>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</si>
  <si>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</si>
  <si>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</si>
  <si>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</si>
  <si>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</si>
  <si>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</si>
  <si>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</si>
  <si>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</si>
  <si>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</si>
  <si>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</si>
  <si>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</si>
  <si>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</si>
  <si>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</si>
  <si>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</si>
  <si>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</si>
  <si>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</si>
  <si>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</si>
  <si>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</si>
  <si>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</si>
  <si>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</si>
  <si>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</si>
  <si>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</si>
  <si>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</si>
  <si>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</si>
  <si>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</si>
  <si>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</si>
  <si>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</si>
  <si>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</si>
  <si>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</si>
  <si>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</si>
  <si>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</si>
  <si>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</si>
  <si>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</si>
  <si>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</si>
  <si>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</si>
  <si>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</si>
  <si>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</si>
  <si>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</si>
  <si>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</si>
  <si>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</si>
  <si>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</si>
  <si>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</si>
  <si>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</si>
  <si>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</si>
  <si>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</si>
  <si>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</si>
  <si>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</si>
  <si>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</si>
  <si>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</si>
  <si>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</si>
  <si>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</si>
  <si>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</si>
  <si>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</si>
  <si>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</si>
  <si>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</si>
  <si>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</si>
  <si>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</si>
  <si>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</si>
  <si>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</si>
  <si>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</si>
  <si>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</si>
  <si>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</si>
  <si>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</si>
  <si>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</si>
  <si>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</si>
  <si>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</si>
  <si>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</si>
  <si>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</si>
  <si>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</si>
  <si>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</si>
  <si>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</si>
  <si>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</si>
  <si>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</si>
  <si>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</si>
  <si>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</si>
  <si>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</si>
  <si>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</si>
  <si>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</si>
  <si>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</si>
  <si>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</si>
  <si>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</si>
  <si>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</si>
  <si>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</si>
  <si>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</si>
  <si>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</si>
  <si>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</si>
  <si>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</si>
  <si>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</si>
  <si>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</si>
  <si>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</si>
  <si>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</si>
  <si>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</si>
  <si>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</si>
  <si>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</si>
  <si>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</si>
  <si>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</si>
  <si>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</si>
  <si>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</si>
  <si>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</si>
  <si>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</si>
  <si>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</si>
  <si>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</si>
  <si>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</si>
  <si>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</si>
  <si>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</si>
  <si>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</si>
  <si>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</si>
  <si>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</si>
  <si>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</si>
  <si>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</si>
  <si>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</si>
  <si>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</si>
  <si>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</si>
  <si>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</si>
  <si>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</si>
  <si>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</si>
  <si>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</si>
  <si>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</si>
  <si>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</si>
  <si>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</si>
  <si>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</si>
  <si>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</si>
  <si>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</si>
  <si>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</si>
  <si>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</si>
  <si>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</si>
  <si>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</si>
  <si>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</si>
  <si>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</si>
  <si>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</si>
  <si>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</si>
  <si>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</si>
  <si>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</si>
  <si>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</si>
  <si>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</si>
  <si>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</si>
  <si>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</si>
  <si>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</si>
  <si>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</si>
  <si>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</si>
  <si>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</si>
  <si>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</si>
  <si>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</si>
  <si>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</si>
  <si>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</si>
  <si>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</si>
  <si>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</si>
  <si>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</si>
  <si>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</si>
  <si>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</si>
  <si>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</si>
  <si>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</si>
  <si>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</si>
  <si>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</si>
  <si>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</si>
  <si>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</si>
  <si>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</si>
  <si>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</si>
  <si>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</si>
  <si>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</si>
  <si>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</si>
  <si>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</si>
  <si>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</si>
  <si>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</si>
  <si>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</si>
  <si>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</si>
  <si>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</si>
  <si>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</si>
  <si>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</si>
  <si>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</si>
  <si>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</si>
  <si>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</si>
  <si>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</si>
  <si>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</si>
  <si>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</si>
  <si>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</si>
  <si>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</si>
  <si>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</si>
  <si>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</si>
  <si>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</si>
  <si>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</si>
  <si>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</si>
  <si>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</si>
  <si>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</si>
  <si>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</si>
  <si>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</si>
  <si>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</si>
  <si>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</si>
  <si>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</si>
  <si>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</si>
  <si>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</si>
  <si>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</si>
  <si>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</si>
  <si>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</si>
  <si>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</si>
  <si>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</si>
  <si>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</si>
  <si>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</si>
  <si>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</si>
  <si>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</si>
  <si>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</si>
  <si>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</si>
  <si>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</si>
  <si>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</si>
  <si>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</si>
  <si>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</si>
  <si>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</si>
  <si>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</si>
  <si>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</si>
  <si>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</si>
  <si>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</si>
  <si>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</si>
  <si>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</si>
  <si>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</si>
  <si>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</si>
  <si>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</si>
  <si>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</si>
  <si>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</si>
  <si>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</si>
  <si>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</si>
  <si>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</si>
  <si>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</si>
  <si>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</si>
  <si>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</si>
  <si>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</si>
  <si>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</si>
  <si>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</si>
  <si>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</si>
  <si>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</si>
  <si>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</si>
  <si>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</si>
  <si>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</si>
  <si>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</si>
  <si>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</si>
  <si>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</si>
  <si>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</si>
  <si>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</si>
  <si>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</si>
  <si>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</si>
  <si>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</si>
  <si>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</si>
  <si>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</si>
  <si>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</si>
  <si>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</si>
  <si>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</si>
  <si>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</si>
  <si>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</si>
  <si>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</si>
  <si>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</si>
  <si>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</si>
  <si>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</si>
  <si>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</si>
  <si>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</si>
  <si>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</si>
  <si>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</si>
  <si>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</si>
  <si>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</si>
  <si>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</si>
  <si>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</si>
  <si>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</si>
  <si>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</si>
  <si>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</si>
  <si>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</si>
  <si>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</si>
  <si>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</si>
  <si>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</si>
  <si>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</si>
  <si>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</si>
  <si>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</si>
  <si>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</si>
  <si>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</si>
  <si>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</si>
  <si>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</si>
  <si>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</si>
  <si>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</si>
  <si>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</si>
  <si>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</si>
  <si>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</si>
  <si>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</si>
  <si>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</si>
  <si>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</si>
  <si>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</si>
  <si>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</si>
  <si>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</si>
  <si>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</si>
  <si>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</si>
  <si>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</si>
  <si>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</si>
  <si>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</si>
  <si>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</si>
  <si>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</si>
  <si>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</si>
  <si>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</si>
  <si>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</si>
  <si>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</si>
  <si>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</si>
  <si>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</si>
  <si>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</si>
  <si>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</si>
  <si>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</si>
  <si>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</si>
  <si>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</si>
  <si>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</si>
  <si>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</si>
  <si>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</si>
  <si>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</si>
  <si>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</si>
  <si>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</si>
  <si>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</si>
  <si>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</si>
  <si>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</si>
  <si>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</si>
  <si>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</si>
  <si>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</si>
  <si>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</si>
  <si>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</si>
  <si>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</si>
  <si>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</si>
  <si>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</si>
  <si>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</si>
  <si>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</si>
  <si>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</si>
  <si>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</si>
  <si>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</si>
  <si>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</si>
  <si>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</si>
  <si>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</si>
  <si>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</si>
  <si>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</si>
  <si>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</si>
  <si>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</si>
  <si>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</si>
  <si>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</si>
  <si>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</si>
  <si>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</si>
  <si>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</si>
  <si>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</si>
  <si>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</si>
  <si>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</si>
  <si>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</si>
  <si>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</si>
  <si>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</si>
  <si>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</si>
  <si>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</si>
  <si>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</si>
  <si>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</si>
  <si>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</si>
  <si>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</si>
  <si>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</si>
  <si>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</si>
  <si>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</si>
  <si>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</si>
  <si>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</si>
  <si>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</si>
  <si>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</si>
  <si>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</si>
  <si>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</si>
  <si>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</si>
  <si>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</si>
  <si>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</si>
  <si>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</si>
  <si>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</si>
  <si>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</si>
  <si>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</si>
  <si>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</si>
  <si>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</si>
  <si>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</si>
  <si>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</si>
  <si>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</si>
  <si>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</si>
  <si>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</si>
  <si>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</si>
  <si>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</si>
  <si>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</si>
  <si>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</si>
  <si>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</si>
  <si>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</si>
  <si>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</si>
  <si>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</si>
  <si>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</si>
  <si>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</si>
  <si>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</si>
  <si>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</si>
  <si>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</si>
  <si>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</si>
  <si>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</si>
  <si>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</si>
  <si>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</si>
  <si>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</si>
  <si>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</si>
  <si>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</si>
  <si>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</si>
  <si>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</si>
  <si>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</si>
  <si>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</si>
  <si>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</si>
  <si>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</si>
  <si>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</si>
  <si>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</si>
  <si>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</si>
  <si>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</si>
  <si>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</si>
  <si>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</si>
  <si>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</si>
  <si>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</si>
  <si>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</si>
  <si>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</si>
  <si>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</si>
  <si>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</si>
  <si>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</si>
  <si>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</si>
  <si>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</si>
  <si>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</si>
  <si>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</si>
  <si>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</si>
  <si>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</si>
  <si>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</si>
  <si>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</si>
  <si>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</si>
  <si>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</si>
  <si>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</si>
  <si>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</si>
  <si>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</si>
  <si>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</si>
  <si>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</si>
  <si>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</si>
  <si>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</si>
  <si>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</si>
  <si>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</si>
  <si>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</si>
  <si>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</si>
  <si>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</si>
  <si>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</si>
  <si>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</si>
  <si>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</si>
  <si>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</si>
  <si>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</si>
  <si>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</si>
  <si>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</si>
  <si>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</si>
  <si>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</si>
  <si>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</si>
  <si>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</si>
  <si>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</si>
  <si>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</si>
  <si>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</si>
  <si>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</si>
  <si>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</si>
  <si>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</si>
  <si>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</si>
  <si>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</si>
  <si>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</si>
  <si>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</si>
  <si>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</si>
  <si>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</si>
  <si>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</si>
  <si>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</si>
  <si>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</si>
  <si>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</si>
  <si>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</si>
  <si>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</si>
  <si>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</si>
  <si>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</si>
  <si>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</si>
  <si>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</si>
  <si>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</si>
  <si>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</si>
  <si>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</si>
  <si>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</si>
  <si>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</si>
  <si>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</si>
  <si>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</si>
  <si>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</si>
  <si>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</si>
  <si>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</si>
  <si>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</si>
  <si>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</si>
  <si>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</si>
  <si>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</si>
  <si>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</si>
  <si>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</si>
  <si>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</si>
  <si>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</si>
  <si>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</si>
  <si>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</si>
  <si>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</si>
  <si>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</si>
  <si>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</si>
  <si>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</si>
  <si>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</si>
  <si>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</si>
  <si>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</si>
  <si>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</si>
  <si>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</si>
  <si>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</si>
  <si>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</si>
  <si>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</si>
  <si>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</si>
  <si>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</si>
  <si>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</si>
  <si>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</si>
  <si>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</si>
  <si>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</si>
  <si>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</si>
  <si>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</si>
  <si>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</si>
  <si>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</si>
  <si>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</si>
  <si>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</si>
  <si>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</si>
  <si>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</si>
  <si>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</si>
  <si>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</si>
  <si>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</si>
  <si>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</si>
  <si>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</si>
  <si>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</si>
  <si>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</si>
  <si>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</si>
  <si>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</si>
  <si>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</si>
  <si>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</si>
  <si>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</si>
  <si>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</si>
  <si>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</si>
  <si>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</si>
  <si>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</si>
  <si>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</si>
  <si>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</si>
  <si>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</si>
  <si>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</si>
  <si>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</si>
  <si>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</si>
  <si>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</si>
  <si>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</si>
  <si>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</si>
  <si>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</si>
  <si>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</si>
  <si>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</si>
  <si>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</si>
  <si>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</si>
  <si>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</si>
  <si>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</si>
  <si>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</si>
  <si>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</si>
  <si>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</si>
  <si>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</si>
  <si>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</si>
  <si>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</si>
  <si>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</si>
  <si>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</si>
  <si>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</si>
  <si>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</si>
  <si>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</si>
  <si>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</si>
  <si>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</si>
  <si>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</si>
  <si>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</si>
  <si>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</si>
  <si>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</si>
  <si>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</si>
  <si>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</si>
  <si>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</si>
  <si>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</si>
  <si>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</si>
  <si>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</si>
  <si>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</si>
  <si>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</si>
  <si>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</si>
  <si>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</si>
  <si>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</si>
  <si>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</si>
  <si>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</si>
  <si>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</si>
  <si>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</si>
  <si>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</si>
  <si>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</si>
  <si>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</si>
  <si>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</si>
  <si>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</si>
  <si>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</si>
  <si>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</si>
  <si>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</si>
  <si>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</si>
  <si>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</si>
  <si>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</si>
  <si>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</si>
  <si>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</si>
  <si>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</si>
  <si>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</si>
  <si>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</si>
  <si>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</si>
  <si>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</si>
  <si>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</si>
  <si>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</si>
  <si>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</si>
  <si>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</si>
  <si>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</si>
  <si>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</si>
  <si>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</si>
  <si>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</si>
  <si>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</si>
  <si>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</si>
  <si>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</si>
  <si>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</si>
  <si>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</si>
  <si>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</si>
  <si>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</si>
  <si>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</si>
  <si>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</si>
  <si>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</si>
  <si>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</si>
  <si>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</si>
  <si>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</si>
  <si>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</si>
  <si>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</si>
  <si>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</si>
  <si>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</si>
  <si>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</si>
  <si>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</si>
  <si>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</si>
  <si>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</si>
  <si>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</si>
  <si>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</si>
  <si>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</si>
  <si>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</si>
  <si>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</si>
  <si>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</si>
  <si>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</si>
  <si>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</si>
  <si>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</si>
  <si>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</si>
  <si>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</si>
  <si>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</si>
  <si>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</si>
  <si>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</si>
  <si>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</si>
  <si>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</si>
  <si>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</si>
  <si>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</si>
  <si>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</si>
  <si>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</si>
  <si>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</si>
  <si>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</si>
  <si>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</si>
  <si>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</si>
  <si>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</si>
  <si>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</si>
  <si>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</si>
  <si>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</si>
  <si>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</si>
  <si>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</si>
  <si>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</si>
  <si>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</si>
  <si>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</si>
  <si>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</si>
  <si>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</si>
  <si>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</si>
  <si>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</si>
  <si>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</si>
  <si>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</si>
  <si>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</si>
  <si>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</si>
  <si>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</si>
  <si>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</si>
  <si>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</si>
  <si>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</si>
  <si>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</si>
  <si>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</si>
  <si>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</si>
  <si>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</si>
  <si>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</si>
  <si>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</si>
  <si>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</si>
  <si>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</si>
  <si>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</si>
  <si>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</si>
  <si>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</si>
  <si>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</si>
  <si>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</si>
  <si>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</si>
  <si>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</si>
  <si>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</si>
  <si>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</si>
  <si>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</si>
  <si>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</si>
  <si>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</si>
  <si>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</si>
  <si>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</si>
  <si>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</si>
  <si>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</si>
  <si>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</si>
  <si>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</si>
  <si>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</si>
  <si>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</si>
  <si>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</si>
  <si>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</si>
  <si>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</si>
  <si>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</si>
  <si>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</si>
  <si>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</si>
  <si>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</si>
  <si>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</si>
  <si>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</si>
  <si>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</si>
  <si>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</si>
  <si>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</si>
  <si>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</si>
  <si>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</si>
  <si>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</si>
  <si>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</si>
  <si>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</si>
  <si>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</si>
  <si>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</si>
  <si>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</si>
  <si>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</si>
  <si>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</si>
  <si>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</si>
  <si>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</si>
  <si>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</si>
  <si>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</si>
  <si>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</si>
  <si>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</si>
  <si>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</si>
  <si>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</si>
  <si>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</si>
  <si>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</si>
  <si>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</si>
  <si>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</si>
  <si>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</si>
  <si>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</si>
  <si>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</si>
  <si>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</si>
  <si>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</si>
  <si>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</si>
  <si>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</si>
  <si>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</si>
  <si>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</si>
  <si>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</si>
  <si>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</si>
  <si>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</si>
  <si>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</si>
  <si>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</si>
  <si>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</si>
  <si>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</si>
  <si>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</si>
  <si>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</si>
  <si>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</si>
  <si>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</si>
  <si>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</si>
  <si>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</si>
  <si>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</si>
  <si>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</si>
  <si>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</si>
  <si>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</si>
  <si>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</si>
  <si>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</si>
  <si>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</si>
  <si>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</si>
  <si>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</si>
  <si>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</si>
  <si>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</si>
  <si>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</si>
  <si>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</si>
  <si>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</si>
  <si>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</si>
  <si>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</si>
  <si>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</si>
  <si>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</si>
  <si>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</si>
  <si>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</si>
  <si>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</si>
  <si>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</si>
  <si>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</si>
  <si>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</si>
  <si>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</si>
  <si>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</si>
  <si>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</si>
  <si>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</si>
  <si>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</si>
  <si>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</si>
  <si>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</si>
  <si>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</si>
  <si>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</si>
  <si>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</si>
  <si>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</si>
  <si>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</si>
  <si>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</si>
  <si>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</si>
  <si>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</si>
  <si>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</si>
  <si>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</si>
  <si>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</si>
  <si>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</si>
  <si>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</si>
  <si>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</si>
  <si>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</si>
  <si>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</si>
  <si>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</si>
  <si>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</si>
  <si>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</si>
  <si>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</si>
  <si>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</si>
  <si>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</si>
  <si>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</si>
  <si>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</si>
  <si>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</si>
  <si>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</si>
  <si>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</si>
  <si>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</si>
  <si>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</si>
  <si>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</si>
  <si>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</si>
  <si>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</si>
  <si>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</si>
  <si>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</si>
  <si>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</si>
  <si>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</si>
  <si>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</si>
  <si>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</si>
  <si>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</si>
  <si>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</si>
  <si>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</si>
  <si>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</si>
  <si>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</si>
  <si>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</si>
  <si>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</si>
  <si>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</si>
  <si>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</si>
  <si>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</si>
  <si>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</si>
  <si>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</si>
  <si>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</si>
  <si>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</si>
  <si>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</si>
  <si>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</si>
  <si>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</si>
  <si>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</si>
  <si>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</si>
  <si>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</si>
  <si>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</si>
  <si>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</si>
  <si>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</si>
  <si>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</si>
  <si>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</si>
  <si>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</si>
  <si>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</si>
  <si>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</si>
  <si>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</si>
  <si>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</si>
  <si>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</si>
  <si>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</si>
  <si>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</si>
  <si>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</si>
  <si>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</si>
  <si>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</si>
  <si>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</si>
  <si>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</si>
  <si>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</si>
  <si>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</si>
  <si>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</si>
  <si>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</si>
  <si>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</si>
  <si>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</si>
  <si>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</si>
  <si>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</si>
  <si>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</si>
  <si>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</si>
  <si>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</si>
  <si>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</si>
  <si>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</si>
  <si>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</si>
  <si>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</si>
  <si>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</si>
  <si>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</si>
  <si>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</si>
  <si>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</si>
  <si>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</si>
  <si>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</si>
  <si>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</si>
  <si>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</si>
  <si>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</si>
  <si>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</si>
  <si>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</si>
  <si>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</si>
  <si>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</si>
  <si>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</si>
  <si>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</si>
  <si>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</si>
  <si>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</si>
  <si>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</si>
  <si>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</si>
  <si>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</si>
  <si>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</si>
  <si>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</si>
  <si>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</si>
  <si>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</si>
  <si>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</si>
  <si>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</si>
  <si>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</si>
  <si>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</si>
  <si>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</si>
  <si>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</si>
  <si>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</si>
  <si>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</si>
  <si>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</si>
  <si>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</si>
  <si>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</si>
  <si>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</si>
  <si>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</si>
  <si>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</si>
  <si>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</si>
  <si>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</si>
  <si>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</si>
  <si>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</si>
  <si>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</si>
  <si>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</si>
  <si>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</si>
  <si>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</si>
  <si>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</si>
  <si>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</si>
  <si>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</si>
  <si>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</si>
  <si>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</si>
  <si>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</si>
  <si>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</si>
  <si>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</si>
  <si>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</si>
  <si>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</si>
  <si>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</si>
  <si>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</si>
  <si>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</si>
  <si>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</si>
  <si>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</si>
  <si>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</si>
  <si>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</si>
  <si>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</si>
  <si>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</si>
  <si>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</si>
  <si>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</si>
  <si>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</si>
  <si>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</si>
  <si>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</si>
  <si>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</si>
  <si>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</si>
  <si>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</si>
  <si>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</si>
  <si>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</si>
  <si>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</si>
  <si>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</si>
  <si>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</si>
  <si>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</si>
  <si>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</si>
  <si>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</si>
  <si>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</si>
  <si>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</si>
  <si>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</si>
  <si>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</si>
  <si>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</si>
  <si>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</si>
  <si>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</si>
  <si>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</si>
  <si>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</si>
  <si>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</si>
  <si>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</si>
  <si>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</si>
  <si>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</si>
  <si>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</si>
  <si>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</si>
  <si>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</si>
  <si>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</si>
  <si>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</si>
  <si>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</si>
  <si>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</si>
  <si>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</si>
  <si>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</si>
  <si>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</si>
  <si>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</si>
  <si>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</si>
  <si>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</si>
  <si>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</si>
  <si>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</si>
  <si>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</si>
  <si>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</si>
  <si>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</si>
  <si>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</si>
  <si>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</si>
  <si>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</si>
  <si>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</si>
  <si>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</si>
  <si>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</si>
  <si>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</si>
  <si>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</si>
  <si>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</si>
  <si>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</si>
  <si>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</si>
  <si>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</si>
  <si>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</si>
  <si>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</si>
  <si>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</si>
  <si>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</si>
  <si>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</si>
  <si>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</si>
  <si>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</si>
  <si>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</si>
  <si>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</si>
  <si>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</si>
  <si>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</si>
  <si>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</si>
  <si>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</si>
  <si>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</si>
  <si>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</si>
  <si>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</si>
  <si>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</si>
  <si>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</si>
  <si>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</si>
  <si>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</si>
  <si>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</si>
  <si>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</si>
  <si>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</si>
  <si>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</si>
  <si>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</si>
  <si>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</si>
  <si>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</si>
  <si>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</si>
  <si>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</si>
  <si>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</si>
  <si>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</si>
  <si>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</si>
  <si>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</si>
  <si>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</si>
  <si>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</si>
  <si>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</si>
  <si>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</si>
  <si>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</si>
  <si>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</si>
  <si>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</si>
  <si>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</si>
  <si>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</si>
  <si>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</si>
  <si>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</si>
  <si>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</si>
  <si>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</si>
  <si>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</si>
  <si>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</si>
  <si>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</si>
  <si>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</si>
  <si>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</si>
  <si>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</si>
  <si>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</si>
  <si>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</si>
  <si>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</si>
  <si>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</si>
  <si>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</si>
  <si>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</si>
  <si>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</si>
  <si>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</si>
  <si>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</si>
  <si>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</si>
  <si>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</si>
  <si>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</si>
  <si>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</si>
  <si>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</si>
  <si>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</si>
  <si>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</si>
  <si>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</si>
  <si>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</si>
  <si>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</si>
  <si>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</si>
  <si>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</si>
  <si>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</si>
  <si>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</si>
  <si>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</si>
  <si>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</si>
  <si>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</si>
  <si>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</si>
  <si>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</si>
  <si>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</si>
  <si>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</si>
  <si>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</si>
  <si>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</si>
  <si>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</si>
  <si>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</si>
  <si>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</si>
  <si>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</si>
  <si>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</si>
  <si>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</si>
  <si>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</si>
  <si>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</si>
  <si>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</si>
  <si>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</si>
  <si>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</si>
  <si>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</si>
  <si>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</si>
  <si>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</si>
  <si>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</si>
  <si>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</si>
  <si>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</si>
  <si>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</si>
  <si>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</si>
  <si>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</si>
  <si>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</si>
  <si>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</si>
  <si>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</si>
  <si>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</si>
  <si>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</si>
  <si>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</si>
  <si>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</si>
  <si>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</si>
  <si>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</si>
  <si>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</si>
  <si>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</si>
  <si>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</si>
  <si>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</si>
  <si>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</si>
  <si>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</si>
  <si>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</si>
  <si>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</si>
  <si>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</si>
  <si>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</si>
  <si>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</si>
  <si>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</si>
  <si>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</si>
  <si>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</si>
  <si>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</si>
  <si>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</si>
  <si>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</si>
  <si>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</si>
  <si>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</si>
  <si>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</si>
  <si>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</si>
  <si>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</si>
  <si>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</si>
  <si>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</si>
  <si>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</si>
  <si>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</si>
  <si>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</si>
  <si>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</si>
  <si>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</si>
  <si>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</si>
  <si>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</si>
  <si>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</si>
  <si>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</si>
  <si>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</si>
  <si>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</si>
  <si>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</si>
  <si>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</si>
  <si>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</si>
  <si>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</si>
  <si>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</si>
  <si>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</si>
  <si>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</si>
  <si>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</si>
  <si>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</si>
  <si>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</si>
  <si>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</si>
  <si>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</si>
  <si>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</si>
  <si>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</si>
  <si>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</si>
  <si>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</si>
  <si>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</si>
  <si>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</si>
  <si>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</si>
  <si>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</si>
  <si>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</si>
  <si>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</si>
  <si>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</si>
  <si>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</si>
  <si>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</si>
  <si>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</si>
  <si>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</si>
  <si>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</si>
  <si>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</si>
  <si>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</si>
  <si>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</si>
  <si>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</si>
  <si>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</si>
  <si>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</si>
  <si>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</si>
  <si>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</si>
  <si>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</si>
  <si>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</si>
  <si>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</si>
  <si>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</si>
  <si>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</si>
  <si>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</si>
  <si>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</si>
  <si>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</si>
  <si>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</si>
  <si>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</si>
  <si>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</si>
  <si>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</si>
  <si>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</si>
  <si>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</si>
  <si>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</si>
  <si>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</si>
  <si>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</si>
  <si>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</si>
  <si>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</si>
  <si>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</si>
  <si>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</si>
  <si>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</si>
  <si>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</si>
  <si>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</si>
  <si>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</si>
  <si>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</si>
  <si>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</si>
  <si>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</si>
  <si>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</si>
  <si>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</si>
  <si>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</si>
  <si>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</si>
  <si>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</si>
  <si>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</si>
  <si>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</si>
  <si>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</si>
  <si>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</si>
  <si>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</si>
  <si>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</si>
  <si>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</si>
  <si>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</si>
  <si>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</si>
  <si>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</si>
  <si>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</si>
  <si>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</si>
  <si>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</si>
  <si>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</si>
  <si>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</si>
  <si>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</si>
  <si>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</si>
  <si>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</si>
  <si>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</si>
  <si>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</si>
  <si>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</si>
  <si>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</si>
  <si>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</si>
  <si>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</si>
  <si>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</si>
  <si>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</si>
  <si>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</si>
  <si>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</si>
  <si>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</si>
  <si>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</si>
  <si>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</si>
  <si>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</si>
  <si>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</si>
  <si>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</si>
  <si>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</si>
  <si>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</si>
  <si>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</si>
  <si>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</si>
  <si>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</si>
  <si>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</si>
  <si>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</si>
  <si>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</si>
  <si>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</si>
  <si>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</si>
  <si>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</si>
  <si>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</si>
  <si>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</si>
  <si>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</si>
  <si>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</si>
  <si>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</si>
  <si>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</si>
  <si>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</si>
  <si>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</si>
  <si>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</si>
  <si>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</si>
  <si>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</si>
  <si>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</si>
  <si>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</si>
  <si>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</si>
  <si>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</si>
  <si>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</si>
  <si>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</si>
  <si>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</si>
  <si>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</si>
  <si>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</si>
  <si>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</si>
  <si>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</si>
  <si>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</si>
  <si>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</si>
  <si>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</si>
  <si>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</si>
  <si>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</si>
  <si>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</si>
  <si>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</si>
  <si>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</si>
  <si>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</si>
  <si>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</si>
  <si>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</si>
  <si>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</si>
  <si>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</si>
  <si>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</si>
  <si>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</si>
  <si>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</si>
  <si>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</si>
  <si>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</si>
  <si>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</si>
  <si>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</si>
  <si>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</si>
  <si>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</si>
  <si>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</si>
  <si>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</si>
  <si>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</si>
  <si>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</si>
  <si>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</si>
  <si>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</si>
  <si>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</si>
  <si>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</si>
  <si>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</si>
  <si>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</si>
  <si>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</si>
  <si>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</si>
  <si>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</si>
  <si>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</si>
  <si>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</si>
  <si>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</si>
  <si>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</si>
  <si>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</si>
  <si>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</si>
  <si>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</si>
  <si>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</si>
  <si>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</si>
  <si>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</si>
  <si>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</si>
  <si>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</si>
  <si>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</si>
  <si>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</si>
  <si>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</si>
  <si>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</si>
  <si>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</si>
  <si>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</si>
  <si>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</si>
  <si>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</si>
  <si>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</si>
  <si>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</si>
  <si>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</si>
  <si>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</si>
  <si>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</si>
  <si>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</si>
  <si>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</si>
  <si>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</si>
  <si>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</si>
  <si>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</si>
  <si>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</si>
  <si>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</si>
  <si>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</si>
  <si>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</si>
  <si>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</si>
  <si>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</si>
  <si>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</si>
  <si>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</si>
  <si>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</si>
  <si>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</si>
  <si>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</si>
  <si>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</si>
  <si>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</si>
  <si>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</si>
  <si>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</si>
  <si>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</si>
  <si>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</si>
  <si>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</si>
  <si>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</si>
  <si>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</si>
  <si>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</si>
  <si>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</si>
  <si>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</si>
  <si>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</si>
  <si>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</si>
  <si>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</si>
  <si>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</si>
  <si>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</si>
  <si>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</si>
  <si>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</si>
  <si>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</si>
  <si>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</si>
  <si>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</si>
  <si>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</si>
  <si>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</si>
  <si>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</si>
  <si>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</si>
  <si>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</si>
  <si>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</si>
  <si>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</si>
  <si>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</si>
  <si>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</si>
  <si>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</si>
  <si>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</si>
  <si>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</si>
  <si>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</si>
  <si>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</si>
  <si>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</si>
  <si>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</si>
  <si>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</si>
  <si>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</si>
  <si>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</si>
  <si>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</si>
  <si>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</si>
  <si>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</si>
  <si>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</si>
  <si>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</si>
  <si>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</si>
  <si>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</si>
  <si>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</si>
  <si>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</si>
  <si>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</si>
  <si>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</si>
  <si>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</si>
  <si>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</si>
  <si>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</si>
  <si>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</si>
  <si>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</si>
  <si>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</si>
  <si>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</si>
  <si>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</si>
  <si>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</si>
  <si>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</si>
  <si>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</si>
  <si>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</si>
  <si>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</si>
  <si>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</si>
  <si>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</si>
  <si>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</si>
  <si>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</si>
  <si>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</si>
  <si>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</si>
  <si>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</si>
  <si>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</si>
  <si>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</si>
  <si>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</si>
  <si>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</si>
  <si>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</si>
  <si>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</si>
  <si>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</si>
  <si>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</si>
  <si>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</si>
  <si>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</si>
  <si>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</si>
  <si>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</si>
  <si>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</si>
  <si>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</si>
  <si>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</si>
  <si>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</si>
  <si>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</si>
  <si>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</si>
  <si>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</si>
  <si>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</si>
  <si>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</si>
  <si>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</si>
  <si>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</si>
  <si>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</si>
  <si>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</si>
  <si>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</si>
  <si>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</si>
  <si>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</si>
  <si>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</si>
  <si>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</si>
  <si>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</si>
  <si>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</si>
  <si>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</si>
  <si>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</si>
  <si>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</si>
  <si>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</si>
  <si>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</si>
  <si>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</si>
  <si>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</si>
  <si>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</si>
  <si>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</si>
  <si>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</si>
  <si>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</si>
  <si>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</si>
  <si>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</si>
  <si>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</si>
  <si>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</si>
  <si>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</si>
  <si>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</si>
  <si>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</si>
  <si>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</si>
  <si>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</si>
  <si>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</si>
  <si>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</si>
  <si>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</si>
  <si>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</si>
  <si>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</si>
  <si>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</si>
  <si>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</si>
  <si>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</si>
  <si>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</si>
  <si>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</si>
  <si>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</si>
  <si>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</si>
  <si>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</si>
  <si>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</si>
  <si>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</si>
  <si>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</si>
  <si>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</si>
  <si>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</si>
  <si>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</si>
  <si>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</si>
  <si>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</si>
  <si>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</si>
  <si>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</si>
  <si>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</si>
  <si>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</si>
  <si>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</si>
  <si>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</si>
  <si>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</si>
  <si>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</si>
  <si>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</si>
  <si>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</si>
  <si>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</si>
  <si>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</si>
  <si>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</si>
  <si>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</si>
  <si>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</si>
  <si>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</si>
  <si>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</si>
  <si>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</si>
  <si>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</si>
  <si>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</si>
  <si>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</si>
  <si>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</si>
  <si>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</si>
  <si>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</si>
  <si>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</si>
  <si>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</si>
  <si>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</si>
  <si>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</si>
  <si>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</si>
  <si>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</si>
  <si>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</si>
  <si>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</si>
  <si>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</si>
  <si>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</si>
  <si>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</si>
  <si>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</si>
  <si>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</si>
  <si>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</si>
  <si>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</si>
  <si>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</si>
  <si>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</si>
  <si>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</si>
  <si>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</si>
  <si>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</si>
  <si>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</si>
  <si>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</si>
  <si>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</si>
  <si>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</si>
  <si>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</si>
  <si>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</si>
  <si>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</si>
  <si>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</si>
  <si>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</si>
  <si>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</si>
  <si>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</si>
  <si>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</si>
  <si>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</si>
  <si>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</si>
  <si>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</si>
  <si>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</si>
  <si>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</si>
  <si>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</si>
  <si>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</si>
  <si>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</si>
  <si>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</si>
  <si>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</si>
  <si>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</si>
  <si>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</si>
  <si>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</si>
  <si>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</si>
  <si>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</si>
  <si>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</si>
  <si>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</si>
  <si>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</si>
  <si>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</si>
  <si>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</si>
  <si>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</si>
  <si>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</si>
  <si>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</si>
  <si>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</si>
  <si>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</si>
  <si>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</si>
  <si>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</si>
  <si>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</si>
  <si>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</si>
  <si>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</si>
  <si>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</si>
  <si>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</si>
  <si>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</si>
  <si>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</si>
  <si>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</si>
  <si>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</si>
  <si>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</si>
  <si>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</si>
  <si>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</si>
  <si>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</si>
  <si>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</si>
  <si>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</si>
  <si>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</si>
  <si>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</si>
  <si>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</si>
  <si>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</si>
  <si>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</si>
  <si>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</si>
  <si>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</si>
  <si>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</si>
  <si>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</si>
  <si>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</si>
  <si>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</si>
  <si>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</si>
  <si>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</si>
  <si>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</si>
  <si>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</si>
  <si>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</si>
  <si>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</si>
  <si>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</si>
  <si>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</si>
  <si>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</si>
  <si>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</si>
  <si>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</si>
  <si>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</si>
  <si>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</si>
  <si>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</si>
  <si>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</si>
  <si>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</si>
  <si>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</si>
  <si>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</si>
  <si>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</si>
  <si>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</si>
  <si>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</si>
  <si>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</si>
  <si>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</si>
  <si>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</si>
  <si>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</si>
  <si>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</si>
  <si>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</si>
  <si>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</si>
  <si>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</si>
  <si>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</si>
  <si>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</si>
  <si>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</si>
  <si>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</si>
  <si>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</si>
  <si>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</si>
  <si>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</si>
  <si>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</si>
  <si>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</si>
  <si>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</si>
  <si>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</si>
  <si>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</si>
  <si>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</si>
  <si>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</si>
  <si>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</si>
  <si>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</si>
  <si>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</si>
  <si>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</si>
  <si>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</si>
  <si>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</si>
  <si>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</si>
  <si>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</si>
  <si>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</si>
  <si>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</si>
  <si>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</si>
  <si>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</si>
  <si>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</si>
  <si>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</si>
  <si>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</si>
  <si>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</si>
  <si>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</si>
  <si>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</si>
  <si>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</si>
  <si>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</si>
  <si>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</si>
  <si>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</si>
  <si>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</si>
  <si>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</si>
  <si>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</si>
  <si>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</si>
  <si>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</si>
  <si>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</si>
  <si>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</si>
  <si>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</si>
  <si>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</si>
  <si>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</si>
  <si>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</si>
  <si>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</si>
  <si>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</si>
  <si>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</si>
  <si>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</si>
  <si>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</si>
  <si>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</si>
  <si>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</si>
  <si>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</si>
  <si>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</si>
  <si>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</si>
  <si>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</si>
  <si>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</si>
  <si>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</si>
  <si>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</si>
  <si>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</si>
  <si>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</si>
  <si>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</si>
  <si>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</si>
  <si>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</si>
  <si>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</si>
  <si>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</si>
  <si>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</si>
  <si>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</si>
  <si>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</si>
  <si>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</si>
  <si>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</si>
  <si>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</si>
  <si>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</si>
  <si>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</si>
  <si>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</si>
  <si>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</si>
  <si>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</si>
  <si>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</si>
  <si>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</si>
  <si>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</si>
  <si>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</si>
  <si>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</si>
  <si>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</si>
  <si>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</si>
  <si>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</si>
  <si>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</si>
  <si>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</si>
  <si>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</si>
  <si>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</si>
  <si>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</si>
  <si>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</si>
  <si>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</si>
  <si>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</si>
  <si>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</si>
  <si>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</si>
  <si>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</si>
  <si>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</si>
  <si>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</si>
  <si>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</si>
  <si>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</si>
  <si>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</si>
  <si>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</si>
  <si>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</si>
  <si>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</si>
  <si>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</si>
  <si>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</si>
  <si>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</si>
  <si>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</si>
  <si>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</si>
  <si>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</si>
  <si>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</si>
  <si>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</si>
  <si>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</si>
  <si>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</si>
  <si>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</si>
  <si>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</si>
  <si>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</si>
  <si>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</si>
  <si>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</si>
  <si>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</si>
  <si>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</si>
  <si>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</si>
  <si>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</si>
  <si>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</si>
  <si>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</si>
  <si>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</si>
  <si>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</si>
  <si>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</si>
  <si>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</si>
  <si>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</si>
  <si>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</si>
  <si>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</si>
  <si>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</si>
  <si>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</si>
  <si>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</si>
  <si>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</si>
  <si>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</si>
  <si>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</si>
  <si>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</si>
  <si>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</si>
  <si>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</si>
  <si>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</si>
  <si>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</si>
  <si>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</si>
  <si>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</si>
  <si>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</si>
  <si>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</si>
  <si>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</si>
  <si>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</si>
  <si>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</si>
  <si>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</si>
  <si>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</si>
  <si>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</si>
  <si>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</si>
  <si>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</si>
  <si>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</si>
  <si>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</si>
  <si>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</si>
  <si>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</si>
  <si>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</si>
  <si>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</si>
  <si>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</si>
  <si>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</si>
  <si>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</si>
  <si>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</si>
  <si>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</si>
  <si>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</si>
  <si>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</si>
  <si>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</si>
  <si>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</si>
  <si>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</si>
  <si>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</si>
  <si>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</si>
  <si>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</si>
  <si>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</si>
  <si>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</si>
  <si>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</si>
  <si>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</si>
  <si>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</si>
  <si>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</si>
  <si>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</si>
  <si>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</si>
  <si>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</si>
  <si>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</si>
  <si>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</si>
  <si>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</si>
  <si>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</si>
  <si>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</si>
  <si>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</si>
  <si>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</si>
  <si>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</si>
  <si>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</si>
  <si>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</si>
  <si>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</si>
  <si>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</si>
  <si>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</si>
  <si>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</si>
  <si>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</si>
  <si>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</si>
  <si>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</si>
  <si>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</si>
  <si>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</si>
  <si>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</si>
  <si>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</si>
  <si>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</si>
  <si>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</si>
  <si>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</si>
  <si>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</si>
  <si>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</si>
  <si>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</si>
  <si>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</si>
  <si>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</si>
  <si>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</si>
  <si>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</si>
  <si>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</si>
  <si>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</si>
  <si>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</si>
  <si>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</si>
  <si>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</si>
  <si>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</si>
  <si>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</si>
  <si>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</si>
  <si>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</si>
  <si>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</si>
  <si>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</si>
  <si>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</si>
  <si>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</si>
  <si>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</si>
  <si>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</si>
  <si>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</si>
  <si>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</si>
  <si>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</si>
  <si>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</si>
  <si>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</si>
  <si>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</si>
  <si>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</si>
  <si>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</si>
  <si>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</si>
  <si>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</si>
  <si>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</si>
  <si>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</si>
  <si>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</si>
  <si>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</si>
  <si>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</si>
  <si>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</si>
  <si>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</si>
  <si>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</si>
  <si>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</si>
  <si>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</si>
  <si>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</si>
  <si>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</si>
  <si>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</si>
  <si>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</si>
  <si>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</si>
  <si>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</si>
  <si>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</si>
  <si>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</si>
  <si>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</si>
  <si>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</si>
  <si>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</si>
  <si>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</si>
  <si>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</si>
  <si>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</si>
  <si>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</si>
  <si>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</si>
  <si>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</si>
  <si>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</si>
  <si>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</si>
  <si>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</si>
  <si>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</si>
  <si>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</si>
  <si>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</si>
  <si>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</si>
  <si>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</si>
  <si>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</si>
  <si>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</si>
  <si>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</si>
  <si>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</si>
  <si>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</si>
  <si>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</si>
  <si>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</si>
  <si>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</si>
  <si>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</si>
  <si>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</si>
  <si>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</si>
  <si>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</si>
  <si>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</si>
  <si>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</si>
  <si>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</si>
  <si>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</si>
  <si>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</si>
  <si>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</si>
  <si>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</si>
  <si>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</si>
  <si>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</si>
  <si>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</si>
  <si>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</si>
  <si>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</si>
  <si>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</si>
  <si>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</si>
  <si>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</si>
  <si>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</si>
  <si>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</si>
  <si>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</si>
  <si>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</si>
  <si>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</si>
  <si>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</si>
  <si>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</si>
  <si>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</si>
  <si>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</si>
  <si>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</si>
  <si>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</si>
  <si>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</si>
  <si>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</si>
  <si>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</si>
  <si>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</si>
  <si>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</si>
  <si>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</si>
  <si>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</si>
  <si>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</si>
  <si>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</si>
  <si>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</si>
  <si>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</si>
  <si>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</si>
  <si>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</si>
  <si>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</si>
  <si>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</si>
  <si>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</si>
  <si>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</si>
  <si>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</si>
  <si>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</si>
  <si>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</si>
  <si>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</si>
  <si>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</si>
  <si>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</si>
  <si>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</si>
  <si>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</si>
  <si>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</si>
  <si>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</si>
  <si>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</si>
  <si>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</si>
  <si>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</si>
  <si>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</si>
  <si>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</si>
  <si>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</si>
  <si>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</si>
  <si>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</si>
  <si>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</si>
  <si>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</si>
  <si>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</si>
  <si>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</si>
  <si>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</si>
  <si>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</si>
  <si>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</si>
  <si>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</si>
  <si>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</si>
  <si>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</si>
  <si>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</si>
  <si>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</si>
  <si>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</si>
  <si>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</si>
  <si>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</si>
  <si>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</si>
  <si>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</si>
  <si>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</si>
  <si>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</si>
  <si>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</si>
  <si>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</si>
  <si>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</si>
  <si>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</si>
  <si>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</si>
  <si>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</si>
  <si>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</si>
  <si>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</si>
  <si>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</si>
  <si>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</si>
  <si>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</si>
  <si>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</si>
  <si>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</si>
  <si>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</si>
  <si>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</si>
  <si>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</si>
  <si>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</si>
  <si>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</si>
  <si>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</si>
  <si>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</si>
  <si>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</si>
  <si>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</si>
  <si>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</si>
  <si>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</si>
  <si>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</si>
  <si>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</si>
  <si>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</si>
  <si>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</si>
  <si>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</si>
  <si>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</si>
  <si>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</si>
  <si>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</si>
  <si>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</si>
  <si>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</si>
  <si>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</si>
  <si>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</si>
  <si>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</si>
  <si>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</si>
  <si>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</si>
  <si>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</si>
  <si>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</si>
  <si>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</si>
  <si>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</si>
  <si>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</si>
  <si>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</si>
  <si>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</si>
  <si>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</si>
  <si>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</si>
  <si>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</si>
  <si>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</si>
  <si>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</si>
  <si>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</si>
  <si>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</si>
  <si>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</si>
  <si>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</si>
  <si>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</si>
  <si>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</si>
  <si>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</si>
  <si>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</si>
  <si>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</si>
  <si>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</si>
  <si>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</si>
  <si>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</si>
  <si>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</si>
  <si>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</si>
  <si>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</si>
  <si>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</si>
  <si>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</si>
  <si>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</si>
  <si>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</si>
  <si>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</si>
  <si>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</si>
  <si>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</si>
  <si>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</si>
  <si>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</si>
  <si>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</si>
  <si>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</si>
  <si>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</si>
  <si>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</si>
  <si>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</si>
  <si>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</si>
  <si>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</si>
  <si>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</si>
  <si>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</si>
  <si>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</si>
  <si>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</si>
  <si>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</si>
  <si>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</si>
  <si>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</si>
  <si>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</si>
  <si>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</si>
  <si>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</si>
  <si>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</si>
  <si>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</si>
  <si>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</si>
  <si>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</si>
  <si>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</si>
  <si>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</si>
  <si>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</si>
  <si>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</si>
  <si>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</si>
  <si>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</si>
  <si>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</si>
  <si>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</si>
  <si>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</si>
  <si>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</si>
  <si>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</si>
  <si>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</si>
  <si>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</si>
  <si>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</si>
  <si>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</si>
  <si>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</si>
  <si>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</si>
  <si>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</si>
  <si>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</si>
  <si>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</si>
  <si>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</si>
  <si>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</si>
  <si>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</si>
  <si>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</si>
  <si>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</si>
  <si>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</si>
  <si>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</si>
  <si>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</si>
  <si>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</si>
  <si>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</si>
  <si>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</si>
  <si>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</si>
  <si>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</si>
  <si>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</si>
  <si>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</si>
  <si>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</si>
  <si>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</si>
  <si>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</si>
  <si>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</si>
  <si>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</si>
  <si>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</si>
  <si>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</si>
  <si>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</si>
  <si>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</si>
  <si>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</si>
  <si>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</si>
  <si>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</si>
  <si>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</si>
  <si>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</si>
  <si>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</si>
  <si>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</si>
  <si>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</si>
  <si>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</si>
  <si>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</si>
  <si>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</si>
  <si>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</si>
  <si>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</si>
  <si>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</si>
  <si>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</si>
  <si>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</si>
  <si>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</si>
  <si>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</si>
  <si>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</si>
  <si>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</si>
  <si>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</si>
  <si>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</si>
  <si>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</si>
  <si>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</si>
  <si>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</si>
  <si>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</si>
  <si>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</si>
  <si>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</si>
  <si>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</si>
  <si>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</si>
  <si>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</si>
  <si>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</si>
  <si>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</si>
  <si>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</si>
  <si>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</si>
  <si>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</si>
  <si>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</si>
  <si>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</si>
  <si>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</si>
  <si>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</si>
  <si>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</si>
  <si>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</si>
  <si>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</si>
  <si>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</si>
  <si>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</si>
  <si>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</si>
  <si>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</si>
  <si>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</si>
  <si>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</si>
  <si>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</si>
  <si>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</si>
  <si>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</si>
  <si>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</si>
  <si>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</si>
  <si>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</si>
  <si>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</si>
  <si>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</si>
  <si>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</si>
  <si>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</si>
  <si>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</si>
  <si>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</si>
  <si>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</si>
  <si>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</si>
  <si>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</si>
  <si>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</si>
  <si>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</si>
  <si>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</si>
  <si>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</si>
  <si>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</si>
  <si>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</si>
  <si>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</si>
  <si>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</si>
  <si>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</si>
  <si>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</si>
  <si>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</si>
  <si>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</si>
  <si>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</si>
  <si>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</si>
  <si>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</si>
  <si>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</si>
  <si>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</si>
  <si>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</si>
  <si>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</si>
  <si>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</si>
  <si>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</si>
  <si>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</si>
  <si>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</si>
  <si>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</si>
  <si>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</si>
  <si>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</si>
  <si>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</si>
  <si>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</si>
  <si>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</si>
  <si>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</si>
  <si>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</si>
  <si>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</si>
  <si>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</si>
  <si>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</si>
  <si>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</si>
  <si>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</si>
  <si>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</si>
  <si>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</si>
  <si>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</si>
  <si>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</si>
  <si>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</si>
  <si>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</si>
  <si>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</si>
  <si>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</si>
  <si>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</si>
  <si>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</si>
  <si>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</si>
  <si>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</si>
  <si>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</si>
  <si>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</si>
  <si>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</si>
  <si>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</si>
  <si>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</si>
  <si>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</si>
  <si>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</si>
  <si>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</si>
  <si>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</si>
  <si>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</si>
  <si>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</si>
  <si>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</si>
  <si>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</si>
  <si>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</si>
  <si>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</si>
  <si>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</si>
  <si>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</si>
  <si>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</si>
  <si>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</si>
  <si>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</si>
  <si>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</si>
  <si>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</si>
  <si>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</si>
  <si>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</si>
  <si>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</si>
  <si>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</si>
  <si>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</si>
  <si>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</si>
  <si>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</si>
  <si>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</si>
  <si>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</si>
  <si>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</si>
  <si>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</si>
  <si>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</si>
  <si>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</si>
  <si>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</si>
  <si>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</si>
  <si>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</si>
  <si>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</si>
  <si>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</si>
  <si>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</si>
  <si>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</si>
  <si>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</si>
  <si>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</si>
  <si>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</si>
  <si>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</si>
  <si>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</si>
  <si>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</si>
  <si>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</si>
  <si>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</si>
  <si>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</si>
  <si>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</si>
  <si>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</si>
  <si>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</si>
  <si>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</si>
  <si>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</si>
  <si>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</si>
  <si>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</si>
  <si>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</si>
  <si>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</si>
  <si>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</si>
  <si>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</si>
  <si>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</si>
  <si>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</si>
  <si>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</si>
  <si>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</si>
  <si>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</si>
  <si>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</si>
  <si>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</si>
  <si>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</si>
  <si>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</si>
  <si>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</si>
  <si>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</si>
  <si>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</si>
  <si>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</si>
  <si>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</si>
  <si>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</si>
  <si>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</si>
  <si>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</si>
  <si>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</si>
  <si>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</si>
  <si>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</si>
  <si>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</si>
  <si>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</si>
  <si>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</si>
  <si>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</si>
  <si>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</si>
  <si>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</si>
  <si>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</si>
  <si>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</si>
  <si>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</si>
  <si>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</si>
  <si>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</si>
  <si>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</si>
  <si>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</si>
  <si>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</si>
  <si>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</si>
  <si>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</si>
  <si>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</si>
  <si>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</si>
  <si>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</si>
  <si>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</si>
  <si>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</si>
  <si>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</si>
  <si>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</si>
  <si>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</si>
  <si>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</si>
  <si>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</si>
  <si>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</si>
  <si>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</si>
  <si>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</si>
  <si>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</si>
  <si>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</si>
  <si>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</si>
  <si>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</si>
  <si>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</si>
  <si>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</si>
  <si>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</si>
  <si>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</si>
  <si>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</si>
  <si>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</si>
  <si>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</si>
  <si>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</si>
  <si>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</si>
  <si>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</si>
  <si>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</si>
  <si>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</si>
  <si>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</si>
  <si>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</si>
  <si>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</si>
  <si>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</si>
  <si>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</si>
  <si>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</si>
  <si>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</si>
  <si>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</si>
  <si>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</si>
  <si>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</si>
  <si>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</si>
  <si>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</si>
  <si>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</si>
  <si>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</si>
  <si>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</si>
  <si>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</si>
  <si>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</si>
  <si>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</si>
  <si>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</si>
  <si>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</si>
  <si>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</si>
  <si>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</si>
  <si>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</si>
  <si>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</si>
  <si>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</si>
  <si>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</si>
  <si>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</si>
  <si>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</si>
  <si>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</si>
  <si>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</si>
  <si>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</si>
  <si>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</si>
  <si>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</si>
  <si>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</si>
  <si>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</si>
  <si>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</si>
  <si>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</si>
  <si>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</si>
  <si>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</si>
  <si>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</si>
  <si>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</si>
  <si>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</si>
  <si>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</si>
  <si>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</si>
  <si>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</si>
  <si>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</si>
  <si>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</si>
  <si>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</si>
  <si>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</si>
  <si>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</si>
  <si>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</si>
  <si>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</si>
  <si>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</si>
  <si>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</si>
  <si>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</si>
  <si>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</si>
  <si>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</si>
  <si>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</si>
  <si>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</si>
  <si>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</si>
  <si>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</si>
  <si>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</si>
  <si>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</si>
  <si>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</si>
  <si>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</si>
  <si>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</si>
  <si>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</si>
  <si>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</si>
  <si>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</si>
  <si>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</si>
  <si>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</si>
  <si>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</si>
  <si>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</si>
  <si>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</si>
  <si>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</si>
  <si>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</si>
  <si>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</si>
  <si>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</si>
  <si>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</si>
  <si>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</si>
  <si>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</si>
  <si>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</si>
  <si>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</si>
  <si>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</si>
  <si>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</si>
  <si>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</si>
  <si>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</si>
  <si>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</si>
  <si>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</si>
  <si>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</si>
  <si>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</si>
  <si>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</si>
  <si>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</si>
  <si>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</si>
  <si>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</si>
  <si>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</si>
  <si>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</si>
  <si>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</si>
  <si>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</si>
  <si>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</si>
  <si>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</si>
  <si>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</si>
  <si>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</si>
  <si>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</si>
  <si>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</si>
  <si>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</si>
  <si>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</si>
  <si>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</si>
  <si>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</si>
  <si>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</si>
  <si>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</si>
  <si>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</si>
  <si>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</si>
  <si>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</si>
  <si>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</si>
  <si>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</si>
  <si>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</si>
  <si>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</si>
  <si>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</si>
  <si>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</si>
  <si>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</si>
  <si>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</si>
  <si>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</si>
  <si>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</si>
  <si>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</si>
  <si>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</si>
  <si>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</si>
  <si>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</si>
  <si>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</si>
  <si>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</si>
  <si>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</si>
  <si>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</si>
  <si>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</si>
  <si>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</si>
  <si>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</si>
  <si>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</si>
  <si>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</si>
  <si>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</si>
  <si>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</si>
  <si>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</si>
  <si>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</si>
  <si>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</si>
  <si>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</si>
  <si>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</si>
  <si>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</si>
  <si>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</si>
  <si>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</si>
  <si>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</si>
  <si>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</si>
  <si>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</si>
  <si>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</si>
  <si>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</si>
  <si>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</si>
  <si>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</si>
  <si>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</si>
  <si>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</si>
  <si>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</si>
  <si>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</si>
  <si>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</si>
  <si>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</si>
  <si>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</si>
  <si>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</si>
  <si>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</si>
  <si>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</si>
  <si>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</si>
  <si>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</si>
  <si>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</si>
  <si>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</si>
  <si>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</si>
  <si>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</si>
  <si>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</si>
  <si>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</si>
  <si>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</si>
  <si>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</si>
  <si>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</si>
  <si>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</si>
  <si>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</si>
  <si>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</si>
  <si>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</si>
  <si>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</si>
  <si>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</si>
  <si>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</si>
  <si>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</si>
  <si>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</si>
  <si>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</si>
  <si>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</si>
  <si>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</si>
  <si>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</si>
  <si>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</si>
  <si>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</si>
  <si>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</si>
  <si>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</si>
  <si>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</si>
  <si>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</si>
  <si>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</si>
  <si>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</si>
  <si>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</si>
  <si>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</si>
  <si>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</si>
  <si>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</si>
  <si>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</si>
  <si>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</si>
  <si>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</si>
  <si>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</si>
  <si>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</si>
  <si>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</si>
  <si>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</si>
  <si>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</si>
  <si>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</si>
  <si>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</si>
  <si>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</si>
  <si>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</si>
  <si>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</si>
  <si>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</si>
  <si>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</si>
  <si>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</si>
  <si>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</si>
  <si>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</si>
  <si>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</si>
  <si>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</si>
  <si>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</si>
  <si>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</si>
  <si>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</si>
  <si>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</si>
  <si>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</si>
  <si>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</si>
  <si>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</si>
  <si>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</si>
  <si>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</si>
  <si>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</si>
  <si>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</si>
  <si>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</si>
  <si>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</si>
  <si>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</si>
  <si>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</si>
  <si>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</si>
  <si>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</si>
  <si>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</si>
  <si>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</si>
  <si>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</si>
  <si>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</si>
  <si>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</si>
  <si>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</si>
  <si>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</si>
  <si>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</si>
  <si>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</si>
  <si>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</si>
  <si>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</si>
  <si>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</si>
  <si>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</si>
  <si>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</si>
  <si>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</si>
  <si>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</si>
  <si>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</si>
  <si>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</si>
  <si>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</si>
  <si>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</si>
  <si>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</si>
  <si>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</si>
  <si>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</si>
  <si>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</si>
  <si>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</si>
  <si>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</si>
  <si>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</si>
  <si>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</si>
  <si>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</si>
  <si>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</si>
  <si>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</si>
  <si>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</si>
  <si>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</si>
  <si>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</si>
  <si>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</si>
  <si>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</si>
  <si>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</si>
  <si>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</si>
  <si>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</si>
  <si>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</si>
  <si>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</si>
  <si>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</si>
  <si>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</si>
  <si>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</si>
  <si>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</si>
  <si>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</si>
  <si>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</si>
  <si>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</si>
  <si>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</si>
  <si>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</si>
  <si>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</si>
  <si>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</si>
  <si>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</si>
  <si>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</si>
  <si>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</si>
  <si>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</si>
  <si>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</si>
  <si>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</si>
  <si>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</si>
  <si>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</si>
  <si>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</si>
  <si>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</si>
  <si>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</si>
  <si>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</si>
  <si>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</si>
  <si>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</si>
  <si>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</si>
  <si>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</si>
  <si>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</si>
  <si>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</si>
  <si>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</si>
  <si>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</si>
  <si>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</si>
  <si>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</si>
  <si>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</si>
  <si>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</si>
  <si>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</si>
  <si>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</si>
  <si>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</si>
  <si>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</si>
  <si>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</si>
  <si>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</si>
  <si>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</si>
  <si>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</si>
  <si>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</si>
  <si>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</si>
  <si>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</si>
  <si>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</si>
  <si>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</si>
  <si>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</si>
  <si>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</si>
  <si>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</si>
  <si>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</si>
  <si>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</si>
  <si>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</si>
  <si>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</si>
  <si>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</si>
  <si>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</si>
  <si>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</si>
  <si>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</si>
  <si>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</si>
  <si>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</si>
  <si>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</si>
  <si>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</si>
  <si>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</si>
  <si>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</si>
  <si>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</si>
  <si>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</si>
  <si>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</si>
  <si>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</si>
  <si>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</si>
  <si>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</si>
  <si>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</si>
  <si>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</si>
  <si>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</si>
  <si>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</si>
  <si>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</si>
  <si>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</si>
  <si>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</si>
  <si>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</si>
  <si>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</si>
  <si>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</si>
  <si>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</si>
  <si>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</si>
  <si>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</si>
  <si>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</si>
  <si>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</si>
  <si>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</si>
  <si>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</si>
  <si>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</si>
  <si>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</si>
  <si>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</si>
  <si>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</si>
  <si>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</si>
  <si>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</si>
  <si>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</si>
  <si>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</si>
  <si>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</si>
  <si>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</si>
  <si>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</si>
  <si>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</si>
  <si>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</si>
  <si>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</si>
  <si>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</si>
  <si>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</si>
  <si>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</si>
  <si>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</si>
  <si>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</si>
  <si>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</si>
  <si>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</si>
  <si>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</si>
  <si>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</si>
  <si>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</si>
  <si>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</si>
  <si>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</si>
  <si>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</si>
  <si>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</si>
  <si>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</si>
  <si>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</si>
  <si>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</si>
  <si>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</si>
  <si>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</si>
  <si>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</si>
  <si>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</si>
  <si>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</si>
  <si>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</si>
  <si>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</si>
  <si>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</si>
  <si>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</si>
  <si>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</si>
  <si>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</si>
  <si>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</si>
  <si>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</si>
  <si>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</si>
  <si>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</si>
  <si>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</si>
  <si>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</si>
  <si>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</si>
  <si>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</si>
  <si>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</si>
  <si>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</si>
  <si>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</si>
  <si>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</si>
  <si>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</si>
  <si>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</si>
  <si>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</si>
  <si>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</si>
  <si>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</si>
  <si>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</si>
  <si>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</si>
  <si>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</si>
  <si>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</si>
  <si>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</si>
  <si>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</si>
  <si>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</si>
  <si>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</si>
  <si>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</si>
  <si>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</si>
  <si>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</si>
  <si>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</si>
  <si>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</si>
  <si>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</si>
  <si>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</si>
  <si>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</si>
  <si>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</si>
  <si>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</si>
  <si>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</si>
  <si>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</si>
  <si>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</si>
  <si>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</si>
  <si>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</si>
  <si>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</si>
  <si>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</si>
  <si>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</si>
  <si>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</si>
  <si>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</si>
  <si>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</si>
  <si>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</si>
  <si>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</si>
  <si>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</si>
  <si>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</si>
  <si>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</si>
  <si>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</si>
  <si>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</si>
  <si>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</si>
  <si>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</si>
  <si>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</si>
  <si>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</si>
  <si>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</si>
  <si>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</si>
  <si>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</si>
  <si>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</si>
  <si>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</si>
  <si>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</si>
  <si>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</si>
  <si>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</si>
  <si>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</si>
  <si>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</si>
  <si>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</si>
  <si>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</si>
  <si>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</si>
  <si>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</si>
  <si>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</si>
  <si>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</si>
  <si>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</si>
  <si>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</si>
  <si>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</si>
  <si>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</si>
  <si>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</si>
  <si>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</si>
  <si>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</si>
  <si>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</si>
  <si>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</si>
  <si>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</si>
  <si>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</si>
  <si>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</si>
  <si>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</si>
  <si>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</si>
  <si>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</si>
  <si>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</si>
  <si>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</si>
  <si>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</si>
  <si>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</si>
  <si>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</si>
  <si>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</si>
  <si>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</si>
  <si>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</si>
  <si>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</si>
  <si>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</si>
  <si>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</si>
  <si>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</si>
  <si>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</si>
  <si>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</si>
  <si>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</si>
  <si>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</si>
  <si>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</si>
  <si>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</si>
  <si>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</si>
  <si>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</si>
  <si>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</si>
  <si>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</si>
  <si>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</si>
  <si>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</si>
  <si>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</si>
  <si>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</si>
  <si>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</si>
  <si>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</si>
  <si>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</si>
  <si>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</si>
  <si>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</si>
  <si>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</si>
  <si>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</si>
  <si>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</si>
  <si>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</si>
  <si>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</si>
  <si>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</si>
  <si>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</si>
  <si>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</si>
  <si>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</si>
  <si>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</si>
  <si>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</si>
  <si>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</si>
  <si>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</si>
  <si>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</si>
  <si>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</si>
  <si>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</si>
  <si>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</si>
  <si>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</si>
  <si>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</si>
  <si>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</si>
  <si>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</si>
  <si>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</si>
  <si>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</si>
  <si>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</si>
  <si>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</si>
  <si>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</si>
  <si>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</si>
  <si>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</si>
  <si>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</si>
  <si>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</si>
  <si>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</si>
  <si>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</si>
  <si>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</si>
  <si>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</si>
  <si>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</si>
  <si>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</si>
  <si>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</si>
  <si>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</si>
  <si>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</si>
  <si>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</si>
  <si>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</si>
  <si>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</si>
  <si>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</si>
  <si>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</si>
  <si>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</si>
  <si>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</si>
  <si>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</si>
  <si>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</si>
  <si>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</si>
  <si>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</si>
  <si>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</si>
  <si>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</si>
  <si>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</si>
  <si>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</si>
  <si>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</si>
  <si>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</si>
  <si>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</si>
  <si>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</si>
  <si>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</si>
  <si>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</si>
  <si>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</si>
  <si>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</si>
  <si>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</si>
  <si>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</si>
  <si>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</si>
  <si>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</si>
  <si>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</si>
  <si>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</si>
  <si>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</si>
  <si>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</si>
  <si>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</si>
  <si>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</si>
  <si>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</si>
  <si>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</si>
  <si>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</si>
  <si>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</si>
  <si>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</si>
  <si>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</si>
  <si>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</si>
  <si>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</si>
  <si>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</si>
  <si>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</si>
  <si>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</si>
  <si>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</si>
  <si>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</si>
  <si>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</si>
  <si>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</si>
  <si>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</si>
  <si>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</si>
  <si>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</si>
  <si>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</si>
  <si>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</si>
  <si>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</si>
  <si>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</si>
  <si>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</si>
  <si>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</si>
  <si>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</si>
  <si>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</si>
  <si>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</si>
  <si>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</si>
  <si>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</si>
  <si>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</si>
  <si>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</si>
  <si>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</si>
  <si>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</si>
  <si>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</si>
  <si>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</si>
  <si>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</si>
  <si>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</si>
  <si>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</si>
  <si>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</si>
  <si>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</si>
  <si>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</si>
  <si>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</si>
  <si>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</si>
  <si>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</si>
  <si>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</si>
  <si>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</si>
  <si>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</si>
  <si>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</si>
  <si>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</si>
  <si>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</si>
  <si>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</si>
  <si>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</si>
  <si>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</si>
  <si>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</si>
  <si>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</si>
  <si>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</si>
  <si>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</si>
  <si>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</si>
  <si>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</si>
  <si>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</si>
  <si>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</si>
  <si>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</si>
  <si>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</si>
  <si>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</si>
  <si>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</si>
  <si>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</si>
  <si>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</si>
  <si>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</si>
  <si>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</si>
  <si>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</si>
  <si>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</si>
  <si>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</si>
  <si>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</si>
  <si>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</si>
  <si>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</si>
  <si>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</si>
  <si>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</si>
  <si>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</si>
  <si>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</si>
  <si>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</si>
  <si>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</si>
  <si>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</si>
  <si>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</si>
  <si>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</si>
  <si>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</si>
  <si>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</si>
  <si>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</si>
  <si>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</si>
  <si>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</si>
  <si>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</si>
  <si>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</si>
  <si>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</si>
  <si>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</si>
  <si>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</si>
  <si>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</si>
  <si>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</si>
  <si>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</si>
  <si>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</si>
  <si>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</si>
  <si>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</si>
  <si>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</si>
  <si>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</si>
  <si>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</si>
  <si>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</si>
  <si>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</si>
  <si>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</si>
  <si>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</si>
  <si>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</si>
  <si>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</si>
  <si>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</si>
  <si>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</si>
  <si>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</si>
  <si>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</si>
  <si>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</si>
  <si>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</si>
  <si>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</si>
  <si>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</si>
  <si>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</si>
  <si>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</si>
  <si>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</si>
  <si>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</si>
  <si>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</si>
  <si>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</si>
  <si>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</si>
  <si>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</si>
  <si>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</si>
  <si>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</si>
  <si>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多面临街</t>
  </si>
  <si>
    <t>双面临街</t>
  </si>
  <si>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</si>
  <si>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</si>
  <si>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</si>
  <si>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</si>
  <si>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</si>
  <si>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</si>
  <si>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楼面地价</t>
  </si>
  <si>
    <t>未包含在土地购买价格中</t>
  </si>
  <si>
    <t>全部缴纳</t>
  </si>
  <si>
    <t>已包含在土地取得成本中</t>
  </si>
  <si>
    <t>成本法</t>
  </si>
  <si>
    <t>假设开发法</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</si>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</sst>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47" fillId="9" borderId="5" xfId="0"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2018年10月17日</v>
      </c>
    </row>
    <row r="13" spans="1:2" s="1596" customFormat="1">
      <c r="A13" s="1594" t="s">
        <v>1227</v>
      </c>
      <c r="B13" s="1595" t="str">
        <f>'预评函-1'!A18</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109347</v>
      </c>
    </row>
    <row r="21" spans="1:2" s="1596" customFormat="1">
      <c r="A21" s="1594" t="s">
        <v>1235</v>
      </c>
      <c r="B21" s="1595">
        <f ca="1">'预评函-2'!D7</f>
        <v>12055</v>
      </c>
    </row>
    <row r="22" spans="1:2" s="1596" customFormat="1">
      <c r="A22" s="1594" t="s">
        <v>1236</v>
      </c>
      <c r="B22" s="1595" t="str">
        <f ca="1">'预评函-2'!D6</f>
        <v>壹拾亿玖仟叁佰肆拾柒万元整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109347</v>
      </c>
    </row>
    <row r="31" spans="1:2" s="1596" customFormat="1">
      <c r="A31" s="1594" t="s">
        <v>1274</v>
      </c>
      <c r="B31" s="1595">
        <f ca="1">'预评函-2'!D15</f>
        <v>12055</v>
      </c>
    </row>
    <row r="32" spans="1:2" s="1596" customFormat="1">
      <c r="A32" s="1594" t="s">
        <v>1241</v>
      </c>
      <c r="B32" s="1595" t="str">
        <f ca="1">'预评函-2'!D14</f>
        <v>壹拾亿玖仟叁佰肆拾柒万元整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H23" sqref="H23"/>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3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1"/>
      <c r="D1" s="3031"/>
      <c r="E1" s="3031"/>
      <c r="F1" s="3031"/>
      <c r="G1" s="3031"/>
      <c r="H1" s="3031"/>
      <c r="I1" s="303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43390</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33"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34"/>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34.58</v>
      </c>
      <c r="F15" s="1052">
        <f>IF(B12="出让",IF(F13="","",ROUNDDOWN(MIN((F13-$D$3)/365,F14),2)),F14)</f>
        <v>44.58</v>
      </c>
      <c r="G15" s="1052">
        <f>IF(B12="出让",IF(G13="","",ROUNDDOWN(MIN((G13-$D$3)/365,G14),2)),G14)</f>
        <v>44.58</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40"/>
      <c r="C16" s="3041"/>
      <c r="D16" s="3042"/>
      <c r="E16" s="2089" t="s">
        <v>1802</v>
      </c>
      <c r="F16" s="3043"/>
      <c r="G16" s="3044"/>
      <c r="H16" s="3044"/>
      <c r="I16" s="3045"/>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46" t="s">
        <v>1806</v>
      </c>
      <c r="F17" s="3047"/>
      <c r="G17" s="3047"/>
      <c r="H17" s="3047"/>
      <c r="I17" s="3048"/>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49" t="s">
        <v>1809</v>
      </c>
      <c r="F18" s="3050"/>
      <c r="G18" s="3050"/>
      <c r="H18" s="3050"/>
      <c r="I18" s="3051"/>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6" t="s">
        <v>1814</v>
      </c>
      <c r="C20" s="3037"/>
      <c r="D20" s="3038" t="s">
        <v>1815</v>
      </c>
      <c r="E20" s="3039"/>
      <c r="F20" s="2101" t="s">
        <v>1816</v>
      </c>
      <c r="G20" s="2045"/>
      <c r="H20" s="2045"/>
      <c r="I20" s="2045"/>
      <c r="J20" s="2045"/>
      <c r="K20" s="303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3"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3"/>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3"/>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4"/>
      <c r="B30" s="2038" t="s">
        <v>1833</v>
      </c>
      <c r="C30" s="3025"/>
      <c r="D30" s="3026"/>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7"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8"/>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8"/>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22" t="s">
        <v>1843</v>
      </c>
      <c r="T34" s="2138" t="str">
        <f>NUMBERSTRING(7-K34,1)&amp;"通"</f>
        <v>七通</v>
      </c>
      <c r="U34" s="2032"/>
      <c r="V34" s="2032"/>
    </row>
    <row r="35" spans="1:22" ht="18" customHeight="1">
      <c r="A35" s="2139"/>
      <c r="B35" s="3029" t="s">
        <v>1844</v>
      </c>
      <c r="C35" s="3029"/>
      <c r="D35" s="3029"/>
      <c r="E35" s="3029"/>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19" sqref="I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3" t="s">
        <v>1939</v>
      </c>
      <c r="B2" s="3063"/>
      <c r="C2" s="3063"/>
      <c r="D2" s="970" t="s">
        <v>1915</v>
      </c>
      <c r="E2" s="2231" t="s">
        <v>1916</v>
      </c>
      <c r="F2" s="1395"/>
      <c r="G2" s="2232"/>
      <c r="H2" s="2233"/>
      <c r="I2" s="2234" t="s">
        <v>1940</v>
      </c>
      <c r="J2" s="1395"/>
      <c r="K2" s="1395"/>
      <c r="L2" s="1395"/>
      <c r="M2" s="1395"/>
      <c r="N2" s="1430"/>
      <c r="O2" s="1395"/>
      <c r="P2" s="1395"/>
    </row>
    <row r="3" spans="1:16" ht="15.75" thickBot="1">
      <c r="A3" s="3064" t="s">
        <v>1913</v>
      </c>
      <c r="B3" s="3064"/>
      <c r="C3" s="3064"/>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5"/>
      <c r="B4" s="3066"/>
      <c r="C4" s="3067"/>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8" t="s">
        <v>1918</v>
      </c>
      <c r="C5" s="3068"/>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8" t="s">
        <v>1919</v>
      </c>
      <c r="C6" s="3068"/>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60"/>
      <c r="B7" s="3061"/>
      <c r="C7" s="3062"/>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7" t="s">
        <v>1943</v>
      </c>
      <c r="L16" s="3058"/>
      <c r="M16" s="3058"/>
      <c r="N16" s="3058"/>
      <c r="O16" s="3058"/>
      <c r="P16" s="3059"/>
    </row>
    <row r="17" spans="1:19" ht="15">
      <c r="A17" s="2246" t="s">
        <v>1944</v>
      </c>
      <c r="B17" s="2247" t="s">
        <v>1945</v>
      </c>
      <c r="C17" s="2248" t="s">
        <v>1946</v>
      </c>
      <c r="D17" s="2249" t="s">
        <v>1934</v>
      </c>
      <c r="E17" s="2250" t="s">
        <v>1935</v>
      </c>
      <c r="F17" s="2251"/>
      <c r="G17" s="2252"/>
      <c r="H17" s="2253" t="s">
        <v>1947</v>
      </c>
      <c r="I17" s="2254" t="s">
        <v>1932</v>
      </c>
      <c r="J17" s="1395"/>
      <c r="K17" s="3054" t="s">
        <v>1948</v>
      </c>
      <c r="L17" s="3055"/>
      <c r="M17" s="3056"/>
      <c r="N17" s="3054" t="s">
        <v>1949</v>
      </c>
      <c r="O17" s="3055"/>
      <c r="P17" s="3056"/>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43390</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44.58</v>
      </c>
      <c r="G6" s="73">
        <f>IF(ISERROR(ROUND(POWER(1+H6,D6-F6)*(POWER(1+H6,F6)-1)/(POWER(1+H6,D6)-1),3)),0,ROUND(POWER(1+H6,D6-F6)*(POWER(1+H6,F6)-1)/(POWER(1+H6,D6)-1),3))</f>
        <v>0.97099999999999997</v>
      </c>
      <c r="H6" s="802">
        <v>0.05</v>
      </c>
      <c r="I6" s="802">
        <v>5.5E-2</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4.2</v>
      </c>
      <c r="V6" s="79">
        <v>2.5000000000000001E-2</v>
      </c>
      <c r="W6" s="79">
        <v>0.1</v>
      </c>
      <c r="X6" s="1264"/>
      <c r="Y6" s="80">
        <v>1</v>
      </c>
      <c r="Z6" s="81"/>
      <c r="AA6" s="74"/>
      <c r="AB6" s="74"/>
      <c r="AC6" s="1264"/>
      <c r="AD6" s="82"/>
      <c r="AE6" s="1265">
        <f ca="1">IF(AN6="",0,SUMIF(INDIRECT("'"&amp;AN6&amp;"'"&amp;"!E:E"),$AE$5,INDIRECT("'"&amp;AN6&amp;"'"&amp;"!F:F")))</f>
        <v>42.98</v>
      </c>
      <c r="AF6" s="1807"/>
      <c r="AG6" s="147">
        <f>IF(AF6="",0,AE6-AF6)</f>
        <v>0</v>
      </c>
      <c r="AH6" s="83"/>
      <c r="AI6" s="85">
        <v>365</v>
      </c>
      <c r="AJ6" s="86"/>
      <c r="AK6" s="87">
        <v>1.4999999999999999E-2</v>
      </c>
      <c r="AL6" s="88">
        <v>2E-3</v>
      </c>
      <c r="AM6" s="89">
        <v>0.02</v>
      </c>
      <c r="AN6" s="2312" t="s">
        <v>3075</v>
      </c>
      <c r="AO6" s="55">
        <f ca="1">SUMIF(INDIRECT("'"&amp;AN6&amp;"'"&amp;"!A:A"),"总价",INDIRECT("'"&amp;AN6&amp;"'"&amp;"!B:B"))</f>
        <v>88705</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34.58</v>
      </c>
      <c r="G7" s="73">
        <f t="shared" ref="G7:G11" si="2">IF(ISERROR(ROUND(POWER(1+H7,D7-F7)*(POWER(1+H7,F7)-1)/(POWER(1+H7,D7)-1),3)),0,ROUND(POWER(1+H7,D7-F7)*(POWER(1+H7,F7)-1)/(POWER(1+H7,D7)-1),3))</f>
        <v>0.95499999999999996</v>
      </c>
      <c r="H7" s="802">
        <v>5.5E-2</v>
      </c>
      <c r="I7" s="802">
        <v>0.06</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5.8</v>
      </c>
      <c r="V7" s="79">
        <v>2.5000000000000001E-2</v>
      </c>
      <c r="W7" s="79">
        <v>0.1</v>
      </c>
      <c r="X7" s="1264"/>
      <c r="Y7" s="80">
        <v>1</v>
      </c>
      <c r="Z7" s="81"/>
      <c r="AA7" s="74"/>
      <c r="AB7" s="74"/>
      <c r="AC7" s="1264"/>
      <c r="AD7" s="82"/>
      <c r="AE7" s="1265">
        <f t="shared" ref="AE7:AE13" ca="1" si="6">IF(AN7="",0,SUMIF(INDIRECT("'"&amp;AN7&amp;"'"&amp;"!E:E"),$AE$5,INDIRECT("'"&amp;AN7&amp;"'"&amp;"!F:F")))</f>
        <v>32.979999999999997</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79487</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44.58</v>
      </c>
      <c r="G8" s="73">
        <f t="shared" si="2"/>
        <v>0.96599999999999997</v>
      </c>
      <c r="H8" s="802">
        <v>4.4999999999999998E-2</v>
      </c>
      <c r="I8" s="802">
        <v>0.05</v>
      </c>
      <c r="J8" s="74">
        <v>8.5000000000000006E-2</v>
      </c>
      <c r="K8" s="1254">
        <f>SUMIF('数据-汇总表'!C$19:C$33,A8,'数据-汇总表'!E$19:E$33)</f>
        <v>13214.94</v>
      </c>
      <c r="L8" s="2974">
        <v>3000</v>
      </c>
      <c r="M8" s="75">
        <f>ROUND(K8*L8/10000,0)</f>
        <v>3964</v>
      </c>
      <c r="N8" s="801">
        <v>0.2</v>
      </c>
      <c r="O8" s="75">
        <f t="shared" si="3"/>
        <v>793</v>
      </c>
      <c r="P8" s="76">
        <f t="shared" si="4"/>
        <v>3171</v>
      </c>
      <c r="Q8" s="2975">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42.98</v>
      </c>
      <c r="AF8" s="1807"/>
      <c r="AG8" s="147">
        <f t="shared" si="7"/>
        <v>0</v>
      </c>
      <c r="AH8" s="808">
        <v>377</v>
      </c>
      <c r="AI8" s="85">
        <v>12</v>
      </c>
      <c r="AJ8" s="86"/>
      <c r="AK8" s="809">
        <v>1.4999999999999999E-2</v>
      </c>
      <c r="AL8" s="810">
        <v>1.5E-3</v>
      </c>
      <c r="AM8" s="811">
        <v>1.4999999999999999E-2</v>
      </c>
      <c r="AN8" s="2312" t="s">
        <v>3079</v>
      </c>
      <c r="AO8" s="55">
        <f t="shared" ca="1" si="8"/>
        <v>3105</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0.96399999999999997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2977">
        <v>2</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9" t="s">
        <v>2085</v>
      </c>
      <c r="B1" s="3070"/>
      <c r="C1" s="3070"/>
      <c r="D1" s="3070"/>
      <c r="E1" s="3070"/>
      <c r="F1" s="3070"/>
      <c r="G1" s="307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43390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109347</v>
      </c>
      <c r="C5" s="1746">
        <f ca="1">ROUND(B5*10000/$B$1,0)</f>
        <v>12055</v>
      </c>
      <c r="D5" s="1746">
        <f ca="1">ROUND(B5*10000/$B$2,0)</f>
        <v>81902</v>
      </c>
      <c r="E5" s="1745"/>
      <c r="F5" s="1743"/>
      <c r="G5" s="1743"/>
    </row>
    <row r="6" spans="1:10" ht="16.5">
      <c r="A6" s="1746" t="s">
        <v>1356</v>
      </c>
      <c r="B6" s="1746">
        <f ca="1">SUM(G14:G23)</f>
        <v>109347</v>
      </c>
      <c r="C6" s="1746">
        <f ca="1">ROUND(B6*10000/$B$1,0)</f>
        <v>12055</v>
      </c>
      <c r="D6" s="1746">
        <f ca="1">ROUND(B6*10000/$B$2,0)</f>
        <v>81902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109347</v>
      </c>
      <c r="E14" s="1744">
        <f ca="1">ROUND(D14*10000/B14,0)</f>
        <v>12055</v>
      </c>
      <c r="F14" s="1744">
        <f ca="1">ROUND(D14*10000/C14,0)</f>
        <v>81902</v>
      </c>
      <c r="G14" s="1744">
        <f ca="1">结果表!D122</f>
        <v>109347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104" t="str">
        <f>项目基本情况!S2</f>
        <v>北京市出让国有建设用地使用权及在建建筑物房地产</v>
      </c>
      <c r="B2" s="3105"/>
      <c r="C2" s="3105"/>
      <c r="D2" s="3105"/>
      <c r="E2" s="3105"/>
      <c r="F2" s="3105"/>
      <c r="G2" s="3105"/>
      <c r="H2" s="3105"/>
      <c r="I2" s="3106"/>
    </row>
    <row r="3" spans="1:12" ht="12.75">
      <c r="A3" s="3108" t="s">
        <v>2125</v>
      </c>
      <c r="B3" s="3109"/>
      <c r="C3" s="3109"/>
      <c r="D3" s="3109"/>
      <c r="E3" s="3109"/>
      <c r="F3" s="3109"/>
      <c r="G3" s="3109"/>
      <c r="H3" s="3109"/>
      <c r="I3" s="3109"/>
    </row>
    <row r="4" spans="1:12" ht="14.25">
      <c r="A4" s="2429" t="s">
        <v>2126</v>
      </c>
      <c r="B4" s="2430" t="s">
        <v>2127</v>
      </c>
      <c r="C4" s="2431" t="s">
        <v>3149</v>
      </c>
      <c r="D4" s="2431" t="s">
        <v>3150</v>
      </c>
      <c r="E4" s="3101" t="s">
        <v>2128</v>
      </c>
      <c r="F4" s="3102"/>
      <c r="G4" s="3102"/>
      <c r="H4" s="3102"/>
      <c r="I4" s="311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84" t="s">
        <v>2129</v>
      </c>
      <c r="B5" s="3022">
        <v>25</v>
      </c>
      <c r="C5" s="3087"/>
      <c r="D5" s="3107"/>
      <c r="E5" s="140" t="s">
        <v>2130</v>
      </c>
      <c r="F5" s="2433"/>
      <c r="G5" s="2433"/>
      <c r="H5" s="2433"/>
      <c r="I5" s="1834"/>
    </row>
    <row r="6" spans="1:12" ht="12.75">
      <c r="A6" s="3084"/>
      <c r="B6" s="3022"/>
      <c r="C6" s="3088"/>
      <c r="D6" s="3107"/>
      <c r="E6" s="140" t="s">
        <v>2131</v>
      </c>
      <c r="F6" s="2433"/>
      <c r="G6" s="2433"/>
      <c r="H6" s="2433"/>
      <c r="I6" s="1834"/>
    </row>
    <row r="7" spans="1:12" ht="12.75">
      <c r="A7" s="3084"/>
      <c r="B7" s="3022"/>
      <c r="C7" s="3089"/>
      <c r="D7" s="3107"/>
      <c r="E7" s="140" t="s">
        <v>2132</v>
      </c>
      <c r="F7" s="2433"/>
      <c r="G7" s="2433"/>
      <c r="H7" s="2433"/>
      <c r="I7" s="1834"/>
    </row>
    <row r="8" spans="1:12" ht="12.75">
      <c r="A8" s="3084" t="s">
        <v>2133</v>
      </c>
      <c r="B8" s="3022">
        <v>15</v>
      </c>
      <c r="C8" s="3087"/>
      <c r="D8" s="3107"/>
      <c r="E8" s="140" t="s">
        <v>2134</v>
      </c>
      <c r="F8" s="2433"/>
      <c r="G8" s="2433"/>
      <c r="H8" s="2433"/>
      <c r="I8" s="1834"/>
    </row>
    <row r="9" spans="1:12" ht="12.75">
      <c r="A9" s="3084"/>
      <c r="B9" s="3022"/>
      <c r="C9" s="3089"/>
      <c r="D9" s="3107"/>
      <c r="E9" s="140" t="s">
        <v>2135</v>
      </c>
      <c r="F9" s="2433"/>
      <c r="G9" s="2433"/>
      <c r="H9" s="2433"/>
      <c r="I9" s="1834"/>
    </row>
    <row r="10" spans="1:12" ht="12.75">
      <c r="A10" s="3084" t="s">
        <v>2136</v>
      </c>
      <c r="B10" s="3022">
        <v>15</v>
      </c>
      <c r="C10" s="3087"/>
      <c r="D10" s="3107"/>
      <c r="E10" s="140" t="s">
        <v>2137</v>
      </c>
      <c r="F10" s="2433"/>
      <c r="G10" s="2433"/>
      <c r="H10" s="2433"/>
      <c r="I10" s="1834"/>
    </row>
    <row r="11" spans="1:12" ht="12.75">
      <c r="A11" s="3084"/>
      <c r="B11" s="3022"/>
      <c r="C11" s="3089"/>
      <c r="D11" s="3107"/>
      <c r="E11" s="140" t="s">
        <v>2138</v>
      </c>
      <c r="F11" s="2433"/>
      <c r="G11" s="2433"/>
      <c r="H11" s="2433"/>
      <c r="I11" s="1834"/>
    </row>
    <row r="12" spans="1:12" ht="12.75">
      <c r="A12" s="3084" t="s">
        <v>2139</v>
      </c>
      <c r="B12" s="3022">
        <v>15</v>
      </c>
      <c r="C12" s="3087"/>
      <c r="D12" s="3107"/>
      <c r="E12" s="140" t="s">
        <v>2140</v>
      </c>
      <c r="F12" s="2433"/>
      <c r="G12" s="2433"/>
      <c r="H12" s="2433"/>
      <c r="I12" s="1834"/>
    </row>
    <row r="13" spans="1:12" ht="12.75">
      <c r="A13" s="3084"/>
      <c r="B13" s="3022"/>
      <c r="C13" s="3089"/>
      <c r="D13" s="3107"/>
      <c r="E13" s="140" t="s">
        <v>2141</v>
      </c>
      <c r="F13" s="2433"/>
      <c r="G13" s="2433"/>
      <c r="H13" s="2433"/>
      <c r="I13" s="1834"/>
    </row>
    <row r="14" spans="1:12" ht="12.75">
      <c r="A14" s="3084" t="s">
        <v>2142</v>
      </c>
      <c r="B14" s="3022">
        <v>30</v>
      </c>
      <c r="C14" s="3087">
        <v>4</v>
      </c>
      <c r="D14" s="3107">
        <v>6</v>
      </c>
      <c r="E14" s="140" t="s">
        <v>2143</v>
      </c>
      <c r="F14" s="2433"/>
      <c r="G14" s="2433"/>
      <c r="H14" s="2433"/>
      <c r="I14" s="1834"/>
    </row>
    <row r="15" spans="1:12" ht="12.75">
      <c r="A15" s="3084"/>
      <c r="B15" s="3022"/>
      <c r="C15" s="3088"/>
      <c r="D15" s="3107"/>
      <c r="E15" s="140" t="s">
        <v>2144</v>
      </c>
      <c r="F15" s="2433"/>
      <c r="G15" s="2433"/>
      <c r="H15" s="2433"/>
      <c r="I15" s="1834"/>
    </row>
    <row r="16" spans="1:12" ht="12.75">
      <c r="A16" s="3084"/>
      <c r="B16" s="3022"/>
      <c r="C16" s="3089"/>
      <c r="D16" s="3107"/>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132103</v>
      </c>
      <c r="D19" s="144">
        <f ca="1">SUMIF(INDIRECT("'"&amp;D4&amp;"'"&amp;"!A:A"),结果表!B19,INDIRECT("'"&amp;D4&amp;"'"&amp;"!B:B"))</f>
        <v>94176</v>
      </c>
      <c r="E19" s="2438" t="s">
        <v>2153</v>
      </c>
      <c r="F19" s="2439" t="s">
        <v>2152</v>
      </c>
      <c r="G19" s="145">
        <f ca="1">ROUND(C19*$C$18+D19*$D$18,0)</f>
        <v>109347</v>
      </c>
      <c r="H19" s="2440" t="s">
        <v>2154</v>
      </c>
      <c r="I19" s="138"/>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14564</v>
      </c>
      <c r="D20" s="147">
        <f ca="1">SUMIF(INDIRECT("'"&amp;D4&amp;"'"&amp;"!A:A"),结果表!B20,INDIRECT("'"&amp;D4&amp;"'"&amp;"!B:B"))</f>
        <v>10382</v>
      </c>
      <c r="E20" s="2441"/>
      <c r="F20" s="1250" t="s">
        <v>2156</v>
      </c>
      <c r="G20" s="148">
        <f ca="1">ROUND(C20*$C$18+D20*$D$18,0)</f>
        <v>12055</v>
      </c>
      <c r="H20" s="983" t="s">
        <v>2157</v>
      </c>
      <c r="I20" s="138"/>
    </row>
    <row r="21" spans="1:35" ht="15" customHeight="1" thickBot="1">
      <c r="A21" s="1003"/>
      <c r="B21" s="2442" t="s">
        <v>2158</v>
      </c>
      <c r="C21" s="789">
        <f ca="1">ROUND(C19*10000/L19,0)</f>
        <v>98946</v>
      </c>
      <c r="D21" s="790">
        <f ca="1">ROUND(D19*10000/L19,0)</f>
        <v>70539</v>
      </c>
      <c r="E21" s="1003"/>
      <c r="F21" s="2442" t="s">
        <v>2158</v>
      </c>
      <c r="G21" s="149">
        <f ca="1">ROUND(G19*10000/L19,0)</f>
        <v>81902</v>
      </c>
      <c r="H21" s="2443" t="s">
        <v>2157</v>
      </c>
      <c r="I21" s="138"/>
    </row>
    <row r="22" spans="1:35" ht="15" thickBot="1">
      <c r="A22" s="2284" t="s">
        <v>2159</v>
      </c>
      <c r="B22" s="2444"/>
      <c r="C22" s="2445"/>
      <c r="D22" s="791">
        <f ca="1">IF(C19&lt;D19,D19/C19-1,C19/D19-1)</f>
        <v>0.40272468569486919</v>
      </c>
      <c r="E22" s="138"/>
      <c r="F22" s="138"/>
      <c r="G22" s="138"/>
      <c r="H22" s="138"/>
      <c r="I22" s="138"/>
    </row>
    <row r="23" spans="1:35" ht="13.5" thickBot="1">
      <c r="A23" s="2422"/>
      <c r="B23" s="2422"/>
      <c r="C23" s="2422"/>
      <c r="D23" s="2422"/>
      <c r="E23" s="138"/>
      <c r="F23" s="138"/>
      <c r="G23" s="138"/>
      <c r="H23" s="138"/>
      <c r="I23" s="138"/>
    </row>
    <row r="24" spans="1:35" ht="14.25">
      <c r="A24" s="3078" t="s">
        <v>2160</v>
      </c>
      <c r="B24" s="2439" t="s">
        <v>2152</v>
      </c>
      <c r="C24" s="145">
        <f>IF(B30=0,0,D30)</f>
        <v>0</v>
      </c>
      <c r="D24" s="2446"/>
      <c r="E24" s="138"/>
      <c r="F24" s="138"/>
      <c r="G24" s="138"/>
      <c r="H24" s="138"/>
      <c r="I24" s="138"/>
    </row>
    <row r="25" spans="1:35" ht="14.25">
      <c r="A25" s="3079"/>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109347</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096" t="s">
        <v>2174</v>
      </c>
      <c r="B36" s="2465" t="s">
        <v>2175</v>
      </c>
      <c r="C36" s="154"/>
      <c r="D36" s="2466"/>
      <c r="E36" s="2467"/>
      <c r="F36" s="2468"/>
      <c r="G36" s="138"/>
      <c r="H36" s="138"/>
      <c r="I36" s="138"/>
    </row>
    <row r="37" spans="1:15" ht="15.75" thickBot="1">
      <c r="A37" s="3097"/>
      <c r="B37" s="2270" t="s">
        <v>2176</v>
      </c>
      <c r="C37" s="156"/>
      <c r="D37" s="1395"/>
      <c r="E37" s="1395"/>
      <c r="F37" s="2468"/>
      <c r="G37" s="138"/>
      <c r="H37" s="138"/>
      <c r="I37" s="138"/>
    </row>
    <row r="38" spans="1:15" ht="15.75" thickBot="1">
      <c r="A38" s="3098"/>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75" t="s">
        <v>2188</v>
      </c>
      <c r="B45" s="3076"/>
      <c r="C45" s="3077"/>
      <c r="D45" s="164">
        <f ca="1">ROUND(H101*F45,0)</f>
        <v>109347</v>
      </c>
      <c r="E45" s="165" t="s">
        <v>2189</v>
      </c>
      <c r="F45" s="166">
        <v>1</v>
      </c>
      <c r="G45" s="167" t="s">
        <v>2190</v>
      </c>
      <c r="H45" s="138"/>
      <c r="I45" s="138"/>
      <c r="J45" s="3135" t="s">
        <v>2191</v>
      </c>
      <c r="K45" s="3135"/>
      <c r="L45" s="3135"/>
      <c r="M45" s="3135"/>
      <c r="N45" s="3135"/>
      <c r="O45" s="3135"/>
    </row>
    <row r="46" spans="1:15" ht="14.25" customHeight="1">
      <c r="A46" s="3072" t="s">
        <v>2192</v>
      </c>
      <c r="B46" s="3073"/>
      <c r="C46" s="3073"/>
      <c r="D46" s="3073"/>
      <c r="E46" s="3073"/>
      <c r="F46" s="3073"/>
      <c r="G46" s="3074"/>
      <c r="H46" s="2484"/>
      <c r="I46" s="168"/>
      <c r="J46" s="1812">
        <v>1</v>
      </c>
      <c r="K46" s="3135" t="s">
        <v>2193</v>
      </c>
      <c r="L46" s="3135"/>
      <c r="M46" s="3155"/>
      <c r="N46" s="3155"/>
      <c r="O46" s="3155"/>
    </row>
    <row r="47" spans="1:15" ht="12" customHeight="1">
      <c r="A47" s="169" t="s">
        <v>2194</v>
      </c>
      <c r="B47" s="170"/>
      <c r="C47" s="171"/>
      <c r="D47" s="172" t="s">
        <v>2195</v>
      </c>
      <c r="E47" s="24" t="s">
        <v>2196</v>
      </c>
      <c r="F47" s="173" t="s">
        <v>2197</v>
      </c>
      <c r="G47" s="174" t="s">
        <v>2198</v>
      </c>
      <c r="H47" s="2484"/>
      <c r="I47" s="168"/>
      <c r="J47" s="1812">
        <v>2</v>
      </c>
      <c r="K47" s="3135" t="s">
        <v>2199</v>
      </c>
      <c r="L47" s="3135"/>
      <c r="M47" s="3156">
        <f>'数据-取费表'!B2</f>
        <v>43390</v>
      </c>
      <c r="N47" s="3156"/>
      <c r="O47" s="3156"/>
    </row>
    <row r="48" spans="1:15" ht="25.5">
      <c r="A48" s="3103" t="s">
        <v>2200</v>
      </c>
      <c r="B48" s="3086"/>
      <c r="C48" s="3086"/>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35" t="s">
        <v>2203</v>
      </c>
      <c r="L48" s="3135"/>
      <c r="M48" s="3157">
        <f ca="1">H101</f>
        <v>109347</v>
      </c>
      <c r="N48" s="3157"/>
      <c r="O48" s="3157"/>
    </row>
    <row r="49" spans="1:35" ht="25.5" customHeight="1">
      <c r="A49" s="176" t="s">
        <v>2204</v>
      </c>
      <c r="B49" s="3071" t="s">
        <v>2205</v>
      </c>
      <c r="C49" s="3071"/>
      <c r="D49" s="177">
        <v>0</v>
      </c>
      <c r="E49" s="23" t="s">
        <v>2206</v>
      </c>
      <c r="F49" s="28" t="s">
        <v>34</v>
      </c>
      <c r="G49" s="3141"/>
      <c r="H49" s="138"/>
      <c r="I49" s="2487"/>
      <c r="J49" s="1812">
        <v>4</v>
      </c>
      <c r="K49" s="3135" t="str">
        <f>IF(项目基本情况!E8="房地产抵押价值","房地产抵押价值","抵押担保权已注销时的房地产抵押价值")</f>
        <v>房地产抵押价值</v>
      </c>
      <c r="L49" s="3135"/>
      <c r="M49" s="3157">
        <f ca="1">IF(项目基本情况!E8="房地产抵押价值",H107,H109)</f>
        <v>109347</v>
      </c>
      <c r="N49" s="3157"/>
      <c r="O49" s="3157"/>
    </row>
    <row r="50" spans="1:35" ht="25.5" customHeight="1">
      <c r="A50" s="178"/>
      <c r="B50" s="3071" t="s">
        <v>2207</v>
      </c>
      <c r="C50" s="3071"/>
      <c r="D50" s="179"/>
      <c r="E50" s="31"/>
      <c r="F50" s="180"/>
      <c r="G50" s="3142"/>
      <c r="H50" s="138"/>
      <c r="I50" s="2487"/>
      <c r="J50" s="3135" t="s">
        <v>2208</v>
      </c>
      <c r="K50" s="3135"/>
      <c r="L50" s="3135"/>
      <c r="M50" s="3135"/>
      <c r="N50" s="3135"/>
      <c r="O50" s="3135"/>
    </row>
    <row r="51" spans="1:35" ht="12" customHeight="1">
      <c r="A51" s="181"/>
      <c r="B51" s="3071" t="s">
        <v>2209</v>
      </c>
      <c r="C51" s="3071"/>
      <c r="D51" s="182"/>
      <c r="E51" s="30"/>
      <c r="F51" s="180"/>
      <c r="G51" s="3143"/>
      <c r="H51" s="138"/>
      <c r="I51" s="2487"/>
      <c r="J51" s="2488" t="s">
        <v>2210</v>
      </c>
      <c r="K51" s="3135" t="s">
        <v>2211</v>
      </c>
      <c r="L51" s="3135"/>
      <c r="M51" s="2488" t="s">
        <v>2212</v>
      </c>
      <c r="N51" s="2488" t="s">
        <v>2213</v>
      </c>
      <c r="O51" s="2488" t="s">
        <v>2214</v>
      </c>
    </row>
    <row r="52" spans="1:35" ht="24" customHeight="1">
      <c r="A52" s="183" t="s">
        <v>2215</v>
      </c>
      <c r="B52" s="3071" t="s">
        <v>2216</v>
      </c>
      <c r="C52" s="3071"/>
      <c r="D52" s="182">
        <f ca="1">ROUND(D45*'数据-取费表'!B41/(1+'数据-取费表'!C42),0)</f>
        <v>5728</v>
      </c>
      <c r="E52" s="11" t="s">
        <v>2217</v>
      </c>
      <c r="F52" s="184">
        <f>'数据-取费表'!B41</f>
        <v>5.5000000000000007E-2</v>
      </c>
      <c r="G52" s="2489"/>
      <c r="H52" s="138"/>
      <c r="I52" s="2487"/>
      <c r="J52" s="1812">
        <v>1</v>
      </c>
      <c r="K52" s="3136" t="s">
        <v>2218</v>
      </c>
      <c r="L52" s="3136"/>
      <c r="M52" s="1754">
        <f>D48</f>
        <v>0</v>
      </c>
      <c r="N52" s="1812" t="str">
        <f>E48</f>
        <v>销售额×税（费）率</v>
      </c>
      <c r="O52" s="1755" t="str">
        <f>F48</f>
        <v>免征</v>
      </c>
    </row>
    <row r="53" spans="1:35" ht="12" customHeight="1">
      <c r="A53" s="183" t="s">
        <v>2219</v>
      </c>
      <c r="B53" s="3094" t="s">
        <v>2220</v>
      </c>
      <c r="C53" s="3095"/>
      <c r="D53" s="182">
        <f ca="1">ROUND(D45*'数据-取费表'!B41/(1+'数据-取费表'!C42),0)</f>
        <v>5728</v>
      </c>
      <c r="E53" s="11" t="s">
        <v>2217</v>
      </c>
      <c r="F53" s="184">
        <f>'数据-取费表'!B41</f>
        <v>5.5000000000000007E-2</v>
      </c>
      <c r="G53" s="2489"/>
      <c r="H53" s="138"/>
      <c r="I53" s="2487"/>
      <c r="J53" s="1812">
        <v>2</v>
      </c>
      <c r="K53" s="3136" t="s">
        <v>2221</v>
      </c>
      <c r="L53" s="3136"/>
      <c r="M53" s="1754">
        <f t="shared" ref="M53:O54" ca="1" si="0">D55</f>
        <v>55</v>
      </c>
      <c r="N53" s="1812" t="str">
        <f t="shared" si="0"/>
        <v>销售额×税（费）率</v>
      </c>
      <c r="O53" s="1755">
        <f t="shared" si="0"/>
        <v>5.0000000000000001E-4</v>
      </c>
    </row>
    <row r="54" spans="1:35" ht="12" customHeight="1">
      <c r="A54" s="183" t="s">
        <v>2222</v>
      </c>
      <c r="B54" s="3094" t="s">
        <v>2223</v>
      </c>
      <c r="C54" s="3095"/>
      <c r="D54" s="182">
        <f ca="1">C68</f>
        <v>5728</v>
      </c>
      <c r="E54" s="30" t="s">
        <v>2224</v>
      </c>
      <c r="F54" s="184">
        <f>'数据-取费表'!B41</f>
        <v>5.5000000000000007E-2</v>
      </c>
      <c r="G54" s="2489"/>
      <c r="H54" s="2490"/>
      <c r="I54" s="2487"/>
      <c r="J54" s="1812">
        <v>3</v>
      </c>
      <c r="K54" s="3136" t="s">
        <v>2225</v>
      </c>
      <c r="L54" s="3136"/>
      <c r="M54" s="1754">
        <f t="shared" ca="1" si="0"/>
        <v>61989</v>
      </c>
      <c r="N54" s="1812" t="str">
        <f t="shared" si="0"/>
        <v>增值额×税（费）率</v>
      </c>
      <c r="O54" s="1756" t="str">
        <f t="shared" si="0"/>
        <v>——</v>
      </c>
    </row>
    <row r="55" spans="1:35" ht="24" customHeight="1">
      <c r="A55" s="3085" t="s">
        <v>2226</v>
      </c>
      <c r="B55" s="3086"/>
      <c r="C55" s="3086"/>
      <c r="D55" s="185">
        <f ca="1">IF(H55="个人住宅",0,ROUND(D45*I55,0))</f>
        <v>55</v>
      </c>
      <c r="E55" s="11" t="s">
        <v>2227</v>
      </c>
      <c r="F55" s="184">
        <f>IF(H55="正常",I55,"免征")</f>
        <v>5.0000000000000001E-4</v>
      </c>
      <c r="G55" s="2489"/>
      <c r="H55" s="2486" t="s">
        <v>2228</v>
      </c>
      <c r="I55" s="186">
        <f>'数据-取费表'!B49</f>
        <v>5.0000000000000001E-4</v>
      </c>
      <c r="J55" s="1812" t="str">
        <f>IF(H59="非个人房产","",4)</f>
        <v/>
      </c>
      <c r="K55" s="3136" t="str">
        <f>IF(H59="非个人房产","——","个人所得税")</f>
        <v>——</v>
      </c>
      <c r="L55" s="3136"/>
      <c r="M55" s="1757" t="str">
        <f>D59</f>
        <v>——</v>
      </c>
      <c r="N55" s="1810" t="str">
        <f>E59</f>
        <v>——</v>
      </c>
      <c r="O55" s="1758" t="str">
        <f>F59</f>
        <v>——</v>
      </c>
    </row>
    <row r="56" spans="1:35" ht="24.75">
      <c r="A56" s="3085" t="s">
        <v>2229</v>
      </c>
      <c r="B56" s="3086"/>
      <c r="C56" s="3086"/>
      <c r="D56" s="185">
        <f ca="1">IF(H56="个人住宅",D57,D58)</f>
        <v>61989</v>
      </c>
      <c r="E56" s="11" t="s">
        <v>2230</v>
      </c>
      <c r="F56" s="184" t="str">
        <f>IF(H56="正常",F58,"免征")</f>
        <v>——</v>
      </c>
      <c r="G56" s="2491" t="s">
        <v>2231</v>
      </c>
      <c r="H56" s="2492" t="s">
        <v>2228</v>
      </c>
      <c r="I56" s="2493"/>
      <c r="J56" s="1812" t="str">
        <f>IF(项目基本情况!K6="上海银行",IF(J55="",4,J55+1),"")</f>
        <v/>
      </c>
      <c r="K56" s="3159" t="str">
        <f>IF(项目基本情况!K6="上海银行","其他处置费用","")</f>
        <v/>
      </c>
      <c r="L56" s="3160"/>
      <c r="M56" s="1754" t="str">
        <f>IF(项目基本情况!K6="上海银行",M69,"")</f>
        <v/>
      </c>
      <c r="N56" s="3162" t="str">
        <f>IF(项目基本情况!K6="上海银行","包含处置中涉及的律师、诉讼、拍卖、评估等费用","")</f>
        <v/>
      </c>
      <c r="O56" s="3163"/>
    </row>
    <row r="57" spans="1:35" ht="12.75">
      <c r="A57" s="183" t="s">
        <v>2204</v>
      </c>
      <c r="B57" s="3101" t="s">
        <v>2232</v>
      </c>
      <c r="C57" s="3110"/>
      <c r="D57" s="187">
        <v>0</v>
      </c>
      <c r="E57" s="23" t="s">
        <v>2206</v>
      </c>
      <c r="F57" s="155"/>
      <c r="G57" s="2489"/>
      <c r="H57" s="2493"/>
      <c r="I57" s="2493"/>
      <c r="J57" s="3136">
        <f>IF(AND(J55="",J56=""),4,IF(项目基本情况!K6="上海银行",结果表!J56+1,结果表!J55+1))</f>
        <v>4</v>
      </c>
      <c r="K57" s="3136" t="s">
        <v>2233</v>
      </c>
      <c r="L57" s="2494" t="s">
        <v>2234</v>
      </c>
      <c r="M57" s="1759"/>
      <c r="N57" s="1760">
        <f ca="1">SUMIF(M52:M56,"&lt;9e307")</f>
        <v>62044</v>
      </c>
      <c r="O57" s="2495"/>
      <c r="P57" s="1753">
        <f ca="1">N57/M49</f>
        <v>0.56740468417057621</v>
      </c>
    </row>
    <row r="58" spans="1:35" ht="24.75">
      <c r="A58" s="183" t="s">
        <v>2215</v>
      </c>
      <c r="B58" s="3101" t="s">
        <v>2235</v>
      </c>
      <c r="C58" s="3102"/>
      <c r="D58" s="185">
        <f ca="1">IF(H58="转让取得",C81,C97)</f>
        <v>61989</v>
      </c>
      <c r="E58" s="11" t="s">
        <v>2230</v>
      </c>
      <c r="F58" s="24" t="s">
        <v>34</v>
      </c>
      <c r="G58" s="2489"/>
      <c r="H58" s="2492" t="s">
        <v>2236</v>
      </c>
      <c r="I58" s="2493"/>
      <c r="J58" s="3136"/>
      <c r="K58" s="3136"/>
      <c r="L58" s="2494" t="s">
        <v>2237</v>
      </c>
      <c r="M58" s="1761"/>
      <c r="N58" s="2496" t="str">
        <f ca="1">NUMBERSTRING(INT(N57*10000),2)&amp;"元整"</f>
        <v>陆亿贰仟零肆拾肆万元整</v>
      </c>
      <c r="O58" s="2497"/>
    </row>
    <row r="59" spans="1:35" ht="24.75" thickBot="1">
      <c r="A59" s="3139" t="s">
        <v>2238</v>
      </c>
      <c r="B59" s="3140"/>
      <c r="C59" s="3140"/>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37">
        <f>J57+1</f>
        <v>5</v>
      </c>
      <c r="K59" s="3136" t="s">
        <v>2240</v>
      </c>
      <c r="L59" s="1812" t="s">
        <v>2234</v>
      </c>
      <c r="M59" s="1762"/>
      <c r="N59" s="1763">
        <f ca="1">M49-N57</f>
        <v>47303</v>
      </c>
      <c r="O59" s="2499"/>
    </row>
    <row r="60" spans="1:35" ht="12" customHeight="1">
      <c r="A60" s="2500"/>
      <c r="B60" s="2422"/>
      <c r="C60" s="2422"/>
      <c r="D60" s="2422"/>
      <c r="E60" s="2170"/>
      <c r="F60" s="2493"/>
      <c r="G60" s="2493"/>
      <c r="H60" s="2501"/>
      <c r="I60" s="138"/>
      <c r="J60" s="3138"/>
      <c r="K60" s="3136"/>
      <c r="L60" s="2494" t="s">
        <v>2237</v>
      </c>
      <c r="M60" s="1761"/>
      <c r="N60" s="2496" t="str">
        <f ca="1">NUMBERSTRING(INT(N59*10000),2)&amp;"元整"</f>
        <v>肆亿柒仟叁佰零叁万元整</v>
      </c>
      <c r="O60" s="2497"/>
    </row>
    <row r="61" spans="1:35" ht="13.5" thickBot="1">
      <c r="A61" s="3083" t="s">
        <v>2241</v>
      </c>
      <c r="B61" s="3083"/>
      <c r="C61" s="3083"/>
      <c r="D61" s="3083"/>
      <c r="E61" s="3083"/>
      <c r="F61" s="2493"/>
      <c r="G61" s="2493"/>
      <c r="H61" s="2501"/>
      <c r="I61" s="138"/>
      <c r="J61" s="1812">
        <f>J59+1</f>
        <v>6</v>
      </c>
      <c r="K61" s="3136" t="s">
        <v>2242</v>
      </c>
      <c r="L61" s="3136"/>
      <c r="M61" s="1764"/>
      <c r="N61" s="1765">
        <f ca="1">ROUND(N59*10000/'数据-汇总表'!E3,0)</f>
        <v>5215</v>
      </c>
      <c r="O61" s="2502"/>
    </row>
    <row r="62" spans="1:35" ht="12.75">
      <c r="A62" s="3099" t="s">
        <v>2243</v>
      </c>
      <c r="B62" s="3100"/>
      <c r="C62" s="1804"/>
      <c r="D62" s="1804" t="s">
        <v>2244</v>
      </c>
      <c r="E62" s="192" t="s">
        <v>2245</v>
      </c>
      <c r="F62" s="2493"/>
      <c r="G62" s="2493"/>
      <c r="H62" s="2501"/>
      <c r="I62" s="138"/>
    </row>
    <row r="63" spans="1:35" ht="12.75">
      <c r="A63" s="203" t="s">
        <v>775</v>
      </c>
      <c r="B63" s="193" t="s">
        <v>2246</v>
      </c>
      <c r="C63" s="194">
        <f ca="1">ROUND((C64+C65)/(1+'数据-取费表'!C42),0)</f>
        <v>104140</v>
      </c>
      <c r="D63" s="195"/>
      <c r="E63" s="196"/>
      <c r="F63" s="2493"/>
      <c r="G63" s="2493"/>
      <c r="H63" s="2501"/>
      <c r="I63" s="138"/>
      <c r="J63" s="3161" t="s">
        <v>2247</v>
      </c>
      <c r="K63" s="2503" t="s">
        <v>2248</v>
      </c>
      <c r="L63" s="1752">
        <f ca="1">IF(M49&gt;10000,M49*0.5%,IF(AND(M49&gt;1000,M49&lt;=10000),M49*1%,IF(AND(M49&gt;100,M49&lt;=1000),M49*3%,IF(AND(M49&gt;10,M49&lt;=100),M49*5%,M49*8%))))</f>
        <v>546.73500000000001</v>
      </c>
      <c r="M63" s="24">
        <f ca="1">ROUND(L63,1)</f>
        <v>546.70000000000005</v>
      </c>
      <c r="Z63" s="2427"/>
      <c r="AI63" s="2428"/>
    </row>
    <row r="64" spans="1:35" ht="14.25" customHeight="1">
      <c r="A64" s="197" t="s">
        <v>770</v>
      </c>
      <c r="B64" s="198" t="s">
        <v>2249</v>
      </c>
      <c r="C64" s="199">
        <f ca="1">D45</f>
        <v>109347</v>
      </c>
      <c r="D64" s="200" t="s">
        <v>32</v>
      </c>
      <c r="E64" s="201"/>
      <c r="F64" s="2493"/>
      <c r="G64" s="2493"/>
      <c r="H64" s="2501"/>
      <c r="I64" s="138"/>
      <c r="J64" s="3161"/>
      <c r="K64" s="2503" t="s">
        <v>2250</v>
      </c>
      <c r="L64" s="1752">
        <f ca="1">IF(M49&gt;2000,M49*0.5%,IF(AND(M49&gt;1000,M49&lt;=2000),M49*0.6%,IF(AND(M49&gt;500,M49&lt;=1000),M49*0.7%,IF(AND(M49&gt;200,M49&lt;=500),M49*0.8%,IF(AND(M49&gt;100,M49&lt;=200),M49*0.9%,IF(AND(M49&gt;50,M49&lt;=100),M49*1%,IF(AND(M49&gt;20,M49&lt;=50),M49*1.5%,IF(AND(M49&gt;10,M49&lt;=20),M49*2%,IF(AND(M49&gt;1,M49&lt;=10),M49*2.5%)))))))))</f>
        <v>546.73500000000001</v>
      </c>
      <c r="M64" s="24">
        <f t="shared" ref="M64:M65" ca="1" si="1">ROUND(L64,1)</f>
        <v>546.70000000000005</v>
      </c>
      <c r="N64" s="138" t="s">
        <v>2251</v>
      </c>
      <c r="Z64" s="2427"/>
      <c r="AI64" s="2428"/>
    </row>
    <row r="65" spans="1:35" ht="14.25" customHeight="1">
      <c r="A65" s="197" t="s">
        <v>771</v>
      </c>
      <c r="B65" s="198" t="s">
        <v>2252</v>
      </c>
      <c r="C65" s="202"/>
      <c r="D65" s="200"/>
      <c r="E65" s="201"/>
      <c r="F65" s="2493"/>
      <c r="G65" s="2493"/>
      <c r="H65" s="2501"/>
      <c r="I65" s="138"/>
      <c r="J65" s="3161"/>
      <c r="K65" s="2503" t="s">
        <v>2253</v>
      </c>
      <c r="L65" s="1752">
        <f ca="1">IF(M49&gt;1000,M49*0.1%,IF(AND(M49&gt;500,M49&lt;=1000),M49*0.5%,IF(AND(M49&gt;50,M49&lt;=500),M49*1%,IF(AND(M49&gt;1,M49&lt;=50),M49*1.5%))))</f>
        <v>109.34700000000001</v>
      </c>
      <c r="M65" s="24">
        <f t="shared" ca="1" si="1"/>
        <v>109.3</v>
      </c>
      <c r="N65" s="138" t="s">
        <v>2251</v>
      </c>
      <c r="Z65" s="2427"/>
      <c r="AI65" s="2428"/>
    </row>
    <row r="66" spans="1:35" ht="14.25" customHeight="1">
      <c r="A66" s="203" t="s">
        <v>772</v>
      </c>
      <c r="B66" s="204" t="s">
        <v>2254</v>
      </c>
      <c r="C66" s="205"/>
      <c r="D66" s="206" t="s">
        <v>32</v>
      </c>
      <c r="E66" s="1776" t="s">
        <v>1371</v>
      </c>
      <c r="F66" s="2493"/>
      <c r="G66" s="2493"/>
      <c r="H66" s="2501"/>
      <c r="I66" s="138"/>
      <c r="J66" s="3161"/>
      <c r="K66" s="2503" t="s">
        <v>2255</v>
      </c>
      <c r="L66" s="1752">
        <f ca="1">M49*0.5%</f>
        <v>546.73500000000001</v>
      </c>
      <c r="M66" s="24">
        <f ca="1">IF(L66&gt;0.5,0.5,ROUND(L66,0))</f>
        <v>0.5</v>
      </c>
      <c r="N66" s="138" t="s">
        <v>2256</v>
      </c>
      <c r="Z66" s="2427"/>
      <c r="AI66" s="2428"/>
    </row>
    <row r="67" spans="1:35" ht="14.25" customHeight="1">
      <c r="A67" s="203" t="s">
        <v>773</v>
      </c>
      <c r="B67" s="204" t="s">
        <v>2257</v>
      </c>
      <c r="C67" s="207">
        <f ca="1">C63-C66</f>
        <v>104140</v>
      </c>
      <c r="D67" s="200" t="s">
        <v>32</v>
      </c>
      <c r="E67" s="201"/>
      <c r="F67" s="2493"/>
      <c r="G67" s="2493"/>
      <c r="H67" s="2501"/>
      <c r="I67" s="138"/>
      <c r="J67" s="3161"/>
      <c r="K67" s="2503" t="s">
        <v>2258</v>
      </c>
      <c r="L67" s="1752">
        <f ca="1">IF(M49&gt;=10000,(8.25+(M49-10000)*0.01%),IF(AND(M49&gt;=8000,M49&lt;10000),(7.85+(M49-8000)*0.02%),IF(AND(M49&gt;=5000,M49&lt;8000),(6.65+(M49-5000)*0.04%),IF(AND(M49&gt;=2000,M49&lt;5000),(4.25+(PM49-2000)*0.08%),IF(AND(M49&gt;=1000,M49&lt;2000),(2.75+(M49-1000)*0.15%),IF(AND(M49&gt;=100,M49&lt;1000),(0.5+(M49-100)*0.25%),IF(AND(M49&gt;0,M49&lt;100),M49*0.5%)))))))</f>
        <v>18.184699999999999</v>
      </c>
      <c r="M67" s="24">
        <f ca="1">ROUND(L67*0.9,1)</f>
        <v>16.399999999999999</v>
      </c>
      <c r="Z67" s="2427"/>
      <c r="AI67" s="2428"/>
    </row>
    <row r="68" spans="1:35" ht="14.25" customHeight="1" thickBot="1">
      <c r="A68" s="208" t="s">
        <v>774</v>
      </c>
      <c r="B68" s="209" t="s">
        <v>2259</v>
      </c>
      <c r="C68" s="210">
        <f ca="1">IF(C67&lt;=0,0,ROUND(C67*D68,0))</f>
        <v>5728</v>
      </c>
      <c r="D68" s="211">
        <f>'数据-取费表'!B41</f>
        <v>5.5000000000000007E-2</v>
      </c>
      <c r="E68" s="212"/>
      <c r="F68" s="2493"/>
      <c r="G68" s="2493"/>
      <c r="H68" s="2501"/>
      <c r="I68" s="138"/>
      <c r="J68" s="3161"/>
      <c r="K68" s="2503" t="s">
        <v>2260</v>
      </c>
      <c r="L68" s="1752">
        <f ca="1">IF(M49&gt;10000,M49*0.5%,IF(AND(M49&gt;5000,M49&lt;=10000),M49*1%,IF(AND(M49&gt;1000,M49&lt;=5000),M49*2%,IF(AND(M49&gt;200,M49&lt;=1000),M49*3%,M49*5%))))</f>
        <v>546.73500000000001</v>
      </c>
      <c r="M68" s="24">
        <f ca="1">ROUND(L68,1)</f>
        <v>546.70000000000005</v>
      </c>
      <c r="Z68" s="2427"/>
      <c r="AI68" s="2428"/>
    </row>
    <row r="69" spans="1:35" s="2450" customFormat="1" ht="16.5" customHeight="1">
      <c r="A69" s="2504"/>
      <c r="B69" s="2505"/>
      <c r="C69" s="2506"/>
      <c r="D69" s="2507"/>
      <c r="E69" s="2508"/>
      <c r="F69" s="2170"/>
      <c r="G69" s="2170"/>
      <c r="H69" s="2169"/>
      <c r="I69" s="2422"/>
      <c r="J69" s="3161"/>
      <c r="K69" s="2503" t="s">
        <v>2261</v>
      </c>
      <c r="L69" s="2509"/>
      <c r="M69" s="24">
        <f ca="1">ROUND(SUM(M63:M68),0)</f>
        <v>1766</v>
      </c>
      <c r="N69" s="1753">
        <f ca="1">M69/M49</f>
        <v>1.615042022186251E-2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0" t="s">
        <v>2262</v>
      </c>
      <c r="B70" s="3121"/>
      <c r="C70" s="3121"/>
      <c r="D70" s="3121"/>
      <c r="E70" s="3121"/>
      <c r="F70" s="3121"/>
      <c r="G70" s="3121"/>
      <c r="H70" s="312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9" t="s">
        <v>2243</v>
      </c>
      <c r="B71" s="3100"/>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104140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521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94" t="s">
        <v>2271</v>
      </c>
      <c r="F76" s="3071"/>
      <c r="G76" s="3071"/>
      <c r="H76" s="311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521</v>
      </c>
      <c r="D78" s="226">
        <f>'数据-取费表'!B43</f>
        <v>5.000000000000001E-3</v>
      </c>
      <c r="E78" s="3080" t="s">
        <v>2276</v>
      </c>
      <c r="F78" s="3081"/>
      <c r="G78" s="3081"/>
      <c r="H78" s="309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103619</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198.88483685220729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61989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0" t="s">
        <v>2280</v>
      </c>
      <c r="B83" s="3121"/>
      <c r="C83" s="3121"/>
      <c r="D83" s="3121"/>
      <c r="E83" s="3121"/>
      <c r="F83" s="3121"/>
      <c r="G83" s="3121"/>
      <c r="H83" s="312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9" t="s">
        <v>2243</v>
      </c>
      <c r="B84" s="3100"/>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104140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521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80" t="s">
        <v>2289</v>
      </c>
      <c r="F91" s="3081"/>
      <c r="G91" s="3081"/>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80" t="s">
        <v>2293</v>
      </c>
      <c r="F92" s="3081"/>
      <c r="G92" s="3081"/>
      <c r="H92" s="309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521</v>
      </c>
      <c r="D93" s="226">
        <f>'数据-取费表'!B43</f>
        <v>5.000000000000001E-3</v>
      </c>
      <c r="E93" s="3080" t="s">
        <v>2276</v>
      </c>
      <c r="F93" s="3081"/>
      <c r="G93" s="3081"/>
      <c r="H93" s="309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91" t="s">
        <v>2297</v>
      </c>
      <c r="F94" s="3092"/>
      <c r="G94" s="3092"/>
      <c r="H94" s="309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103619</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198.88483685220729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61989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5" t="s">
        <v>2299</v>
      </c>
      <c r="B100" s="3066"/>
      <c r="C100" s="3066"/>
      <c r="D100" s="3082"/>
      <c r="E100" s="3066" t="s">
        <v>2300</v>
      </c>
      <c r="F100" s="3066"/>
      <c r="G100" s="3066"/>
      <c r="H100" s="3082"/>
      <c r="I100" s="138"/>
    </row>
    <row r="101" spans="1:35" ht="18.75" customHeight="1">
      <c r="A101" s="3144" t="s">
        <v>2301</v>
      </c>
      <c r="B101" s="3145"/>
      <c r="C101" s="736" t="str">
        <f>C4</f>
        <v>成本法</v>
      </c>
      <c r="D101" s="737" t="str">
        <f>D4</f>
        <v>假设开发法</v>
      </c>
      <c r="E101" s="3158" t="s">
        <v>2302</v>
      </c>
      <c r="F101" s="3112"/>
      <c r="G101" s="2524" t="s">
        <v>2303</v>
      </c>
      <c r="H101" s="1048">
        <f ca="1">H118</f>
        <v>109347</v>
      </c>
      <c r="I101" s="138"/>
    </row>
    <row r="102" spans="1:35" ht="18.75" customHeight="1">
      <c r="A102" s="3114" t="s">
        <v>2304</v>
      </c>
      <c r="B102" s="2524" t="s">
        <v>2303</v>
      </c>
      <c r="C102" s="736">
        <f ca="1">C19</f>
        <v>132103</v>
      </c>
      <c r="D102" s="737">
        <f ca="1">D19</f>
        <v>94176</v>
      </c>
      <c r="E102" s="3158"/>
      <c r="F102" s="3112"/>
      <c r="G102" s="2524" t="s">
        <v>2305</v>
      </c>
      <c r="H102" s="371">
        <f ca="1">I118</f>
        <v>12055</v>
      </c>
      <c r="I102" s="138"/>
    </row>
    <row r="103" spans="1:35" ht="42.75" customHeight="1">
      <c r="A103" s="3114"/>
      <c r="B103" s="2524" t="s">
        <v>2305</v>
      </c>
      <c r="C103" s="738">
        <f ca="1">C20</f>
        <v>14564</v>
      </c>
      <c r="D103" s="739">
        <f ca="1">D20</f>
        <v>10382</v>
      </c>
      <c r="E103" s="3153" t="s">
        <v>2306</v>
      </c>
      <c r="F103" s="3154"/>
      <c r="G103" s="2525" t="s">
        <v>2307</v>
      </c>
      <c r="H103" s="1048">
        <f>IF(D36="正常操作",H104+H105+H106,H105+H106)</f>
        <v>0</v>
      </c>
      <c r="I103" s="138"/>
    </row>
    <row r="104" spans="1:35" ht="18.75" customHeight="1">
      <c r="A104" s="3114" t="s">
        <v>2308</v>
      </c>
      <c r="B104" s="2526" t="s">
        <v>2303</v>
      </c>
      <c r="C104" s="740">
        <f ca="1">H118</f>
        <v>109347</v>
      </c>
      <c r="D104" s="741"/>
      <c r="E104" s="2270" t="s">
        <v>2309</v>
      </c>
      <c r="F104" s="2262"/>
      <c r="G104" s="2525" t="s">
        <v>2307</v>
      </c>
      <c r="H104" s="1049">
        <f>IF(D36="同一抵押权人同一抵押物续贷",C36&amp;"（未扣减，详见特别提示）",C36)</f>
        <v>0</v>
      </c>
      <c r="I104" s="138"/>
    </row>
    <row r="105" spans="1:35" ht="18.75" customHeight="1" thickBot="1">
      <c r="A105" s="3115"/>
      <c r="B105" s="2527" t="s">
        <v>2305</v>
      </c>
      <c r="C105" s="742">
        <f ca="1">I118</f>
        <v>12055</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11" t="str">
        <f>IF(项目基本情况!E8="已注销","——","3.房地产抵押价值")</f>
        <v>3.房地产抵押价值</v>
      </c>
      <c r="F107" s="3112"/>
      <c r="G107" s="2524" t="s">
        <v>2303</v>
      </c>
      <c r="H107" s="1048">
        <f ca="1">IF(E107="——","——",H101-H103)</f>
        <v>109347</v>
      </c>
      <c r="I107" s="138"/>
    </row>
    <row r="108" spans="1:35" ht="18.75" customHeight="1">
      <c r="A108" s="138"/>
      <c r="B108" s="138"/>
      <c r="C108" s="138"/>
      <c r="D108" s="138"/>
      <c r="E108" s="3111"/>
      <c r="F108" s="3112"/>
      <c r="G108" s="2524" t="s">
        <v>2305</v>
      </c>
      <c r="H108" s="371">
        <f ca="1">ROUND(H107*10000/'数据-汇总表'!E3,0)</f>
        <v>12055</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24" t="s">
        <v>2303</v>
      </c>
      <c r="H109" s="348" t="str">
        <f>IF(E109="——","——",H101-H105-H106)</f>
        <v>——</v>
      </c>
      <c r="I109" s="138"/>
    </row>
    <row r="110" spans="1:35" ht="18.75" customHeight="1">
      <c r="A110" s="138"/>
      <c r="B110" s="138"/>
      <c r="C110" s="138"/>
      <c r="D110" s="138"/>
      <c r="E110" s="3111"/>
      <c r="F110" s="3112"/>
      <c r="G110" s="2524" t="s">
        <v>2305</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24" t="s">
        <v>2303</v>
      </c>
      <c r="H111" s="1048" t="str">
        <f>IF(E111="——","——",N59)</f>
        <v>——</v>
      </c>
      <c r="I111" s="138"/>
    </row>
    <row r="112" spans="1:35" ht="18.75" customHeight="1" thickBot="1">
      <c r="A112" s="138"/>
      <c r="B112" s="138"/>
      <c r="C112" s="138"/>
      <c r="D112" s="138"/>
      <c r="E112" s="3148"/>
      <c r="F112" s="3149"/>
      <c r="G112" s="2529" t="s">
        <v>2305</v>
      </c>
      <c r="H112" s="790" t="str">
        <f>IF(E111="——","——",N61)</f>
        <v>——</v>
      </c>
      <c r="I112" s="138"/>
    </row>
    <row r="113" spans="1:11" ht="18.75" customHeight="1">
      <c r="A113" s="138"/>
      <c r="B113" s="138"/>
      <c r="C113" s="138"/>
      <c r="D113" s="138"/>
      <c r="E113" s="3116" t="s">
        <v>2311</v>
      </c>
      <c r="F113" s="3116"/>
      <c r="G113" s="3116"/>
      <c r="H113" s="3116"/>
      <c r="I113" s="138"/>
    </row>
    <row r="114" spans="1:11" ht="3.75" customHeight="1">
      <c r="A114" s="2422"/>
      <c r="B114" s="2422"/>
      <c r="C114" s="2422"/>
      <c r="D114" s="2422"/>
      <c r="E114" s="2500"/>
      <c r="F114" s="2500"/>
      <c r="G114" s="2500"/>
      <c r="H114" s="2500"/>
      <c r="I114" s="2422"/>
    </row>
    <row r="115" spans="1:11" ht="18.75" customHeight="1">
      <c r="A115" s="3129" t="s">
        <v>2313</v>
      </c>
      <c r="B115" s="3130"/>
      <c r="C115" s="3130"/>
      <c r="D115" s="3130"/>
      <c r="E115" s="3130"/>
      <c r="F115" s="3130"/>
      <c r="G115" s="3130"/>
      <c r="H115" s="3130"/>
      <c r="I115" s="3131"/>
    </row>
    <row r="116" spans="1:11" ht="27" customHeight="1">
      <c r="A116" s="3022" t="s">
        <v>2314</v>
      </c>
      <c r="B116" s="3117" t="s">
        <v>2315</v>
      </c>
      <c r="C116" s="3117" t="s">
        <v>2316</v>
      </c>
      <c r="D116" s="3133" t="s">
        <v>2317</v>
      </c>
      <c r="E116" s="3134"/>
      <c r="F116" s="3125" t="s">
        <v>2318</v>
      </c>
      <c r="G116" s="3125"/>
      <c r="H116" s="3022" t="s">
        <v>2319</v>
      </c>
      <c r="I116" s="3022"/>
    </row>
    <row r="117" spans="1:11" ht="18.75" customHeight="1">
      <c r="A117" s="3022"/>
      <c r="B117" s="3118"/>
      <c r="C117" s="3118"/>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109347</v>
      </c>
      <c r="I118" s="1798">
        <f ca="1">ROUND(IF(D32="楼面单价",C32,H118*10000/B118),0)</f>
        <v>12055</v>
      </c>
    </row>
    <row r="119" spans="1:11" ht="18.75" customHeight="1">
      <c r="A119" s="3022" t="s">
        <v>2323</v>
      </c>
      <c r="B119" s="3022"/>
      <c r="C119" s="3022"/>
      <c r="D119" s="3122" t="e">
        <f ca="1">NUMBERSTRING(INT(D118*10000),2)&amp;"元整"</f>
        <v>#REF!</v>
      </c>
      <c r="E119" s="3124"/>
      <c r="F119" s="3122" t="e">
        <f ca="1">NUMBERSTRING(INT(F118*10000),2)&amp;"元整"</f>
        <v>#REF!</v>
      </c>
      <c r="G119" s="3124"/>
      <c r="H119" s="3122" t="str">
        <f ca="1">NUMBERSTRING(INT(H118*10000),2)&amp;"元整"</f>
        <v>壹拾亿玖仟叁佰肆拾柒万元整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7" t="str">
        <f>IF(D120=0,"故，本次评估不存在"&amp;A120,"故，本次评估"&amp;A120&amp;"为人民币"&amp;D120&amp;"万元整。")</f>
        <v>故，本次评估不存在估价师知悉的法定优先受偿款</v>
      </c>
    </row>
    <row r="121" spans="1:11" ht="18.75" customHeight="1">
      <c r="A121" s="3126" t="s">
        <v>2323</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109347</v>
      </c>
      <c r="E122" s="3151"/>
      <c r="F122" s="3151"/>
      <c r="G122" s="3151"/>
      <c r="H122" s="3151"/>
      <c r="I122" s="3152"/>
    </row>
    <row r="123" spans="1:11" ht="18.75" customHeight="1">
      <c r="A123" s="3022" t="s">
        <v>2323</v>
      </c>
      <c r="B123" s="3022"/>
      <c r="C123" s="3022"/>
      <c r="D123" s="3122" t="str">
        <f ca="1">NUMBERSTRING(INT(D122*10000),2)&amp;"元整"</f>
        <v>壹拾亿玖仟叁佰肆拾柒万元整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2323</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2323</v>
      </c>
      <c r="B127" s="3022"/>
      <c r="C127" s="3022"/>
      <c r="D127" s="3122" t="e">
        <f>NUMBERSTRING(INT(D126*10000),2)&amp;"元整"</f>
        <v>#VALUE!</v>
      </c>
      <c r="E127" s="3123"/>
      <c r="F127" s="3123"/>
      <c r="G127" s="3123"/>
      <c r="H127" s="3123"/>
      <c r="I127" s="3124"/>
    </row>
    <row r="128" spans="1:11" ht="21.75" customHeight="1">
      <c r="A128" s="3132" t="s">
        <v>2324</v>
      </c>
      <c r="B128" s="3132"/>
      <c r="C128" s="3132"/>
      <c r="D128" s="3132"/>
      <c r="E128" s="3132"/>
      <c r="F128" s="3132"/>
      <c r="G128" s="3132"/>
      <c r="H128" s="3132"/>
      <c r="I128" s="3132"/>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132103</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14564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104503</v>
      </c>
      <c r="D5" s="255" t="s">
        <v>2340</v>
      </c>
      <c r="E5" s="256" t="s">
        <v>2341</v>
      </c>
      <c r="F5" s="256" t="s">
        <v>2342</v>
      </c>
      <c r="G5" s="257"/>
    </row>
    <row r="6" spans="1:9" s="258" customFormat="1" ht="13.5" customHeight="1">
      <c r="A6" s="952" t="s">
        <v>2343</v>
      </c>
      <c r="B6" s="259" t="s">
        <v>2344</v>
      </c>
      <c r="C6" s="260">
        <f>'土地比较法-住宅、综合'!B2</f>
        <v>99650</v>
      </c>
      <c r="D6" s="261"/>
      <c r="E6" s="262"/>
      <c r="F6" s="262"/>
      <c r="G6" s="263"/>
    </row>
    <row r="7" spans="1:9" s="258" customFormat="1" ht="13.5" customHeight="1">
      <c r="A7" s="952" t="s">
        <v>2345</v>
      </c>
      <c r="B7" s="259" t="s">
        <v>2346</v>
      </c>
      <c r="C7" s="264">
        <f>ROUND(C6*F7,0)</f>
        <v>3039</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3146</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3147</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3148</v>
      </c>
    </row>
    <row r="20" spans="1:7" s="258" customFormat="1" ht="13.5" customHeight="1">
      <c r="A20" s="299" t="s">
        <v>2364</v>
      </c>
      <c r="B20" s="254" t="s">
        <v>2365</v>
      </c>
      <c r="C20" s="276">
        <f>ROUND((C5+C19)*F20,0)</f>
        <v>2090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1977</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1958</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19</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4264</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4264</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121772</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64" t="s">
        <v>2415</v>
      </c>
    </row>
    <row r="43" spans="1:7" ht="13.5" customHeight="1">
      <c r="A43" s="954" t="s">
        <v>792</v>
      </c>
      <c r="B43" s="259" t="s">
        <v>2416</v>
      </c>
      <c r="C43" s="282">
        <f ca="1">ROUND(IF('数据-取费表'!B22&lt;=1,C39*F22*'数据-取费表'!B21/2,C39*(POWER((1+F22),'数据-取费表'!B21/2)-1)),0)</f>
        <v>1</v>
      </c>
      <c r="D43" s="282"/>
      <c r="E43" s="282"/>
      <c r="F43" s="283"/>
      <c r="G43" s="3165"/>
    </row>
    <row r="44" spans="1:7" ht="13.5" customHeight="1">
      <c r="A44" s="954" t="s">
        <v>793</v>
      </c>
      <c r="B44" s="259" t="s">
        <v>2417</v>
      </c>
      <c r="C44" s="282">
        <f ca="1">ROUND(IF('数据-取费表'!B22&lt;=1,C40*F22*'数据-取费表'!B21/2,C40*(POWER((1+F22),'数据-取费表'!B21/2)-1)),4)</f>
        <v>2.0000000000000001E-4</v>
      </c>
      <c r="D44" s="282"/>
      <c r="E44" s="282"/>
      <c r="F44" s="283"/>
      <c r="G44" s="3166"/>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132103</v>
      </c>
      <c r="D52" s="310"/>
      <c r="E52" s="310"/>
      <c r="F52" s="310"/>
      <c r="G52" s="312"/>
    </row>
    <row r="55" spans="1:7" ht="15">
      <c r="B55" s="314" t="s">
        <v>2433</v>
      </c>
      <c r="C55" s="315"/>
    </row>
    <row r="56" spans="1:7">
      <c r="B56" s="317" t="s">
        <v>1513</v>
      </c>
      <c r="C56" s="319">
        <f ca="1">1-C57</f>
        <v>0.92200000000000004</v>
      </c>
    </row>
    <row r="57" spans="1:7">
      <c r="B57" s="317" t="s">
        <v>1514</v>
      </c>
      <c r="C57" s="318">
        <f ca="1">ROUND(C51/C52,3)</f>
        <v>7.8E-2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北京市出让国有建设用地使用权及在建建筑物房地产抵押价值预评估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64" t="s">
        <v>2462</v>
      </c>
    </row>
    <row r="43" spans="1:7" ht="13.5" customHeight="1">
      <c r="A43" s="954" t="s">
        <v>792</v>
      </c>
      <c r="B43" s="259" t="s">
        <v>2416</v>
      </c>
      <c r="C43" s="282">
        <f ca="1">ROUND(IF('数据-取费表'!B22&lt;=1,C39*F22*'数据-取费表'!B20/2,C39*(POWER((1+F22),'数据-取费表'!B20/2)-1)),0)</f>
        <v>367328</v>
      </c>
      <c r="D43" s="282"/>
      <c r="E43" s="282"/>
      <c r="F43" s="283"/>
      <c r="G43" s="3165"/>
    </row>
    <row r="44" spans="1:7" ht="13.5" customHeight="1">
      <c r="A44" s="954" t="s">
        <v>793</v>
      </c>
      <c r="B44" s="259" t="s">
        <v>2417</v>
      </c>
      <c r="C44" s="282">
        <f ca="1">ROUND(IF('数据-取费表'!B22&lt;=1,C40*F22*'数据-取费表'!B20/2,C40*(POWER((1+F22),'数据-取费表'!B20/2)-1)),4)</f>
        <v>1E-3</v>
      </c>
      <c r="D44" s="282"/>
      <c r="E44" s="282"/>
      <c r="F44" s="283"/>
      <c r="G44" s="3166"/>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D1" zoomScale="80" zoomScaleNormal="80" workbookViewId="0">
      <selection activeCell="H17" sqref="H17"/>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99650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10986</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1" t="s">
        <v>2649</v>
      </c>
      <c r="D4" s="3184"/>
      <c r="E4" s="3185" t="s">
        <v>2650</v>
      </c>
      <c r="F4" s="3186"/>
      <c r="G4" s="3171" t="s">
        <v>2651</v>
      </c>
      <c r="H4" s="3184"/>
      <c r="I4" s="3171" t="s">
        <v>2652</v>
      </c>
      <c r="J4" s="3184"/>
      <c r="K4" s="610" t="s">
        <v>2653</v>
      </c>
      <c r="L4" s="1133"/>
      <c r="M4" s="1134"/>
      <c r="N4" s="1134"/>
      <c r="O4" s="1134"/>
      <c r="P4" s="3187" t="s">
        <v>2654</v>
      </c>
      <c r="Q4" s="3188"/>
      <c r="R4" s="3193" t="s">
        <v>2650</v>
      </c>
      <c r="S4" s="3194"/>
      <c r="T4" s="3193" t="s">
        <v>2651</v>
      </c>
      <c r="U4" s="3194"/>
      <c r="V4" s="3180" t="s">
        <v>2652</v>
      </c>
      <c r="W4" s="3180"/>
      <c r="X4" s="1816"/>
      <c r="Y4" s="3193" t="s">
        <v>2654</v>
      </c>
      <c r="Z4" s="3194"/>
      <c r="AA4" s="3181" t="s">
        <v>2650</v>
      </c>
      <c r="AB4" s="3182" t="s">
        <v>2651</v>
      </c>
      <c r="AC4" s="3181" t="s">
        <v>2652</v>
      </c>
    </row>
    <row r="5" spans="1:30" ht="15">
      <c r="A5" s="404"/>
      <c r="B5" s="405"/>
      <c r="C5" s="3201" t="s">
        <v>2545</v>
      </c>
      <c r="D5" s="3202"/>
      <c r="E5" s="3208" t="str">
        <f>土地案例!A12</f>
        <v>通州区运河核心区Ⅸ-06地块F3其它类多功能用地</v>
      </c>
      <c r="F5" s="3209"/>
      <c r="G5" s="3201" t="str">
        <f>土地案例!A13</f>
        <v>通州区运河核心区Ⅸ-02地块F3其它类多功能用地</v>
      </c>
      <c r="H5" s="3202"/>
      <c r="I5" s="3201" t="str">
        <f>土地案例!A15</f>
        <v>通州区运河核心区Ⅸ-07地块F3其它类多功能用地</v>
      </c>
      <c r="J5" s="3202"/>
      <c r="K5" s="610"/>
      <c r="L5" s="1133"/>
      <c r="M5" s="1134"/>
      <c r="N5" s="1134"/>
      <c r="O5" s="1134"/>
      <c r="P5" s="3189"/>
      <c r="Q5" s="3190"/>
      <c r="R5" s="3195"/>
      <c r="S5" s="3196"/>
      <c r="T5" s="3195"/>
      <c r="U5" s="3196"/>
      <c r="V5" s="3180"/>
      <c r="W5" s="3180"/>
      <c r="X5" s="1816"/>
      <c r="Y5" s="3195"/>
      <c r="Z5" s="3196"/>
      <c r="AA5" s="3182"/>
      <c r="AB5" s="3182"/>
      <c r="AC5" s="3182"/>
    </row>
    <row r="6" spans="1:30" ht="15.75" thickBot="1">
      <c r="A6" s="406"/>
      <c r="B6" s="407"/>
      <c r="C6" s="3199" t="s">
        <v>2549</v>
      </c>
      <c r="D6" s="3200"/>
      <c r="E6" s="3206" t="s">
        <v>2549</v>
      </c>
      <c r="F6" s="3207"/>
      <c r="G6" s="3199" t="s">
        <v>2549</v>
      </c>
      <c r="H6" s="3200"/>
      <c r="I6" s="3199" t="s">
        <v>2549</v>
      </c>
      <c r="J6" s="3200"/>
      <c r="K6" s="610" t="s">
        <v>2550</v>
      </c>
      <c r="L6" s="1133"/>
      <c r="M6" s="1134"/>
      <c r="N6" s="1134"/>
      <c r="O6" s="1134"/>
      <c r="P6" s="3191"/>
      <c r="Q6" s="3192"/>
      <c r="R6" s="3195"/>
      <c r="S6" s="3196"/>
      <c r="T6" s="3197"/>
      <c r="U6" s="3198"/>
      <c r="V6" s="3180"/>
      <c r="W6" s="3180"/>
      <c r="X6" s="1816"/>
      <c r="Y6" s="3197"/>
      <c r="Z6" s="3198"/>
      <c r="AA6" s="3183"/>
      <c r="AB6" s="3183"/>
      <c r="AC6" s="3183"/>
    </row>
    <row r="7" spans="1:30" s="117" customFormat="1" ht="15.75" thickBot="1">
      <c r="A7" s="408" t="s">
        <v>2551</v>
      </c>
      <c r="B7" s="409"/>
      <c r="C7" s="410">
        <f>'数据-取费表'!B2</f>
        <v>43390</v>
      </c>
      <c r="D7" s="411">
        <v>100</v>
      </c>
      <c r="E7" s="412" t="str">
        <f>土地案例!H12</f>
        <v>2014-05-06</v>
      </c>
      <c r="F7" s="413">
        <f>SUMIF(70:70,YEAR(E7)&amp;"-"&amp;INT((MONTH(E7)+2)/3),71:71)</f>
        <v>82</v>
      </c>
      <c r="G7" s="2702" t="str">
        <f>土地案例!H13</f>
        <v>2014-05-06</v>
      </c>
      <c r="H7" s="411">
        <f>SUMIF(70:70,YEAR(G7)&amp;"-"&amp;INT((MONTH(G7)+2)/3),71:71)</f>
        <v>82</v>
      </c>
      <c r="I7" s="2702" t="str">
        <f>土地案例!H15</f>
        <v>2014-04-04</v>
      </c>
      <c r="J7" s="411">
        <f>SUMIF(70:70,YEAR(I7)&amp;"-"&amp;INT((MONTH(I7)+2)/3),71:71)</f>
        <v>82</v>
      </c>
      <c r="K7" s="611"/>
      <c r="L7" s="1135"/>
      <c r="M7" s="1136"/>
      <c r="N7" s="1136"/>
      <c r="O7" s="1136"/>
      <c r="P7" s="3203" t="s">
        <v>2552</v>
      </c>
      <c r="Q7" s="3205"/>
      <c r="R7" s="770" t="s">
        <v>17</v>
      </c>
      <c r="S7" s="771">
        <f t="shared" ref="S7:S15" si="0">F7</f>
        <v>82</v>
      </c>
      <c r="T7" s="770" t="s">
        <v>17</v>
      </c>
      <c r="U7" s="771">
        <f t="shared" ref="U7:U15" si="1">H7</f>
        <v>82</v>
      </c>
      <c r="V7" s="770" t="s">
        <v>17</v>
      </c>
      <c r="W7" s="771">
        <f t="shared" ref="W7:W15" si="2">J7</f>
        <v>82</v>
      </c>
      <c r="X7" s="772"/>
      <c r="Y7" s="3203" t="s">
        <v>2552</v>
      </c>
      <c r="Z7" s="3204"/>
      <c r="AA7" s="773">
        <f>D7/F7</f>
        <v>1.2195121951219512</v>
      </c>
      <c r="AB7" s="773">
        <f>D7/H7</f>
        <v>1.2195121951219512</v>
      </c>
      <c r="AC7" s="773">
        <f>D7/J7</f>
        <v>1.2195121951219512</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203" t="s">
        <v>2555</v>
      </c>
      <c r="Q8" s="3204"/>
      <c r="R8" s="770" t="s">
        <v>17</v>
      </c>
      <c r="S8" s="771">
        <f t="shared" si="0"/>
        <v>100</v>
      </c>
      <c r="T8" s="770" t="s">
        <v>17</v>
      </c>
      <c r="U8" s="771">
        <f t="shared" si="1"/>
        <v>100</v>
      </c>
      <c r="V8" s="770" t="s">
        <v>17</v>
      </c>
      <c r="W8" s="771">
        <f t="shared" si="2"/>
        <v>100</v>
      </c>
      <c r="X8" s="772"/>
      <c r="Y8" s="3203" t="s">
        <v>2555</v>
      </c>
      <c r="Z8" s="3204"/>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74" t="s">
        <v>2558</v>
      </c>
      <c r="Q9" s="1798" t="str">
        <f t="shared" ref="Q9:Q15" si="6">B9</f>
        <v>用途</v>
      </c>
      <c r="R9" s="770" t="s">
        <v>17</v>
      </c>
      <c r="S9" s="771">
        <f t="shared" si="0"/>
        <v>100</v>
      </c>
      <c r="T9" s="770" t="s">
        <v>17</v>
      </c>
      <c r="U9" s="771">
        <f t="shared" si="1"/>
        <v>100</v>
      </c>
      <c r="V9" s="770" t="s">
        <v>17</v>
      </c>
      <c r="W9" s="771">
        <f t="shared" si="2"/>
        <v>100</v>
      </c>
      <c r="X9" s="772"/>
      <c r="Y9" s="3022"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44.58</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74"/>
      <c r="Q10" s="1798" t="str">
        <f t="shared" si="6"/>
        <v>土地使用年限（年）</v>
      </c>
      <c r="R10" s="770" t="s">
        <v>17</v>
      </c>
      <c r="S10" s="771">
        <f t="shared" si="0"/>
        <v>104</v>
      </c>
      <c r="T10" s="770" t="s">
        <v>17</v>
      </c>
      <c r="U10" s="771">
        <f t="shared" si="1"/>
        <v>104</v>
      </c>
      <c r="V10" s="770" t="s">
        <v>17</v>
      </c>
      <c r="W10" s="771">
        <f t="shared" si="2"/>
        <v>104</v>
      </c>
      <c r="X10" s="772"/>
      <c r="Y10" s="3022"/>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74"/>
      <c r="Q11" s="1798" t="str">
        <f t="shared" si="6"/>
        <v>容积率</v>
      </c>
      <c r="R11" s="770" t="s">
        <v>17</v>
      </c>
      <c r="S11" s="771">
        <f t="shared" si="0"/>
        <v>94</v>
      </c>
      <c r="T11" s="770" t="s">
        <v>17</v>
      </c>
      <c r="U11" s="771">
        <f t="shared" si="1"/>
        <v>90</v>
      </c>
      <c r="V11" s="770" t="s">
        <v>17</v>
      </c>
      <c r="W11" s="771">
        <f t="shared" si="2"/>
        <v>94</v>
      </c>
      <c r="X11" s="772"/>
      <c r="Y11" s="3022"/>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4"/>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6" t="s">
        <v>2563</v>
      </c>
      <c r="Q15" s="1813" t="str">
        <f t="shared" si="6"/>
        <v>居住社区成熟度</v>
      </c>
      <c r="R15" s="774" t="s">
        <v>17</v>
      </c>
      <c r="S15" s="775">
        <f t="shared" si="0"/>
        <v>100</v>
      </c>
      <c r="T15" s="774" t="s">
        <v>17</v>
      </c>
      <c r="U15" s="775">
        <f t="shared" si="1"/>
        <v>100</v>
      </c>
      <c r="V15" s="774" t="s">
        <v>17</v>
      </c>
      <c r="W15" s="775">
        <f t="shared" si="2"/>
        <v>100</v>
      </c>
      <c r="X15" s="1816"/>
      <c r="Y15" s="3176"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77"/>
      <c r="Q17" s="1813" t="str">
        <f>B17</f>
        <v>商业繁华度</v>
      </c>
      <c r="R17" s="774" t="s">
        <v>17</v>
      </c>
      <c r="S17" s="775">
        <f>F17</f>
        <v>100</v>
      </c>
      <c r="T17" s="774" t="s">
        <v>17</v>
      </c>
      <c r="U17" s="775">
        <f>H17</f>
        <v>100</v>
      </c>
      <c r="V17" s="774" t="s">
        <v>17</v>
      </c>
      <c r="W17" s="775">
        <f>J17</f>
        <v>100</v>
      </c>
      <c r="X17" s="1816"/>
      <c r="Y17" s="3177"/>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77"/>
      <c r="Q19" s="1813" t="str">
        <f>B19</f>
        <v>办公集聚程度</v>
      </c>
      <c r="R19" s="774" t="s">
        <v>17</v>
      </c>
      <c r="S19" s="775">
        <f>F19</f>
        <v>100</v>
      </c>
      <c r="T19" s="774" t="s">
        <v>17</v>
      </c>
      <c r="U19" s="775">
        <f>H19</f>
        <v>100</v>
      </c>
      <c r="V19" s="774" t="s">
        <v>17</v>
      </c>
      <c r="W19" s="775">
        <f>J19</f>
        <v>100</v>
      </c>
      <c r="X19" s="1816"/>
      <c r="Y19" s="3177"/>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177"/>
      <c r="Q20" s="1813"/>
      <c r="R20" s="774"/>
      <c r="S20" s="775"/>
      <c r="T20" s="774"/>
      <c r="U20" s="775"/>
      <c r="V20" s="774"/>
      <c r="W20" s="775"/>
      <c r="X20" s="1816"/>
      <c r="Y20" s="3177"/>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77"/>
      <c r="Q21" s="1813" t="str">
        <f>B21</f>
        <v>交通便捷度</v>
      </c>
      <c r="R21" s="774" t="s">
        <v>17</v>
      </c>
      <c r="S21" s="775">
        <f>F21</f>
        <v>100</v>
      </c>
      <c r="T21" s="774" t="s">
        <v>17</v>
      </c>
      <c r="U21" s="775">
        <f>H21</f>
        <v>100</v>
      </c>
      <c r="V21" s="774" t="s">
        <v>17</v>
      </c>
      <c r="W21" s="775">
        <f>J21</f>
        <v>100</v>
      </c>
      <c r="X21" s="1816"/>
      <c r="Y21" s="3177"/>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7"/>
      <c r="Q23" s="1813" t="str">
        <f t="shared" ref="Q23:Q37" si="8">B23</f>
        <v>区域土地利用方向</v>
      </c>
      <c r="R23" s="774" t="s">
        <v>17</v>
      </c>
      <c r="S23" s="775">
        <f>F23</f>
        <v>100</v>
      </c>
      <c r="T23" s="774" t="s">
        <v>17</v>
      </c>
      <c r="U23" s="775">
        <f>H23</f>
        <v>100</v>
      </c>
      <c r="V23" s="774" t="s">
        <v>17</v>
      </c>
      <c r="W23" s="775">
        <f>J23</f>
        <v>100</v>
      </c>
      <c r="X23" s="1816"/>
      <c r="Y23" s="3177"/>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177"/>
      <c r="Q24" s="1813"/>
      <c r="R24" s="774"/>
      <c r="S24" s="775"/>
      <c r="T24" s="774"/>
      <c r="U24" s="775"/>
      <c r="V24" s="774"/>
      <c r="W24" s="775"/>
      <c r="X24" s="1816"/>
      <c r="Y24" s="3177"/>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7"/>
      <c r="Q25" s="1813" t="str">
        <f t="shared" si="8"/>
        <v>自然及人文环境状况</v>
      </c>
      <c r="R25" s="774" t="s">
        <v>17</v>
      </c>
      <c r="S25" s="775">
        <f>F25</f>
        <v>100</v>
      </c>
      <c r="T25" s="774" t="s">
        <v>17</v>
      </c>
      <c r="U25" s="775">
        <f>H25</f>
        <v>100</v>
      </c>
      <c r="V25" s="774" t="s">
        <v>17</v>
      </c>
      <c r="W25" s="775">
        <f>J25</f>
        <v>100</v>
      </c>
      <c r="X25" s="1816"/>
      <c r="Y25" s="3177"/>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177"/>
      <c r="Q26" s="1813"/>
      <c r="R26" s="774"/>
      <c r="S26" s="775"/>
      <c r="T26" s="774"/>
      <c r="U26" s="775"/>
      <c r="V26" s="774"/>
      <c r="W26" s="775"/>
      <c r="X26" s="1816"/>
      <c r="Y26" s="3177"/>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7"/>
      <c r="Q27" s="1798" t="str">
        <f t="shared" si="8"/>
        <v>公共配套设施</v>
      </c>
      <c r="R27" s="770" t="s">
        <v>17</v>
      </c>
      <c r="S27" s="771">
        <f>F27</f>
        <v>100</v>
      </c>
      <c r="T27" s="770" t="s">
        <v>17</v>
      </c>
      <c r="U27" s="771">
        <f>H27</f>
        <v>100</v>
      </c>
      <c r="V27" s="770" t="s">
        <v>17</v>
      </c>
      <c r="W27" s="771">
        <f>J27</f>
        <v>100</v>
      </c>
      <c r="X27" s="772"/>
      <c r="Y27" s="3177"/>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177"/>
      <c r="Q28" s="1798"/>
      <c r="R28" s="770"/>
      <c r="S28" s="771"/>
      <c r="T28" s="770"/>
      <c r="U28" s="771"/>
      <c r="V28" s="770"/>
      <c r="W28" s="771"/>
      <c r="X28" s="772"/>
      <c r="Y28" s="3177"/>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7"/>
      <c r="Q29" s="1798"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177"/>
      <c r="Q30" s="1798"/>
      <c r="R30" s="770"/>
      <c r="S30" s="771"/>
      <c r="T30" s="770"/>
      <c r="U30" s="771"/>
      <c r="V30" s="770"/>
      <c r="W30" s="771"/>
      <c r="X30" s="772"/>
      <c r="Y30" s="3177"/>
      <c r="Z30" s="55"/>
      <c r="AA30" s="1814">
        <v>1</v>
      </c>
      <c r="AB30" s="1814">
        <v>1</v>
      </c>
      <c r="AC30" s="1814">
        <v>1</v>
      </c>
    </row>
    <row r="31" spans="1:29" ht="15">
      <c r="A31" s="428"/>
      <c r="B31" s="456" t="s">
        <v>2659</v>
      </c>
      <c r="C31" s="616" t="s">
        <v>3137</v>
      </c>
      <c r="D31" s="435">
        <v>100</v>
      </c>
      <c r="E31" s="634" t="s">
        <v>3138</v>
      </c>
      <c r="F31" s="435">
        <f>SUMIF(104:104,E31,105:105)-SUMIF(104:104,C31,105:105)+100</f>
        <v>98</v>
      </c>
      <c r="G31" s="634" t="s">
        <v>3138</v>
      </c>
      <c r="H31" s="435">
        <f>SUMIF(104:104,G31,105:105)-SUMIF(104:104,C31,105:105)+100</f>
        <v>98</v>
      </c>
      <c r="I31" s="634" t="s">
        <v>3138</v>
      </c>
      <c r="J31" s="435">
        <f>SUMIF(104:104,I31,105:105)-SUMIF(104:104,C31,105:105)+100</f>
        <v>98</v>
      </c>
      <c r="K31" s="673">
        <v>2</v>
      </c>
      <c r="L31" s="1143"/>
      <c r="M31" s="1134"/>
      <c r="N31" s="1134"/>
      <c r="O31" s="1142"/>
      <c r="P31" s="3177"/>
      <c r="Q31" s="1813" t="str">
        <f t="shared" si="8"/>
        <v>临街状况</v>
      </c>
      <c r="R31" s="774" t="s">
        <v>17</v>
      </c>
      <c r="S31" s="775">
        <f t="shared" ref="S31:S45" si="10">F31</f>
        <v>98</v>
      </c>
      <c r="T31" s="774" t="s">
        <v>17</v>
      </c>
      <c r="U31" s="775">
        <f t="shared" ref="U31:U45" si="11">H31</f>
        <v>98</v>
      </c>
      <c r="V31" s="774" t="s">
        <v>17</v>
      </c>
      <c r="W31" s="775">
        <f t="shared" ref="W31:W45" si="12">J31</f>
        <v>98</v>
      </c>
      <c r="X31" s="1816"/>
      <c r="Y31" s="3177"/>
      <c r="Z31" s="1817" t="str">
        <f t="shared" ref="Z31:Z45" si="13">Q31</f>
        <v>临街状况</v>
      </c>
      <c r="AA31" s="1814">
        <f t="shared" si="3"/>
        <v>1.0204081632653061</v>
      </c>
      <c r="AB31" s="1814">
        <f t="shared" si="4"/>
        <v>1.0204081632653061</v>
      </c>
      <c r="AC31" s="1814">
        <f t="shared" si="5"/>
        <v>1.0204081632653061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7"/>
      <c r="Q32" s="1813" t="str">
        <f t="shared" si="8"/>
        <v>毗邻道路的类型与等级</v>
      </c>
      <c r="R32" s="774" t="s">
        <v>17</v>
      </c>
      <c r="S32" s="775">
        <f t="shared" si="10"/>
        <v>100</v>
      </c>
      <c r="T32" s="774" t="s">
        <v>17</v>
      </c>
      <c r="U32" s="775">
        <f t="shared" si="11"/>
        <v>100</v>
      </c>
      <c r="V32" s="774" t="s">
        <v>17</v>
      </c>
      <c r="W32" s="775">
        <f t="shared" si="12"/>
        <v>100</v>
      </c>
      <c r="X32" s="1816"/>
      <c r="Y32" s="3177"/>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7"/>
      <c r="Q33" s="1813"/>
      <c r="R33" s="774"/>
      <c r="S33" s="775"/>
      <c r="T33" s="774"/>
      <c r="U33" s="775"/>
      <c r="V33" s="774"/>
      <c r="W33" s="775"/>
      <c r="X33" s="1816"/>
      <c r="Y33" s="3177"/>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7"/>
      <c r="Q34" s="1813" t="str">
        <f t="shared" si="8"/>
        <v>土地级别</v>
      </c>
      <c r="R34" s="774" t="s">
        <v>17</v>
      </c>
      <c r="S34" s="775">
        <f t="shared" si="10"/>
        <v>100</v>
      </c>
      <c r="T34" s="774" t="s">
        <v>17</v>
      </c>
      <c r="U34" s="775">
        <f t="shared" si="11"/>
        <v>100</v>
      </c>
      <c r="V34" s="774" t="s">
        <v>17</v>
      </c>
      <c r="W34" s="775">
        <f t="shared" si="12"/>
        <v>100</v>
      </c>
      <c r="X34" s="1816"/>
      <c r="Y34" s="31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7"/>
      <c r="Q35" s="1813">
        <f t="shared" si="8"/>
        <v>111</v>
      </c>
      <c r="R35" s="774" t="s">
        <v>17</v>
      </c>
      <c r="S35" s="775">
        <f t="shared" si="10"/>
        <v>100</v>
      </c>
      <c r="T35" s="774" t="s">
        <v>17</v>
      </c>
      <c r="U35" s="775">
        <f t="shared" si="11"/>
        <v>100</v>
      </c>
      <c r="V35" s="774" t="s">
        <v>17</v>
      </c>
      <c r="W35" s="775">
        <f t="shared" si="12"/>
        <v>100</v>
      </c>
      <c r="X35" s="1816"/>
      <c r="Y35" s="31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8" t="s">
        <v>2568</v>
      </c>
      <c r="Q36" s="1813">
        <f t="shared" si="8"/>
        <v>111</v>
      </c>
      <c r="R36" s="774" t="s">
        <v>17</v>
      </c>
      <c r="S36" s="775">
        <f t="shared" si="10"/>
        <v>100</v>
      </c>
      <c r="T36" s="774" t="s">
        <v>17</v>
      </c>
      <c r="U36" s="775">
        <f t="shared" si="11"/>
        <v>100</v>
      </c>
      <c r="V36" s="774" t="s">
        <v>17</v>
      </c>
      <c r="W36" s="775">
        <f t="shared" si="12"/>
        <v>100</v>
      </c>
      <c r="X36" s="1816"/>
      <c r="Y36" s="3179"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9"/>
      <c r="Q37" s="1813">
        <f t="shared" si="8"/>
        <v>111</v>
      </c>
      <c r="R37" s="777" t="s">
        <v>17</v>
      </c>
      <c r="S37" s="778">
        <f t="shared" si="10"/>
        <v>100</v>
      </c>
      <c r="T37" s="777" t="s">
        <v>17</v>
      </c>
      <c r="U37" s="778">
        <f t="shared" si="11"/>
        <v>100</v>
      </c>
      <c r="V37" s="777" t="s">
        <v>17</v>
      </c>
      <c r="W37" s="778">
        <f t="shared" si="12"/>
        <v>100</v>
      </c>
      <c r="X37" s="779"/>
      <c r="Y37" s="3179"/>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179"/>
      <c r="Q38" s="1813" t="str">
        <f>B38</f>
        <v>宗地面积</v>
      </c>
      <c r="R38" s="774" t="s">
        <v>17</v>
      </c>
      <c r="S38" s="775">
        <f t="shared" si="10"/>
        <v>100</v>
      </c>
      <c r="T38" s="774" t="s">
        <v>17</v>
      </c>
      <c r="U38" s="775">
        <f t="shared" si="11"/>
        <v>99</v>
      </c>
      <c r="V38" s="774" t="s">
        <v>17</v>
      </c>
      <c r="W38" s="775">
        <f t="shared" si="12"/>
        <v>100</v>
      </c>
      <c r="X38" s="1816"/>
      <c r="Y38" s="3179"/>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9"/>
      <c r="Q39" s="1813" t="str">
        <f t="shared" ref="Q39:Q45" si="14">B39</f>
        <v>宗地形状</v>
      </c>
      <c r="R39" s="774" t="s">
        <v>17</v>
      </c>
      <c r="S39" s="775">
        <f t="shared" si="10"/>
        <v>100</v>
      </c>
      <c r="T39" s="774" t="s">
        <v>17</v>
      </c>
      <c r="U39" s="775">
        <f t="shared" si="11"/>
        <v>100</v>
      </c>
      <c r="V39" s="774" t="s">
        <v>17</v>
      </c>
      <c r="W39" s="775">
        <f t="shared" si="12"/>
        <v>100</v>
      </c>
      <c r="X39" s="1816"/>
      <c r="Y39" s="3179"/>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9"/>
      <c r="Q40" s="1813" t="str">
        <f t="shared" si="14"/>
        <v>临街宽度及深度</v>
      </c>
      <c r="R40" s="774" t="s">
        <v>17</v>
      </c>
      <c r="S40" s="775">
        <f t="shared" si="10"/>
        <v>100</v>
      </c>
      <c r="T40" s="774" t="s">
        <v>17</v>
      </c>
      <c r="U40" s="775">
        <f t="shared" si="11"/>
        <v>100</v>
      </c>
      <c r="V40" s="774" t="s">
        <v>17</v>
      </c>
      <c r="W40" s="775">
        <f t="shared" si="12"/>
        <v>100</v>
      </c>
      <c r="X40" s="1816"/>
      <c r="Y40" s="3179"/>
      <c r="Z40" s="1817" t="str">
        <f t="shared" si="13"/>
        <v>临街宽度及深度</v>
      </c>
      <c r="AA40" s="1814">
        <f t="shared" si="3"/>
        <v>1</v>
      </c>
      <c r="AB40" s="1814">
        <f t="shared" si="4"/>
        <v>1</v>
      </c>
      <c r="AC40" s="1814">
        <f t="shared" si="5"/>
        <v>1</v>
      </c>
    </row>
    <row r="41" spans="1:29" s="117" customFormat="1" ht="15">
      <c r="A41" s="473"/>
      <c r="B41" s="2973"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9"/>
      <c r="Q41" s="1813"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9" t="s">
        <v>2568</v>
      </c>
      <c r="Q42" s="1813" t="str">
        <f t="shared" si="14"/>
        <v>工程地质条件</v>
      </c>
      <c r="R42" s="774" t="s">
        <v>17</v>
      </c>
      <c r="S42" s="775">
        <f t="shared" si="10"/>
        <v>100</v>
      </c>
      <c r="T42" s="774" t="s">
        <v>17</v>
      </c>
      <c r="U42" s="775">
        <f t="shared" si="11"/>
        <v>100</v>
      </c>
      <c r="V42" s="774" t="s">
        <v>17</v>
      </c>
      <c r="W42" s="775">
        <f t="shared" si="12"/>
        <v>100</v>
      </c>
      <c r="X42" s="1816"/>
      <c r="Y42" s="3179"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9"/>
      <c r="Q43" s="1813">
        <f t="shared" si="14"/>
        <v>111</v>
      </c>
      <c r="R43" s="774" t="s">
        <v>17</v>
      </c>
      <c r="S43" s="775">
        <f t="shared" si="10"/>
        <v>100</v>
      </c>
      <c r="T43" s="774" t="s">
        <v>17</v>
      </c>
      <c r="U43" s="775">
        <f t="shared" si="11"/>
        <v>100</v>
      </c>
      <c r="V43" s="774" t="s">
        <v>17</v>
      </c>
      <c r="W43" s="775">
        <f t="shared" si="12"/>
        <v>100</v>
      </c>
      <c r="X43" s="1816"/>
      <c r="Y43" s="317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9"/>
      <c r="Q44" s="1813">
        <f t="shared" si="14"/>
        <v>111</v>
      </c>
      <c r="R44" s="774" t="s">
        <v>17</v>
      </c>
      <c r="S44" s="775">
        <f t="shared" si="10"/>
        <v>100</v>
      </c>
      <c r="T44" s="774" t="s">
        <v>17</v>
      </c>
      <c r="U44" s="775">
        <f t="shared" si="11"/>
        <v>100</v>
      </c>
      <c r="V44" s="774" t="s">
        <v>17</v>
      </c>
      <c r="W44" s="775">
        <f t="shared" si="12"/>
        <v>100</v>
      </c>
      <c r="X44" s="1816"/>
      <c r="Y44" s="3179"/>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9"/>
      <c r="Q45" s="1813">
        <f t="shared" si="14"/>
        <v>111</v>
      </c>
      <c r="R45" s="777" t="s">
        <v>17</v>
      </c>
      <c r="S45" s="778">
        <f t="shared" si="10"/>
        <v>100</v>
      </c>
      <c r="T45" s="777" t="s">
        <v>17</v>
      </c>
      <c r="U45" s="778">
        <f t="shared" si="11"/>
        <v>100</v>
      </c>
      <c r="V45" s="777" t="s">
        <v>17</v>
      </c>
      <c r="W45" s="778">
        <f t="shared" si="12"/>
        <v>100</v>
      </c>
      <c r="X45" s="779"/>
      <c r="Y45" s="3179"/>
      <c r="Z45" s="780">
        <f t="shared" si="13"/>
        <v>111</v>
      </c>
      <c r="AA45" s="1814">
        <f t="shared" si="3"/>
        <v>1</v>
      </c>
      <c r="AB45" s="1814">
        <f t="shared" si="4"/>
        <v>1</v>
      </c>
      <c r="AC45" s="1814">
        <f t="shared" si="5"/>
        <v>1</v>
      </c>
    </row>
    <row r="46" spans="1:29" ht="15">
      <c r="A46" s="479" t="s">
        <v>2723</v>
      </c>
      <c r="B46" s="2710" t="s">
        <v>3145</v>
      </c>
      <c r="C46" s="682" t="s">
        <v>1</v>
      </c>
      <c r="D46" s="481"/>
      <c r="E46" s="482">
        <v>13371</v>
      </c>
      <c r="F46" s="483"/>
      <c r="G46" s="484">
        <v>12022</v>
      </c>
      <c r="H46" s="485"/>
      <c r="I46" s="482">
        <v>13016</v>
      </c>
      <c r="J46" s="485"/>
      <c r="K46" s="783"/>
      <c r="L46" s="1146"/>
      <c r="M46" s="1147"/>
      <c r="N46" s="1134"/>
      <c r="O46" s="1147"/>
      <c r="P46" s="3174" t="str">
        <f>A46</f>
        <v>成交单价</v>
      </c>
      <c r="Q46" s="3174"/>
      <c r="R46" s="3180">
        <f>E46</f>
        <v>13371</v>
      </c>
      <c r="S46" s="3180"/>
      <c r="T46" s="3180">
        <f>G46</f>
        <v>12022</v>
      </c>
      <c r="U46" s="3180"/>
      <c r="V46" s="3180">
        <f>I46</f>
        <v>13016</v>
      </c>
      <c r="W46" s="3180"/>
      <c r="X46" s="759"/>
      <c r="Y46" s="781"/>
      <c r="Z46" s="759"/>
      <c r="AA46" s="759"/>
      <c r="AB46" s="759"/>
      <c r="AC46" s="759"/>
    </row>
    <row r="47" spans="1:29" ht="15.75" thickBot="1">
      <c r="A47" s="486" t="s">
        <v>2672</v>
      </c>
      <c r="B47" s="683"/>
      <c r="C47" s="490">
        <f>R48</f>
        <v>16578</v>
      </c>
      <c r="D47" s="489"/>
      <c r="E47" s="490">
        <f>R47</f>
        <v>17020</v>
      </c>
      <c r="F47" s="491"/>
      <c r="G47" s="488">
        <f>T47</f>
        <v>16145</v>
      </c>
      <c r="H47" s="489"/>
      <c r="I47" s="490">
        <f>V47</f>
        <v>16568</v>
      </c>
      <c r="J47" s="489"/>
      <c r="K47" s="784"/>
      <c r="L47" s="1146"/>
      <c r="M47" s="1147"/>
      <c r="N47" s="1147"/>
      <c r="O47" s="1147"/>
      <c r="P47" s="3174" t="str">
        <f>A47</f>
        <v>比较价值（元/平方米）</v>
      </c>
      <c r="Q47" s="3174"/>
      <c r="R47" s="3167">
        <f>ROUND(PRODUCT(R46,AA7:AA45),0)</f>
        <v>17020</v>
      </c>
      <c r="S47" s="3167"/>
      <c r="T47" s="3167">
        <f>ROUND(PRODUCT(T46,AB7:AB45),0)</f>
        <v>16145</v>
      </c>
      <c r="U47" s="3167"/>
      <c r="V47" s="3167">
        <f>ROUND(PRODUCT(V46,AC7:AC45),0)</f>
        <v>16568</v>
      </c>
      <c r="W47" s="3167"/>
      <c r="X47" s="759"/>
      <c r="Y47" s="759"/>
      <c r="Z47" s="759"/>
      <c r="AA47" s="759"/>
      <c r="AB47" s="759"/>
      <c r="AC47" s="759"/>
    </row>
    <row r="48" spans="1:29" ht="15.75" thickBot="1">
      <c r="A48" s="492" t="s">
        <v>2759</v>
      </c>
      <c r="B48" s="493"/>
      <c r="C48" s="494">
        <f>R48</f>
        <v>16578</v>
      </c>
      <c r="D48" s="494"/>
      <c r="E48" s="494"/>
      <c r="F48" s="494"/>
      <c r="G48" s="494"/>
      <c r="H48" s="494"/>
      <c r="I48" s="494"/>
      <c r="J48" s="494"/>
      <c r="K48" s="785"/>
      <c r="L48" s="1146"/>
      <c r="M48" s="1147"/>
      <c r="N48" s="1147"/>
      <c r="O48" s="1147"/>
      <c r="P48" s="3168" t="str">
        <f>A48</f>
        <v>估价对象XX用房的比较价值（楼面单价，元/平方米）</v>
      </c>
      <c r="Q48" s="3169"/>
      <c r="R48" s="3170">
        <f>ROUND(AVERAGE(R47:V47),0)</f>
        <v>16578</v>
      </c>
      <c r="S48" s="3170"/>
      <c r="T48" s="3170"/>
      <c r="U48" s="3170"/>
      <c r="V48" s="3170"/>
      <c r="W48" s="317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0.27290404606985263</v>
      </c>
      <c r="F51" s="500" t="str">
        <f>IF(OR(E51&gt;=0.3,E51&lt;=-0.3),"超过30%","")</f>
        <v/>
      </c>
      <c r="G51" s="499">
        <f>IF(G46&lt;G47,G47/G46-1,G46/G47-1)</f>
        <v>0.34295458326401596</v>
      </c>
      <c r="H51" s="500" t="str">
        <f>IF(OR(G51&gt;=0.3,G51&lt;=-0.3),"超过30%","")</f>
        <v>超过30%</v>
      </c>
      <c r="I51" s="499">
        <f>IF(I46&lt;I47,I47/I46-1,I46/I47-1)</f>
        <v>0.27289489858635529</v>
      </c>
      <c r="J51" s="500" t="str">
        <f>IF(OR(I51&gt;=0.3,I51&lt;=-0.3),"超过30%","")</f>
        <v/>
      </c>
      <c r="K51" s="1108"/>
      <c r="L51" s="1109"/>
      <c r="M51" s="1147"/>
      <c r="N51" s="1147"/>
      <c r="O51" s="1147"/>
    </row>
    <row r="52" spans="1:15" ht="13.5" customHeight="1">
      <c r="A52" s="1147"/>
      <c r="B52" s="1147"/>
      <c r="C52" s="497" t="s">
        <v>2675</v>
      </c>
      <c r="D52" s="501"/>
      <c r="E52" s="499">
        <f>IF(E47&lt;G47,G47/E47-1,E47/G47-1)</f>
        <v>5.419634561783826E-2</v>
      </c>
      <c r="F52" s="500" t="str">
        <f>IF(OR(E52&gt;=0.2,E52&lt;=-0.2),"超过20%","")</f>
        <v/>
      </c>
      <c r="G52" s="499">
        <f>IF(G47&lt;I47,I47/G47-1,G47/I47-1)</f>
        <v>2.620006193868063E-2</v>
      </c>
      <c r="H52" s="500" t="str">
        <f>IF(OR(G52&gt;=0.2,G52&lt;=-0.2),"超过20%","")</f>
        <v/>
      </c>
      <c r="I52" s="499">
        <f>IF(I47&lt;E47,E47/I47-1,I47/E47-1)</f>
        <v>2.7281506518590071E-2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71" t="s">
        <v>2766</v>
      </c>
      <c r="H55" s="3172"/>
      <c r="I55" s="144" t="s">
        <v>2767</v>
      </c>
      <c r="J55" s="2713">
        <f>项目基本情况!F35</f>
        <v>0</v>
      </c>
      <c r="K55" s="2714" t="s">
        <v>2768</v>
      </c>
      <c r="L55" s="1109"/>
      <c r="M55" s="1147"/>
      <c r="N55" s="1147"/>
      <c r="O55" s="1147"/>
    </row>
    <row r="56" spans="1:15" s="692" customFormat="1">
      <c r="A56" s="688" t="s">
        <v>2769</v>
      </c>
      <c r="B56" s="689">
        <f>C48</f>
        <v>16578</v>
      </c>
      <c r="C56" s="690">
        <v>1</v>
      </c>
      <c r="D56" s="1166">
        <v>1</v>
      </c>
      <c r="E56" s="690">
        <f>'数据-汇总表'!E8+'数据-汇总表'!E9</f>
        <v>58256.14</v>
      </c>
      <c r="F56" s="1106">
        <f t="shared" ref="F56:F65" si="15">ROUND(B56*E56/10000,0)</f>
        <v>96577</v>
      </c>
      <c r="G56" s="3173"/>
      <c r="H56" s="3174"/>
      <c r="I56" s="1111">
        <v>1</v>
      </c>
      <c r="J56" s="1114">
        <v>1</v>
      </c>
      <c r="K56" s="1148"/>
      <c r="L56" s="944"/>
      <c r="M56" s="944"/>
      <c r="N56" s="944"/>
      <c r="O56" s="944"/>
    </row>
    <row r="57" spans="1:15" s="692" customFormat="1">
      <c r="A57" s="693" t="s">
        <v>2770</v>
      </c>
      <c r="B57" s="262">
        <f>ROUND($C$48*C57*D57,0)</f>
        <v>2901</v>
      </c>
      <c r="C57" s="200">
        <f t="shared" ref="C57:C65" si="16">IF($C$55="北京市系数",I57,J57)</f>
        <v>0.7</v>
      </c>
      <c r="D57" s="1167">
        <v>0.25</v>
      </c>
      <c r="E57" s="694">
        <f>ROUND('数据-汇总表'!G20/2,2)</f>
        <v>4336.8999999999996</v>
      </c>
      <c r="F57" s="1106">
        <f t="shared" si="15"/>
        <v>1258</v>
      </c>
      <c r="G57" s="3175"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1658</v>
      </c>
      <c r="C58" s="200">
        <f t="shared" si="16"/>
        <v>0.4</v>
      </c>
      <c r="D58" s="1167">
        <v>0.25</v>
      </c>
      <c r="E58" s="694">
        <f>'数据-汇总表'!G20-'土地比较法-住宅、综合'!E57</f>
        <v>4336.8900000000012</v>
      </c>
      <c r="F58" s="1106">
        <f t="shared" si="15"/>
        <v>719</v>
      </c>
      <c r="G58" s="3175"/>
      <c r="H58" s="1107" t="str">
        <f>项目基本情况!B37</f>
        <v>六级</v>
      </c>
      <c r="I58" s="1111">
        <f>SUMIF(修正!A45:A56,H58,修正!C45:C56)</f>
        <v>0.4</v>
      </c>
      <c r="J58" s="1115"/>
      <c r="K58" s="1148"/>
      <c r="L58" s="944"/>
      <c r="M58" s="944"/>
      <c r="N58" s="944"/>
      <c r="O58" s="944"/>
    </row>
    <row r="59" spans="1:15" s="692" customFormat="1">
      <c r="A59" s="693" t="s">
        <v>2773</v>
      </c>
      <c r="B59" s="262">
        <f t="shared" si="17"/>
        <v>1160</v>
      </c>
      <c r="C59" s="200">
        <f t="shared" si="16"/>
        <v>0.28000000000000003</v>
      </c>
      <c r="D59" s="1167">
        <v>0.25</v>
      </c>
      <c r="E59" s="694"/>
      <c r="F59" s="1106">
        <f t="shared" si="15"/>
        <v>0</v>
      </c>
      <c r="G59" s="3175"/>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1036</v>
      </c>
      <c r="C60" s="200">
        <f t="shared" si="16"/>
        <v>0.25</v>
      </c>
      <c r="D60" s="1167">
        <v>0.25</v>
      </c>
      <c r="E60" s="694"/>
      <c r="F60" s="1106">
        <f t="shared" si="15"/>
        <v>0</v>
      </c>
      <c r="G60" s="3175"/>
      <c r="H60" s="1107" t="str">
        <f>项目基本情况!B37</f>
        <v>六级</v>
      </c>
      <c r="I60" s="1111">
        <f>SUMIF(修正!A45:A56,H60,修正!E45:E56)</f>
        <v>0.25</v>
      </c>
      <c r="J60" s="1115"/>
      <c r="K60" s="1148"/>
      <c r="L60" s="944"/>
      <c r="M60" s="944"/>
      <c r="N60" s="944"/>
      <c r="O60" s="944"/>
    </row>
    <row r="61" spans="1:15" s="692" customFormat="1">
      <c r="A61" s="693" t="s">
        <v>2775</v>
      </c>
      <c r="B61" s="262">
        <f t="shared" si="17"/>
        <v>1036</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1036</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829</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1" s="692" customFormat="1" ht="15" thickBot="1">
      <c r="A65" s="693" t="s">
        <v>2782</v>
      </c>
      <c r="B65" s="262">
        <f t="shared" si="17"/>
        <v>829</v>
      </c>
      <c r="C65" s="200">
        <f t="shared" si="16"/>
        <v>0.2</v>
      </c>
      <c r="D65" s="1167">
        <v>0.25</v>
      </c>
      <c r="E65" s="261">
        <f>'数据-汇总表'!E15</f>
        <v>13214.94</v>
      </c>
      <c r="F65" s="1106">
        <f t="shared" si="15"/>
        <v>1096</v>
      </c>
      <c r="G65" s="2716" t="s">
        <v>2776</v>
      </c>
      <c r="H65" s="1117" t="str">
        <f>项目基本情况!C37</f>
        <v>六级</v>
      </c>
      <c r="I65" s="1113">
        <f>SUMIF(修正!A45:A56,H65,修正!H45:H56)</f>
        <v>0.2</v>
      </c>
      <c r="J65" s="1116"/>
      <c r="K65" s="1147"/>
      <c r="L65" s="944"/>
      <c r="M65" s="944"/>
      <c r="N65" s="944"/>
      <c r="O65" s="944"/>
    </row>
    <row r="66" spans="1:21" s="692" customFormat="1" ht="13.5" thickBot="1">
      <c r="A66" s="695" t="s">
        <v>2783</v>
      </c>
      <c r="B66" s="696" t="s">
        <v>28</v>
      </c>
      <c r="C66" s="696" t="s">
        <v>29</v>
      </c>
      <c r="D66" s="696" t="s">
        <v>1029</v>
      </c>
      <c r="E66" s="696">
        <f>IF(B46="楼面地价",SUM(E56:E65),'数据-汇总表'!D3)</f>
        <v>80144.87000000001</v>
      </c>
      <c r="F66" s="697">
        <f>IF(B46="楼面地价",SUM(F56:F65),ROUND(C48*E66/10000,0))</f>
        <v>99650</v>
      </c>
      <c r="G66" s="787"/>
      <c r="H66" s="787"/>
      <c r="I66" s="787"/>
      <c r="J66" s="787"/>
      <c r="K66" s="1161"/>
      <c r="L66" s="944"/>
      <c r="M66" s="944"/>
      <c r="N66" s="944"/>
      <c r="O66" s="944"/>
    </row>
    <row r="67" spans="1:21">
      <c r="A67" s="759"/>
      <c r="B67" s="761"/>
      <c r="C67" s="762"/>
      <c r="D67" s="759"/>
      <c r="E67" s="759"/>
      <c r="F67" s="759"/>
      <c r="G67" s="759"/>
      <c r="H67" s="759"/>
      <c r="I67" s="759"/>
      <c r="J67" s="1147"/>
      <c r="K67" s="1108"/>
      <c r="L67" s="1109"/>
      <c r="M67" s="1147"/>
      <c r="N67" s="1147"/>
      <c r="O67" s="1147"/>
    </row>
    <row r="68" spans="1:21">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21" ht="21.75" thickBot="1">
      <c r="A69" s="763" t="s">
        <v>2677</v>
      </c>
      <c r="B69" s="759"/>
      <c r="C69" s="764"/>
      <c r="D69" s="764"/>
      <c r="E69" s="764"/>
      <c r="F69" s="765"/>
      <c r="G69" s="765"/>
      <c r="H69" s="764"/>
      <c r="I69" s="764"/>
      <c r="J69" s="1162"/>
      <c r="K69" s="1163"/>
      <c r="L69" s="1164"/>
      <c r="M69" s="1162"/>
      <c r="N69" s="1162"/>
      <c r="O69" s="1162"/>
      <c r="P69" s="503"/>
      <c r="Q69" s="504"/>
    </row>
    <row r="70" spans="1:21" s="508" customFormat="1" ht="15">
      <c r="A70" s="2717" t="s">
        <v>2784</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t="s">
        <v>3139</v>
      </c>
      <c r="Q70" s="508" t="s">
        <v>3140</v>
      </c>
      <c r="R70" s="508" t="s">
        <v>3141</v>
      </c>
      <c r="S70" s="508" t="s">
        <v>3142</v>
      </c>
      <c r="T70" s="508" t="s">
        <v>3143</v>
      </c>
      <c r="U70" s="508" t="s">
        <v>3144</v>
      </c>
    </row>
    <row r="71" spans="1:21" s="117" customFormat="1" ht="30" customHeight="1">
      <c r="A71" s="2718" t="s">
        <v>2785</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1570">
        <v>90</v>
      </c>
      <c r="N71" s="595">
        <v>89</v>
      </c>
      <c r="O71" s="1571">
        <v>88</v>
      </c>
      <c r="P71" s="2967">
        <v>87</v>
      </c>
      <c r="Q71" s="117">
        <v>86</v>
      </c>
      <c r="R71" s="117">
        <v>85</v>
      </c>
      <c r="S71" s="117">
        <v>84</v>
      </c>
      <c r="T71" s="117">
        <v>83</v>
      </c>
      <c r="U71" s="117">
        <v>82</v>
      </c>
    </row>
    <row r="72" spans="1:21" s="117" customFormat="1" ht="15.75" thickBot="1">
      <c r="A72" s="515" t="s">
        <v>2588</v>
      </c>
      <c r="B72" s="516"/>
      <c r="C72" s="517"/>
      <c r="D72" s="518"/>
      <c r="E72" s="518"/>
      <c r="F72" s="518"/>
      <c r="G72" s="518"/>
      <c r="H72" s="518"/>
      <c r="I72" s="518"/>
      <c r="J72" s="518"/>
      <c r="K72" s="518"/>
      <c r="L72" s="518"/>
      <c r="M72" s="519"/>
      <c r="N72" s="518"/>
      <c r="O72" s="1165"/>
      <c r="P72" s="504"/>
      <c r="Q72" s="504"/>
    </row>
    <row r="73" spans="1:21" s="117" customFormat="1" ht="15">
      <c r="A73" s="521" t="s">
        <v>2553</v>
      </c>
      <c r="B73" s="510"/>
      <c r="C73" s="522" t="s">
        <v>2655</v>
      </c>
      <c r="D73" s="523"/>
      <c r="E73" s="523"/>
      <c r="F73" s="523"/>
      <c r="G73" s="523"/>
      <c r="H73" s="523"/>
      <c r="I73" s="523"/>
      <c r="J73" s="523"/>
      <c r="K73" s="523"/>
      <c r="L73" s="524"/>
      <c r="M73" s="525"/>
      <c r="N73" s="1154"/>
      <c r="O73" s="1154"/>
      <c r="P73" s="526"/>
      <c r="Q73" s="504"/>
    </row>
    <row r="74" spans="1:21" s="117" customFormat="1" ht="15.75" thickBot="1">
      <c r="A74" s="521"/>
      <c r="B74" s="510"/>
      <c r="C74" s="639">
        <v>100</v>
      </c>
      <c r="D74" s="512"/>
      <c r="E74" s="512"/>
      <c r="F74" s="512"/>
      <c r="G74" s="512"/>
      <c r="H74" s="512"/>
      <c r="I74" s="512"/>
      <c r="J74" s="512"/>
      <c r="K74" s="512"/>
      <c r="L74" s="512"/>
      <c r="M74" s="514"/>
      <c r="N74" s="1154"/>
      <c r="O74" s="1154"/>
      <c r="P74" s="504"/>
      <c r="Q74" s="504"/>
    </row>
    <row r="75" spans="1:21">
      <c r="A75" s="527" t="s">
        <v>2591</v>
      </c>
      <c r="B75" s="528" t="s">
        <v>2557</v>
      </c>
      <c r="C75" s="530"/>
      <c r="D75" s="530"/>
      <c r="E75" s="530"/>
      <c r="F75" s="530"/>
      <c r="G75" s="530"/>
      <c r="H75" s="530"/>
      <c r="I75" s="530"/>
      <c r="J75" s="530"/>
      <c r="K75" s="531"/>
      <c r="L75" s="532"/>
      <c r="M75" s="533"/>
      <c r="N75" s="1155"/>
      <c r="O75" s="1155"/>
      <c r="P75" s="45"/>
      <c r="Q75" s="504"/>
    </row>
    <row r="76" spans="1:21" ht="15.75" thickBot="1">
      <c r="A76" s="534"/>
      <c r="B76" s="535"/>
      <c r="C76" s="536"/>
      <c r="D76" s="536"/>
      <c r="E76" s="536"/>
      <c r="F76" s="536"/>
      <c r="G76" s="536"/>
      <c r="H76" s="536"/>
      <c r="I76" s="536"/>
      <c r="J76" s="536"/>
      <c r="K76" s="536"/>
      <c r="L76" s="536"/>
      <c r="M76" s="537"/>
      <c r="N76" s="1156"/>
      <c r="O76" s="1156"/>
      <c r="P76" s="45"/>
      <c r="Q76" s="504"/>
    </row>
    <row r="77" spans="1:21" ht="27.75" thickTop="1">
      <c r="A77" s="534"/>
      <c r="B77" s="538" t="s">
        <v>2560</v>
      </c>
      <c r="C77" s="539"/>
      <c r="D77" s="539"/>
      <c r="E77" s="539"/>
      <c r="F77" s="539"/>
      <c r="G77" s="539"/>
      <c r="H77" s="539"/>
      <c r="I77" s="539"/>
      <c r="J77" s="539"/>
      <c r="K77" s="540"/>
      <c r="L77" s="541"/>
      <c r="M77" s="542"/>
      <c r="N77" s="1155"/>
      <c r="O77" s="1155"/>
      <c r="P77" s="45"/>
      <c r="Q77" s="504"/>
    </row>
    <row r="78" spans="1:21" ht="15.75" thickBot="1">
      <c r="A78" s="534"/>
      <c r="B78" s="543"/>
      <c r="C78" s="544"/>
      <c r="D78" s="544"/>
      <c r="E78" s="544"/>
      <c r="F78" s="544"/>
      <c r="G78" s="544"/>
      <c r="H78" s="544"/>
      <c r="I78" s="544"/>
      <c r="J78" s="544"/>
      <c r="K78" s="544"/>
      <c r="L78" s="544"/>
      <c r="M78" s="545"/>
      <c r="N78" s="1156"/>
      <c r="O78" s="1156"/>
      <c r="P78" s="45"/>
      <c r="Q78" s="504"/>
    </row>
    <row r="79" spans="1:21"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1"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5" sqref="D25"/>
    </sheetView>
  </sheetViews>
  <sheetFormatPr defaultRowHeight="13.5"/>
  <cols>
    <col min="2" max="2" width="10.5" bestFit="1" customWidth="1"/>
  </cols>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94176</v>
      </c>
      <c r="C2" s="320" t="s">
        <v>2466</v>
      </c>
      <c r="D2" s="320"/>
      <c r="E2" s="320"/>
      <c r="F2" s="320"/>
      <c r="G2" s="320"/>
      <c r="H2" s="320"/>
      <c r="I2" s="320"/>
      <c r="J2" s="320"/>
      <c r="K2" s="320"/>
    </row>
    <row r="3" spans="1:33" ht="18" customHeight="1" thickBot="1">
      <c r="A3" s="247" t="s">
        <v>2335</v>
      </c>
      <c r="B3" s="248">
        <f ca="1">ROUND(B2*10000/IF(C1="",'数据-汇总表'!E3,INDIRECT("'数据-取费表'!K"&amp;$K$1)),0)</f>
        <v>10382</v>
      </c>
      <c r="C3" s="320" t="s">
        <v>2467</v>
      </c>
      <c r="D3" s="320"/>
      <c r="E3" s="320"/>
      <c r="F3" s="320"/>
      <c r="G3" s="320"/>
      <c r="H3" s="320"/>
      <c r="I3" s="320"/>
      <c r="J3" s="320"/>
      <c r="K3" s="320"/>
    </row>
    <row r="4" spans="1:33" s="959" customFormat="1" ht="16.5" customHeight="1">
      <c r="A4" s="956" t="s">
        <v>2468</v>
      </c>
      <c r="B4" s="957"/>
      <c r="C4" s="999">
        <f ca="1">SUM(C8:K8)</f>
        <v>171297</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23493</v>
      </c>
      <c r="D6" s="965">
        <f ca="1">'收益法-商业'!B3</f>
        <v>27247</v>
      </c>
      <c r="E6" s="965">
        <f ca="1">'收益法-地下车库'!B3</f>
        <v>2350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88705</v>
      </c>
      <c r="D8" s="1000">
        <f ca="1">'收益法-商业'!B2</f>
        <v>79487</v>
      </c>
      <c r="E8" s="1000">
        <f ca="1">'收益法-地下车库'!B2</f>
        <v>3105</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2741</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1297</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1297</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6858</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6858</v>
      </c>
      <c r="D30" s="328"/>
      <c r="E30" s="329"/>
      <c r="F30" s="334"/>
      <c r="G30" s="140"/>
      <c r="H30" s="982"/>
      <c r="I30" s="982"/>
      <c r="J30" s="982"/>
      <c r="K30" s="983"/>
    </row>
    <row r="31" spans="1:33" s="978" customFormat="1" ht="13.5" customHeight="1" thickBot="1">
      <c r="A31" s="2566" t="s">
        <v>2517</v>
      </c>
      <c r="B31" s="1008" t="s">
        <v>2518</v>
      </c>
      <c r="C31" s="1009">
        <f ca="1">ROUND(C4*F31/(1+'数据-取费表'!C42),0)</f>
        <v>8973</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94176</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70" zoomScaleNormal="7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42.98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88705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23493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5216</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5209</v>
      </c>
      <c r="D6" s="164" t="s">
        <v>3036</v>
      </c>
      <c r="E6" s="347" t="s">
        <v>1405</v>
      </c>
      <c r="F6" s="348">
        <f ca="1">INDIRECT("'数据-取费表'!u"&amp;$G$1)</f>
        <v>4.2</v>
      </c>
      <c r="G6" s="1854"/>
      <c r="H6" s="1294" t="s">
        <v>1035</v>
      </c>
      <c r="I6" s="3212" t="s">
        <v>1403</v>
      </c>
      <c r="J6" s="346">
        <f ca="1">ROUND(M6*M8*M7*(1-M9)/10000,0)</f>
        <v>0</v>
      </c>
      <c r="K6" s="164" t="s">
        <v>3035</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37757.67</v>
      </c>
      <c r="G7" s="1854"/>
      <c r="H7" s="349"/>
      <c r="I7" s="3213"/>
      <c r="J7" s="351"/>
      <c r="K7" s="352"/>
      <c r="L7" s="347" t="s">
        <v>1406</v>
      </c>
      <c r="M7" s="348">
        <f ca="1">F7</f>
        <v>37757.67</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1471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273.22000000000003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625.91999999999996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104.3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3745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88705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23493</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-134107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88705</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25009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10" t="s">
        <v>1548</v>
      </c>
      <c r="L53" s="3211"/>
      <c r="O53" s="1887" t="s">
        <v>1046</v>
      </c>
      <c r="P53" s="1888" t="s">
        <v>1549</v>
      </c>
      <c r="Q53" s="1889">
        <f ca="1">Q47+Q48</f>
        <v>88705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88705</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88705</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88705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25009</v>
      </c>
      <c r="R67" s="1889" t="s">
        <v>1582</v>
      </c>
    </row>
    <row r="68" spans="1:18" s="1845" customFormat="1" ht="16.5" thickBot="1">
      <c r="A68" s="1169" t="s">
        <v>1032</v>
      </c>
      <c r="B68" s="1170" t="s">
        <v>1485</v>
      </c>
      <c r="C68" s="346">
        <f ca="1">ROUND(C67*(1-((1+F70)/(1+F68))^F69)/(F68-F70),0)</f>
        <v>-45402</v>
      </c>
      <c r="D68" s="1187" t="s">
        <v>1469</v>
      </c>
      <c r="E68" s="1172" t="s">
        <v>1470</v>
      </c>
      <c r="F68" s="357">
        <f ca="1">F40</f>
        <v>5.5E-2</v>
      </c>
      <c r="O68" s="1897" t="s">
        <v>1043</v>
      </c>
      <c r="P68" s="1937" t="s">
        <v>1583</v>
      </c>
      <c r="Q68" s="1889">
        <f ca="1">ROUND(Q69-Q70*Q71,0)</f>
        <v>1411</v>
      </c>
      <c r="R68" s="1889" t="s">
        <v>1051</v>
      </c>
    </row>
    <row r="69" spans="1:18" s="1845" customFormat="1" ht="13.5" thickBot="1">
      <c r="A69" s="1173"/>
      <c r="B69" s="1174"/>
      <c r="C69" s="351"/>
      <c r="D69" s="1192" t="s">
        <v>1473</v>
      </c>
      <c r="E69" s="1172" t="s">
        <v>1474</v>
      </c>
      <c r="F69" s="379">
        <f ca="1">F41</f>
        <v>42.98</v>
      </c>
      <c r="O69" s="1897" t="s">
        <v>1048</v>
      </c>
      <c r="P69" s="1937" t="s">
        <v>1584</v>
      </c>
      <c r="Q69" s="1889">
        <f ca="1">C39</f>
        <v>3745</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-12025</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88705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v>
      </c>
    </row>
    <row r="80" spans="1:18">
      <c r="B80" s="386" t="s">
        <v>1511</v>
      </c>
      <c r="C80" s="318">
        <f ca="1">ROUND(C75/C39,3)</f>
        <v>0.623</v>
      </c>
    </row>
    <row r="81" spans="2:3">
      <c r="B81" s="314" t="s">
        <v>1512</v>
      </c>
      <c r="C81" s="282"/>
    </row>
    <row r="82" spans="2:3">
      <c r="B82" s="317" t="s">
        <v>1513</v>
      </c>
      <c r="C82" s="319">
        <f ca="1">1-C83</f>
        <v>0.69</v>
      </c>
    </row>
    <row r="83" spans="2:3">
      <c r="B83" s="317" t="s">
        <v>1514</v>
      </c>
      <c r="C83" s="318">
        <f ca="1">ROUND(C13/C40,3)</f>
        <v>0.31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29" sqref="C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32.979999999999997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79487</v>
      </c>
      <c r="C2" s="1848" t="s">
        <v>1516</v>
      </c>
      <c r="D2" s="1848"/>
      <c r="E2" s="1849"/>
      <c r="F2" s="1850"/>
      <c r="G2" s="1851"/>
      <c r="H2" s="1843"/>
      <c r="I2" s="1843"/>
      <c r="J2" s="1843"/>
      <c r="K2" s="1844"/>
      <c r="L2" s="1843"/>
      <c r="M2" s="1843"/>
    </row>
    <row r="3" spans="1:37" ht="18" customHeight="1" thickBot="1">
      <c r="A3" s="1852" t="s">
        <v>1517</v>
      </c>
      <c r="B3" s="1853">
        <f ca="1">IF(ISERROR(B2*10000/F43),0,ROUND(B2*10000/F43,0))</f>
        <v>27247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5565</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5558</v>
      </c>
      <c r="D6" s="164" t="s">
        <v>3036</v>
      </c>
      <c r="E6" s="347" t="s">
        <v>1405</v>
      </c>
      <c r="F6" s="348">
        <f ca="1">INDIRECT("'数据-取费表'!u"&amp;$G$1)</f>
        <v>5.8</v>
      </c>
      <c r="G6" s="1854"/>
      <c r="H6" s="1294" t="s">
        <v>1035</v>
      </c>
      <c r="I6" s="3212" t="s">
        <v>1403</v>
      </c>
      <c r="J6" s="346">
        <f ca="1">ROUND(M6*M8*M7*(1-M9)/10000,0)</f>
        <v>0</v>
      </c>
      <c r="K6" s="164" t="s">
        <v>3035</v>
      </c>
      <c r="L6" s="347" t="s">
        <v>1405</v>
      </c>
      <c r="M6" s="348">
        <f ca="1">INDIRECT("'数据-取费表'!z"&amp;$G$1)</f>
        <v>0</v>
      </c>
    </row>
    <row r="7" spans="1:37" ht="18" customHeight="1">
      <c r="A7" s="1298"/>
      <c r="B7" s="3213"/>
      <c r="C7" s="1300"/>
      <c r="D7" s="352"/>
      <c r="E7" s="2951" t="s">
        <v>1406</v>
      </c>
      <c r="F7" s="348">
        <f ca="1">IF(INDIRECT("'数据-取费表'!ah"&amp;$G$1)="",INDIRECT("'数据-取费表'!k"&amp;$G$1),INDIRECT("'数据-取费表'!ah"&amp;$G$1))</f>
        <v>29172.260000000002</v>
      </c>
      <c r="G7" s="1854"/>
      <c r="H7" s="349"/>
      <c r="I7" s="3213"/>
      <c r="J7" s="351"/>
      <c r="K7" s="352"/>
      <c r="L7" s="347" t="s">
        <v>1406</v>
      </c>
      <c r="M7" s="348">
        <f ca="1">F7</f>
        <v>29172.260000000002</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1410</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960</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291.5</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667.8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111.3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4155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79487</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32.979999999999997</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27247</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-108098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79487</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37758</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32.979999999999997</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32.979999999999997</v>
      </c>
      <c r="K53" s="3210" t="s">
        <v>1548</v>
      </c>
      <c r="L53" s="3211"/>
      <c r="O53" s="1887" t="s">
        <v>1046</v>
      </c>
      <c r="P53" s="1888" t="s">
        <v>1549</v>
      </c>
      <c r="Q53" s="1889">
        <f ca="1">Q47+Q48</f>
        <v>79487</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79487</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79487</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79487</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37758</v>
      </c>
      <c r="R67" s="1889" t="s">
        <v>1582</v>
      </c>
    </row>
    <row r="68" spans="1:18" s="1845" customFormat="1" ht="16.5" thickBot="1">
      <c r="A68" s="1169" t="s">
        <v>1032</v>
      </c>
      <c r="B68" s="1170" t="s">
        <v>1485</v>
      </c>
      <c r="C68" s="346">
        <f ca="1">ROUND(C67*(1-((1+F70)/(1+F68))^F69)/(F68-F70),0)</f>
        <v>-28611</v>
      </c>
      <c r="D68" s="1187" t="s">
        <v>1469</v>
      </c>
      <c r="E68" s="1172" t="s">
        <v>1470</v>
      </c>
      <c r="F68" s="357">
        <f ca="1">F40</f>
        <v>0.06</v>
      </c>
      <c r="O68" s="1897" t="s">
        <v>1043</v>
      </c>
      <c r="P68" s="1937" t="s">
        <v>1583</v>
      </c>
      <c r="Q68" s="1889">
        <f ca="1">ROUND(Q69-Q70*Q71,0)</f>
        <v>2464</v>
      </c>
      <c r="R68" s="1889" t="s">
        <v>1051</v>
      </c>
    </row>
    <row r="69" spans="1:18" s="1845" customFormat="1" ht="13.5" thickBot="1">
      <c r="A69" s="1173"/>
      <c r="B69" s="1174"/>
      <c r="C69" s="351"/>
      <c r="D69" s="1192" t="s">
        <v>1473</v>
      </c>
      <c r="E69" s="1172" t="s">
        <v>1474</v>
      </c>
      <c r="F69" s="379">
        <f ca="1">F41</f>
        <v>32.979999999999997</v>
      </c>
      <c r="O69" s="1897" t="s">
        <v>1048</v>
      </c>
      <c r="P69" s="1937" t="s">
        <v>1584</v>
      </c>
      <c r="Q69" s="1889">
        <f ca="1">C39</f>
        <v>4155</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-9808</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79487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0.59299999999999997</v>
      </c>
    </row>
    <row r="80" spans="1:18">
      <c r="B80" s="386" t="s">
        <v>1511</v>
      </c>
      <c r="C80" s="318">
        <f ca="1">ROUND(C75/C39,3)</f>
        <v>0.40699999999999997</v>
      </c>
    </row>
    <row r="81" spans="2:3">
      <c r="B81" s="314" t="s">
        <v>1512</v>
      </c>
      <c r="C81" s="282"/>
    </row>
    <row r="82" spans="2:3">
      <c r="B82" s="317" t="s">
        <v>1513</v>
      </c>
      <c r="C82" s="319">
        <f ca="1">1-C83</f>
        <v>0.75</v>
      </c>
    </row>
    <row r="83" spans="2:3">
      <c r="B83" s="317" t="s">
        <v>1514</v>
      </c>
      <c r="C83" s="318">
        <f ca="1">ROUND(C13/C40,3)</f>
        <v>0.25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70" zoomScaleNormal="70" zoomScaleSheetLayoutView="90" workbookViewId="0">
      <selection activeCell="G31" sqref="G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42.98</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344</v>
      </c>
      <c r="D6" s="164" t="s">
        <v>3036</v>
      </c>
      <c r="E6" s="347" t="s">
        <v>1405</v>
      </c>
      <c r="F6" s="348">
        <f ca="1">INDIRECT("'数据-取费表'!u"&amp;$G$1)</f>
        <v>800</v>
      </c>
      <c r="G6" s="1854"/>
      <c r="H6" s="1294" t="s">
        <v>1035</v>
      </c>
      <c r="I6" s="3212" t="s">
        <v>1403</v>
      </c>
      <c r="J6" s="346">
        <f ca="1">ROUND(M6*M8*M7*(1-M9)/10000,0)</f>
        <v>0</v>
      </c>
      <c r="K6" s="164" t="s">
        <v>3035</v>
      </c>
      <c r="L6" s="347" t="s">
        <v>1405</v>
      </c>
      <c r="M6" s="348">
        <f ca="1">INDIRECT("'数据-取费表'!z"&amp;$G$1)</f>
        <v>0</v>
      </c>
    </row>
    <row r="7" spans="1:37" ht="18" customHeight="1">
      <c r="A7" s="1298"/>
      <c r="B7" s="3213"/>
      <c r="C7" s="1300"/>
      <c r="D7" s="352"/>
      <c r="E7" s="2951" t="s">
        <v>1406</v>
      </c>
      <c r="F7" s="348">
        <f ca="1">IF(INDIRECT("'数据-取费表'!ah"&amp;$G$1)="",INDIRECT("'数据-取费表'!k"&amp;$G$1),INDIRECT("'数据-取费表'!ah"&amp;$G$1))</f>
        <v>377</v>
      </c>
      <c r="G7" s="1854"/>
      <c r="H7" s="349"/>
      <c r="I7" s="3213"/>
      <c r="J7" s="351"/>
      <c r="K7" s="352"/>
      <c r="L7" s="347" t="s">
        <v>1406</v>
      </c>
      <c r="M7" s="348">
        <f ca="1">F7</f>
        <v>377</v>
      </c>
    </row>
    <row r="8" spans="1:37" ht="18" customHeight="1">
      <c r="A8" s="349"/>
      <c r="B8" s="3213"/>
      <c r="C8" s="351"/>
      <c r="D8" s="352"/>
      <c r="E8" s="347" t="s">
        <v>1407</v>
      </c>
      <c r="F8" s="348">
        <f ca="1">INDIRECT("'数据-取费表'!ai"&amp;$G$1)</f>
        <v>12</v>
      </c>
      <c r="G8" s="1854"/>
      <c r="H8" s="349"/>
      <c r="I8" s="3213"/>
      <c r="J8" s="351"/>
      <c r="K8" s="352"/>
      <c r="L8" s="347" t="s">
        <v>1407</v>
      </c>
      <c r="M8" s="348">
        <f ca="1">INDIRECT("'数据-取费表'!ai"&amp;$G$1)</f>
        <v>12</v>
      </c>
    </row>
    <row r="9" spans="1:37" ht="18" customHeight="1">
      <c r="A9" s="349"/>
      <c r="B9" s="3214"/>
      <c r="C9" s="351"/>
      <c r="D9" s="352"/>
      <c r="E9" s="347" t="s">
        <v>1408</v>
      </c>
      <c r="F9" s="357">
        <f ca="1">INDIRECT("'数据-取费表'!w"&amp;$G$1)</f>
        <v>0.05</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2976" t="s">
        <v>3151</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3105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2350</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-14035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3105</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-6681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10" t="s">
        <v>1548</v>
      </c>
      <c r="L53" s="3211"/>
      <c r="O53" s="1887" t="s">
        <v>1046</v>
      </c>
      <c r="P53" s="1888" t="s">
        <v>1549</v>
      </c>
      <c r="Q53" s="1889">
        <f ca="1">Q47+Q48</f>
        <v>3105</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3105</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3105</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3105</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-6681</v>
      </c>
      <c r="R67" s="1889" t="s">
        <v>1582</v>
      </c>
    </row>
    <row r="68" spans="1:18" s="1845" customFormat="1" ht="16.5" thickBot="1">
      <c r="A68" s="1169" t="s">
        <v>1032</v>
      </c>
      <c r="B68" s="1170" t="s">
        <v>1485</v>
      </c>
      <c r="C68" s="346">
        <f ca="1">ROUND(C67*(1-((1+F70)/(1+F68))^F69)/(F68-F70),0)</f>
        <v>-10930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42.98</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-8271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3105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-0.996</v>
      </c>
    </row>
    <row r="83" spans="2:3">
      <c r="B83" s="317" t="s">
        <v>1514</v>
      </c>
      <c r="C83" s="318">
        <f ca="1">ROUND(C13/C40,3)</f>
        <v>1.996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2" t="s">
        <v>1403</v>
      </c>
      <c r="C6" s="1299">
        <f ca="1">ROUND(F6*F8*F7*(1-F9),0)</f>
        <v>0</v>
      </c>
      <c r="D6" s="164" t="s">
        <v>3033</v>
      </c>
      <c r="E6" s="347" t="s">
        <v>1405</v>
      </c>
      <c r="F6" s="348">
        <f ca="1">INDIRECT("'数据-取费表'!u"&amp;$G$1)</f>
        <v>0</v>
      </c>
      <c r="G6" s="1854"/>
      <c r="H6" s="1294" t="s">
        <v>1035</v>
      </c>
      <c r="I6" s="3212" t="s">
        <v>1403</v>
      </c>
      <c r="J6" s="346">
        <f ca="1">ROUND(M6*M8*M7*(1-M9),0)</f>
        <v>0</v>
      </c>
      <c r="K6" s="1837" t="s">
        <v>3034</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0</v>
      </c>
      <c r="G7" s="1854"/>
      <c r="H7" s="349"/>
      <c r="I7" s="3213"/>
      <c r="J7" s="351"/>
      <c r="K7" s="352"/>
      <c r="L7" s="347" t="s">
        <v>1406</v>
      </c>
      <c r="M7" s="348">
        <f ca="1">F7</f>
        <v>0</v>
      </c>
    </row>
    <row r="8" spans="1:37" ht="18" customHeight="1">
      <c r="A8" s="349"/>
      <c r="B8" s="3213"/>
      <c r="C8" s="351"/>
      <c r="D8" s="352"/>
      <c r="E8" s="347" t="s">
        <v>1407</v>
      </c>
      <c r="F8" s="348">
        <f ca="1">INDIRECT("'数据-取费表'!ai"&amp;$G$1)</f>
        <v>0</v>
      </c>
      <c r="G8" s="1854"/>
      <c r="H8" s="349"/>
      <c r="I8" s="3213"/>
      <c r="J8" s="351"/>
      <c r="K8" s="352"/>
      <c r="L8" s="347" t="s">
        <v>1407</v>
      </c>
      <c r="M8" s="348">
        <f ca="1">INDIRECT("'数据-取费表'!ai"&amp;$G$1)</f>
        <v>0</v>
      </c>
    </row>
    <row r="9" spans="1:37" ht="18" customHeight="1">
      <c r="A9" s="349"/>
      <c r="B9" s="3214"/>
      <c r="C9" s="351"/>
      <c r="D9" s="352"/>
      <c r="E9" s="347" t="s">
        <v>1408</v>
      </c>
      <c r="F9" s="357">
        <f ca="1">INDIRECT("'数据-取费表'!w"&amp;$G$1)</f>
        <v>0</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0" t="s">
        <v>1548</v>
      </c>
      <c r="L53" s="321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171297</v>
      </c>
      <c r="C2" s="2572" t="s">
        <v>2522</v>
      </c>
      <c r="D2" s="2573" t="s">
        <v>2523</v>
      </c>
      <c r="E2" s="2574">
        <f>SUM(E6:E13)</f>
        <v>90707.67</v>
      </c>
    </row>
    <row r="3" spans="1:6" ht="15.75">
      <c r="A3" s="2570" t="s">
        <v>1395</v>
      </c>
      <c r="B3" s="2571">
        <f ca="1">ROUND(B2*10000/E2,0)</f>
        <v>18885</v>
      </c>
      <c r="C3" s="2572" t="s">
        <v>2530</v>
      </c>
      <c r="D3" s="2575"/>
      <c r="E3" s="2576"/>
    </row>
    <row r="4" spans="1:6" ht="15.75">
      <c r="A4" s="2577"/>
      <c r="B4" s="2575"/>
      <c r="C4" s="2575"/>
      <c r="D4" s="2575"/>
      <c r="E4" s="2576"/>
    </row>
    <row r="5" spans="1:6" ht="15">
      <c r="A5" s="2578" t="s">
        <v>2524</v>
      </c>
      <c r="B5" s="3215" t="s">
        <v>2525</v>
      </c>
      <c r="C5" s="3215"/>
      <c r="D5" s="2579"/>
      <c r="E5" s="2580" t="s">
        <v>2526</v>
      </c>
      <c r="F5" s="2581" t="s">
        <v>2527</v>
      </c>
    </row>
    <row r="6" spans="1:6">
      <c r="A6" s="2582" t="str">
        <f>'数据-取费表'!AN6</f>
        <v>收益法-办公</v>
      </c>
      <c r="B6" s="2581">
        <f ca="1">IF(F6="是",'数据-取费表'!AO6,0)</f>
        <v>88705</v>
      </c>
      <c r="C6" s="2572" t="s">
        <v>2522</v>
      </c>
      <c r="D6" s="2575"/>
      <c r="E6" s="2583">
        <f>IF(OR(A6=0,F6="否"),0,'数据-取费表'!K6+'数据-取费表'!S6)</f>
        <v>42733.99</v>
      </c>
      <c r="F6" s="2584" t="s">
        <v>2528</v>
      </c>
    </row>
    <row r="7" spans="1:6">
      <c r="A7" s="2582" t="str">
        <f>'数据-取费表'!AN7</f>
        <v>收益法-商业</v>
      </c>
      <c r="B7" s="2581">
        <f ca="1">IF(F7="是",'数据-取费表'!AO7,0)</f>
        <v>79487</v>
      </c>
      <c r="C7" s="2572" t="s">
        <v>2522</v>
      </c>
      <c r="D7" s="2575"/>
      <c r="E7" s="2583">
        <f>IF(OR(A7=0,F7="否"),0,'数据-取费表'!K7+'数据-取费表'!S7)</f>
        <v>33017.060000000005</v>
      </c>
      <c r="F7" s="2584" t="s">
        <v>2528</v>
      </c>
    </row>
    <row r="8" spans="1:6">
      <c r="A8" s="2582" t="str">
        <f>'数据-取费表'!AN8</f>
        <v>收益法-地下车库</v>
      </c>
      <c r="B8" s="2581">
        <f ca="1">IF(F8="是",'数据-取费表'!AO8,0)</f>
        <v>3105</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c r="E3" s="1304"/>
      <c r="F3" s="1307"/>
      <c r="G3" s="1307"/>
      <c r="H3" s="1308"/>
      <c r="I3" s="1309">
        <f>ROUND(D3*E3*F3*G3*H3/10000,0)</f>
        <v>0</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0</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f>ROUND(D12*E12*F12*G12/10000,0)</f>
        <v>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f>ROUND(D17*E17*F17*G17/10000,0)</f>
        <v>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0</v>
      </c>
    </row>
    <row r="21" spans="1:9">
      <c r="A21" s="3222" t="s">
        <v>1109</v>
      </c>
      <c r="B21" s="3225"/>
      <c r="C21" s="3225"/>
      <c r="D21" s="3225"/>
      <c r="E21" s="3225"/>
      <c r="F21" s="3225"/>
      <c r="G21" s="3225"/>
      <c r="H21" s="1768">
        <v>0.1</v>
      </c>
      <c r="I21" s="1313">
        <f>ROUND(I10*H21,0)</f>
        <v>0</v>
      </c>
    </row>
    <row r="22" spans="1:9" ht="14.25">
      <c r="A22" s="3226" t="s">
        <v>1110</v>
      </c>
      <c r="B22" s="3227"/>
      <c r="C22" s="3228"/>
      <c r="D22" s="1320" t="s">
        <v>1111</v>
      </c>
      <c r="E22" s="1320" t="s">
        <v>1112</v>
      </c>
      <c r="F22" s="1321" t="s">
        <v>1113</v>
      </c>
      <c r="G22" s="1321" t="s">
        <v>1114</v>
      </c>
      <c r="H22" s="1314" t="s">
        <v>1115</v>
      </c>
      <c r="I22" s="1305" t="s">
        <v>1116</v>
      </c>
    </row>
    <row r="23" spans="1:9" ht="14.25" thickBot="1">
      <c r="A23" s="3229"/>
      <c r="B23" s="3230"/>
      <c r="C23" s="3231"/>
      <c r="D23" s="1322"/>
      <c r="E23" s="1322"/>
      <c r="F23" s="1322"/>
      <c r="G23" s="1323"/>
      <c r="H23" s="1324"/>
      <c r="I23" s="1325">
        <f>ROUND(E23*D23*F23*(1-G23)/10000,0)</f>
        <v>0</v>
      </c>
    </row>
    <row r="26" spans="1:9">
      <c r="A26" s="1326" t="s">
        <v>1117</v>
      </c>
      <c r="B26" s="1326"/>
      <c r="C26" s="1326"/>
      <c r="D26" s="1326"/>
      <c r="E26" s="3219">
        <f>C27-C30-C31-C32</f>
        <v>0</v>
      </c>
      <c r="F26" s="3219"/>
      <c r="G26" s="3219"/>
      <c r="H26" s="1740" t="s">
        <v>1340</v>
      </c>
    </row>
    <row r="27" spans="1:9">
      <c r="A27" s="1327">
        <v>1</v>
      </c>
      <c r="B27" s="1328" t="s">
        <v>1118</v>
      </c>
      <c r="C27" s="1328">
        <f>C28+C29</f>
        <v>0</v>
      </c>
      <c r="D27" s="1328"/>
      <c r="E27" s="3220"/>
      <c r="F27" s="3220"/>
      <c r="G27" s="3220"/>
    </row>
    <row r="28" spans="1:9">
      <c r="A28" s="1329" t="s">
        <v>1119</v>
      </c>
      <c r="B28" s="1328" t="s">
        <v>1120</v>
      </c>
      <c r="C28" s="1328"/>
      <c r="D28" s="1328"/>
      <c r="E28" s="3220"/>
      <c r="F28" s="3220"/>
      <c r="G28" s="322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1"/>
      <c r="F32" s="3221"/>
      <c r="G32" s="3221"/>
    </row>
    <row r="33" spans="1:7" hidden="1">
      <c r="A33" s="3216" t="s">
        <v>1129</v>
      </c>
      <c r="B33" s="3217"/>
      <c r="C33" s="3217"/>
      <c r="D33" s="3218"/>
      <c r="E33" s="3219"/>
      <c r="F33" s="3219"/>
      <c r="G33" s="3219"/>
    </row>
    <row r="34" spans="1:7" hidden="1">
      <c r="A34" s="1331">
        <v>1</v>
      </c>
      <c r="B34" s="1328" t="s">
        <v>1130</v>
      </c>
      <c r="C34" s="1328"/>
      <c r="D34" s="1328"/>
      <c r="E34" s="3220"/>
      <c r="F34" s="3220"/>
      <c r="G34" s="3220"/>
    </row>
    <row r="35" spans="1:7" hidden="1">
      <c r="A35" s="1331">
        <v>2</v>
      </c>
      <c r="B35" s="1328" t="s">
        <v>1131</v>
      </c>
      <c r="C35" s="1328"/>
      <c r="D35" s="1328"/>
      <c r="E35" s="3220"/>
      <c r="F35" s="3220"/>
      <c r="G35" s="3220"/>
    </row>
    <row r="36" spans="1:7" hidden="1">
      <c r="A36" s="1331">
        <v>3</v>
      </c>
      <c r="B36" s="1328" t="s">
        <v>1132</v>
      </c>
      <c r="C36" s="1328"/>
      <c r="D36" s="1328"/>
      <c r="E36" s="3220"/>
      <c r="F36" s="3220"/>
      <c r="G36" s="3220"/>
    </row>
    <row r="37" spans="1:7" hidden="1">
      <c r="A37" s="1331">
        <v>4</v>
      </c>
      <c r="B37" s="1328" t="s">
        <v>1133</v>
      </c>
      <c r="C37" s="1328"/>
      <c r="D37" s="1328"/>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2018年10月17日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1" t="s">
        <v>2539</v>
      </c>
      <c r="D4" s="3184"/>
      <c r="E4" s="3185" t="s">
        <v>2540</v>
      </c>
      <c r="F4" s="3186"/>
      <c r="G4" s="3171" t="s">
        <v>2541</v>
      </c>
      <c r="H4" s="3184"/>
      <c r="I4" s="3171" t="s">
        <v>2542</v>
      </c>
      <c r="J4" s="3184"/>
      <c r="K4" s="2602" t="s">
        <v>2543</v>
      </c>
      <c r="L4" s="1133"/>
      <c r="M4" s="1134"/>
      <c r="N4" s="1134"/>
      <c r="O4" s="1134"/>
      <c r="P4" s="3187" t="s">
        <v>2544</v>
      </c>
      <c r="Q4" s="3188"/>
      <c r="R4" s="3193" t="s">
        <v>2540</v>
      </c>
      <c r="S4" s="3194"/>
      <c r="T4" s="3193" t="s">
        <v>2541</v>
      </c>
      <c r="U4" s="3194"/>
      <c r="V4" s="3180" t="s">
        <v>2542</v>
      </c>
      <c r="W4" s="3180"/>
      <c r="X4" s="1816"/>
      <c r="Y4" s="3193" t="s">
        <v>2544</v>
      </c>
      <c r="Z4" s="3194"/>
      <c r="AA4" s="3181" t="s">
        <v>2540</v>
      </c>
      <c r="AB4" s="3181" t="s">
        <v>2541</v>
      </c>
      <c r="AC4" s="3181" t="s">
        <v>2542</v>
      </c>
    </row>
    <row r="5" spans="1:29" ht="15">
      <c r="A5" s="404"/>
      <c r="B5" s="405"/>
      <c r="C5" s="3201" t="s">
        <v>2545</v>
      </c>
      <c r="D5" s="3202"/>
      <c r="E5" s="3208" t="s">
        <v>2546</v>
      </c>
      <c r="F5" s="3209"/>
      <c r="G5" s="3201" t="s">
        <v>2547</v>
      </c>
      <c r="H5" s="3202"/>
      <c r="I5" s="3201" t="s">
        <v>2548</v>
      </c>
      <c r="J5" s="3202"/>
      <c r="K5" s="2603"/>
      <c r="L5" s="1133"/>
      <c r="M5" s="1134"/>
      <c r="N5" s="1134"/>
      <c r="O5" s="1134"/>
      <c r="P5" s="3189"/>
      <c r="Q5" s="3190"/>
      <c r="R5" s="3195"/>
      <c r="S5" s="3196"/>
      <c r="T5" s="3195"/>
      <c r="U5" s="3196"/>
      <c r="V5" s="3180"/>
      <c r="W5" s="3180"/>
      <c r="X5" s="1816"/>
      <c r="Y5" s="3195"/>
      <c r="Z5" s="3196"/>
      <c r="AA5" s="3182"/>
      <c r="AB5" s="3182"/>
      <c r="AC5" s="3182"/>
    </row>
    <row r="6" spans="1:29" ht="15.75" thickBot="1">
      <c r="A6" s="406"/>
      <c r="B6" s="407"/>
      <c r="C6" s="3199" t="s">
        <v>2549</v>
      </c>
      <c r="D6" s="3200"/>
      <c r="E6" s="3206" t="s">
        <v>2549</v>
      </c>
      <c r="F6" s="3207"/>
      <c r="G6" s="3199" t="s">
        <v>2549</v>
      </c>
      <c r="H6" s="3200"/>
      <c r="I6" s="3199" t="s">
        <v>2549</v>
      </c>
      <c r="J6" s="3200"/>
      <c r="K6" s="2603" t="s">
        <v>2550</v>
      </c>
      <c r="L6" s="1133"/>
      <c r="M6" s="1134"/>
      <c r="N6" s="1134"/>
      <c r="O6" s="1134"/>
      <c r="P6" s="3191"/>
      <c r="Q6" s="3192"/>
      <c r="R6" s="3195"/>
      <c r="S6" s="3196"/>
      <c r="T6" s="3197"/>
      <c r="U6" s="3198"/>
      <c r="V6" s="3180"/>
      <c r="W6" s="3180"/>
      <c r="X6" s="1816"/>
      <c r="Y6" s="3197"/>
      <c r="Z6" s="3198"/>
      <c r="AA6" s="3183"/>
      <c r="AB6" s="3183"/>
      <c r="AC6" s="3183"/>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03" t="s">
        <v>2552</v>
      </c>
      <c r="Q7" s="3205"/>
      <c r="R7" s="770" t="s">
        <v>23</v>
      </c>
      <c r="S7" s="771">
        <f t="shared" ref="S7:S15" si="0">F7</f>
        <v>0</v>
      </c>
      <c r="T7" s="770" t="s">
        <v>23</v>
      </c>
      <c r="U7" s="771">
        <f t="shared" ref="U7:U15" si="1">H7</f>
        <v>0</v>
      </c>
      <c r="V7" s="770" t="s">
        <v>23</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03" t="s">
        <v>2555</v>
      </c>
      <c r="Q8" s="3204"/>
      <c r="R8" s="770" t="s">
        <v>23</v>
      </c>
      <c r="S8" s="771">
        <f t="shared" si="0"/>
        <v>0</v>
      </c>
      <c r="T8" s="770" t="s">
        <v>23</v>
      </c>
      <c r="U8" s="771">
        <f t="shared" si="1"/>
        <v>0</v>
      </c>
      <c r="V8" s="770" t="s">
        <v>23</v>
      </c>
      <c r="W8" s="771">
        <f t="shared" si="2"/>
        <v>0</v>
      </c>
      <c r="X8" s="772"/>
      <c r="Y8" s="3203" t="s">
        <v>2555</v>
      </c>
      <c r="Z8" s="3204"/>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3" t="s">
        <v>2558</v>
      </c>
      <c r="Q9" s="1798" t="str">
        <f t="shared" ref="Q9:Q15" si="6">B9</f>
        <v>用途</v>
      </c>
      <c r="R9" s="770" t="s">
        <v>17</v>
      </c>
      <c r="S9" s="771">
        <f t="shared" si="0"/>
        <v>100</v>
      </c>
      <c r="T9" s="770" t="s">
        <v>17</v>
      </c>
      <c r="U9" s="771">
        <f t="shared" si="1"/>
        <v>100</v>
      </c>
      <c r="V9" s="770" t="s">
        <v>17</v>
      </c>
      <c r="W9" s="771">
        <f t="shared" si="2"/>
        <v>100</v>
      </c>
      <c r="X9" s="772"/>
      <c r="Y9" s="302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3"/>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3"/>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3"/>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3"/>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2563</v>
      </c>
      <c r="Q15" s="1813" t="str">
        <f t="shared" si="6"/>
        <v>居住社区成熟度</v>
      </c>
      <c r="R15" s="774" t="s">
        <v>21</v>
      </c>
      <c r="S15" s="775">
        <f t="shared" si="0"/>
        <v>100</v>
      </c>
      <c r="T15" s="774" t="s">
        <v>21</v>
      </c>
      <c r="U15" s="775">
        <f t="shared" si="1"/>
        <v>100</v>
      </c>
      <c r="V15" s="774" t="s">
        <v>21</v>
      </c>
      <c r="W15" s="775">
        <f t="shared" si="2"/>
        <v>100</v>
      </c>
      <c r="X15" s="1816"/>
      <c r="Y15" s="3176"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4"/>
      <c r="Q16" s="1813"/>
      <c r="R16" s="774"/>
      <c r="S16" s="775"/>
      <c r="T16" s="774"/>
      <c r="U16" s="775"/>
      <c r="V16" s="774"/>
      <c r="W16" s="775"/>
      <c r="X16" s="1816"/>
      <c r="Y16" s="3177"/>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3" t="str">
        <f>B17</f>
        <v>交通便捷度</v>
      </c>
      <c r="R17" s="774" t="s">
        <v>21</v>
      </c>
      <c r="S17" s="775">
        <f>F17</f>
        <v>100</v>
      </c>
      <c r="T17" s="774" t="s">
        <v>21</v>
      </c>
      <c r="U17" s="775">
        <f>H17</f>
        <v>100</v>
      </c>
      <c r="V17" s="774" t="s">
        <v>21</v>
      </c>
      <c r="W17" s="775">
        <f>J17</f>
        <v>100</v>
      </c>
      <c r="X17" s="1816"/>
      <c r="Y17" s="3177"/>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4"/>
      <c r="Q18" s="1813"/>
      <c r="R18" s="774"/>
      <c r="S18" s="775"/>
      <c r="T18" s="774"/>
      <c r="U18" s="775"/>
      <c r="V18" s="774"/>
      <c r="W18" s="775"/>
      <c r="X18" s="1816"/>
      <c r="Y18" s="3177"/>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3" t="str">
        <f>B19</f>
        <v>公共配套设施</v>
      </c>
      <c r="R19" s="774" t="s">
        <v>21</v>
      </c>
      <c r="S19" s="775">
        <f>F19</f>
        <v>100</v>
      </c>
      <c r="T19" s="774" t="s">
        <v>21</v>
      </c>
      <c r="U19" s="775">
        <f>H19</f>
        <v>100</v>
      </c>
      <c r="V19" s="774" t="s">
        <v>21</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4"/>
      <c r="Q20" s="1813"/>
      <c r="R20" s="774"/>
      <c r="S20" s="775"/>
      <c r="T20" s="774"/>
      <c r="U20" s="775"/>
      <c r="V20" s="774"/>
      <c r="W20" s="775"/>
      <c r="X20" s="1816"/>
      <c r="Y20" s="3177"/>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4"/>
      <c r="Q22" s="1813"/>
      <c r="R22" s="774"/>
      <c r="S22" s="775"/>
      <c r="T22" s="774"/>
      <c r="U22" s="775"/>
      <c r="V22" s="774"/>
      <c r="W22" s="775"/>
      <c r="X22" s="1816"/>
      <c r="Y22" s="3177"/>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3" t="str">
        <f>B23</f>
        <v>自然及人文环境</v>
      </c>
      <c r="R23" s="774" t="s">
        <v>21</v>
      </c>
      <c r="S23" s="775">
        <f>F23</f>
        <v>100</v>
      </c>
      <c r="T23" s="774" t="s">
        <v>21</v>
      </c>
      <c r="U23" s="775">
        <f>H23</f>
        <v>100</v>
      </c>
      <c r="V23" s="774" t="s">
        <v>21</v>
      </c>
      <c r="W23" s="775">
        <f>J23</f>
        <v>100</v>
      </c>
      <c r="X23" s="1816"/>
      <c r="Y23" s="3177"/>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4"/>
      <c r="Q24" s="1813"/>
      <c r="R24" s="774"/>
      <c r="S24" s="775"/>
      <c r="T24" s="774"/>
      <c r="U24" s="775"/>
      <c r="V24" s="774"/>
      <c r="W24" s="775"/>
      <c r="X24" s="1816"/>
      <c r="Y24" s="3177"/>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7"/>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4"/>
      <c r="Q26" s="1813" t="str">
        <f t="shared" si="11"/>
        <v>朝向</v>
      </c>
      <c r="R26" s="774" t="s">
        <v>21</v>
      </c>
      <c r="S26" s="775">
        <f t="shared" si="12"/>
        <v>100</v>
      </c>
      <c r="T26" s="774" t="s">
        <v>21</v>
      </c>
      <c r="U26" s="775">
        <f t="shared" si="13"/>
        <v>100</v>
      </c>
      <c r="V26" s="774" t="s">
        <v>21</v>
      </c>
      <c r="W26" s="775">
        <f t="shared" si="14"/>
        <v>100</v>
      </c>
      <c r="X26" s="1816"/>
      <c r="Y26" s="317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4"/>
      <c r="Q27" s="1798">
        <f t="shared" si="11"/>
        <v>111</v>
      </c>
      <c r="R27" s="770" t="s">
        <v>21</v>
      </c>
      <c r="S27" s="771">
        <f t="shared" si="12"/>
        <v>100</v>
      </c>
      <c r="T27" s="770" t="s">
        <v>21</v>
      </c>
      <c r="U27" s="771">
        <f t="shared" si="13"/>
        <v>100</v>
      </c>
      <c r="V27" s="770" t="s">
        <v>21</v>
      </c>
      <c r="W27" s="771">
        <f t="shared" si="14"/>
        <v>100</v>
      </c>
      <c r="X27" s="772"/>
      <c r="Y27" s="317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4"/>
      <c r="Q28" s="1813">
        <f t="shared" si="11"/>
        <v>111</v>
      </c>
      <c r="R28" s="774" t="s">
        <v>21</v>
      </c>
      <c r="S28" s="775">
        <f t="shared" si="12"/>
        <v>100</v>
      </c>
      <c r="T28" s="774" t="s">
        <v>21</v>
      </c>
      <c r="U28" s="775">
        <f t="shared" si="13"/>
        <v>100</v>
      </c>
      <c r="V28" s="774" t="s">
        <v>21</v>
      </c>
      <c r="W28" s="775">
        <f t="shared" si="14"/>
        <v>100</v>
      </c>
      <c r="X28" s="1816"/>
      <c r="Y28" s="317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4"/>
      <c r="Q29" s="1813">
        <f t="shared" si="11"/>
        <v>111</v>
      </c>
      <c r="R29" s="774" t="s">
        <v>21</v>
      </c>
      <c r="S29" s="775">
        <f t="shared" si="12"/>
        <v>100</v>
      </c>
      <c r="T29" s="774" t="s">
        <v>21</v>
      </c>
      <c r="U29" s="775">
        <f t="shared" si="13"/>
        <v>100</v>
      </c>
      <c r="V29" s="774" t="s">
        <v>21</v>
      </c>
      <c r="W29" s="775">
        <f t="shared" si="14"/>
        <v>100</v>
      </c>
      <c r="X29" s="1816"/>
      <c r="Y29" s="31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4"/>
      <c r="Q30" s="1813">
        <f t="shared" si="11"/>
        <v>111</v>
      </c>
      <c r="R30" s="774" t="s">
        <v>21</v>
      </c>
      <c r="S30" s="775">
        <f t="shared" si="12"/>
        <v>100</v>
      </c>
      <c r="T30" s="774" t="s">
        <v>21</v>
      </c>
      <c r="U30" s="775">
        <f t="shared" si="13"/>
        <v>100</v>
      </c>
      <c r="V30" s="774" t="s">
        <v>21</v>
      </c>
      <c r="W30" s="775">
        <f t="shared" si="14"/>
        <v>100</v>
      </c>
      <c r="X30" s="1816"/>
      <c r="Y30" s="317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4"/>
      <c r="Q31" s="1813">
        <f t="shared" si="11"/>
        <v>111</v>
      </c>
      <c r="R31" s="774" t="s">
        <v>21</v>
      </c>
      <c r="S31" s="775">
        <f t="shared" si="12"/>
        <v>100</v>
      </c>
      <c r="T31" s="774" t="s">
        <v>21</v>
      </c>
      <c r="U31" s="775">
        <f t="shared" si="13"/>
        <v>100</v>
      </c>
      <c r="V31" s="774" t="s">
        <v>21</v>
      </c>
      <c r="W31" s="775">
        <f t="shared" si="14"/>
        <v>100</v>
      </c>
      <c r="X31" s="1816"/>
      <c r="Y31" s="3177"/>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9" t="s">
        <v>2568</v>
      </c>
      <c r="Q32" s="1813" t="str">
        <f t="shared" si="11"/>
        <v>建筑类型</v>
      </c>
      <c r="R32" s="774" t="s">
        <v>21</v>
      </c>
      <c r="S32" s="775">
        <f t="shared" si="12"/>
        <v>100</v>
      </c>
      <c r="T32" s="774" t="s">
        <v>21</v>
      </c>
      <c r="U32" s="775">
        <f t="shared" si="13"/>
        <v>100</v>
      </c>
      <c r="V32" s="774" t="s">
        <v>21</v>
      </c>
      <c r="W32" s="775">
        <f t="shared" si="14"/>
        <v>100</v>
      </c>
      <c r="X32" s="1816"/>
      <c r="Y32" s="3179"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40"/>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40"/>
      <c r="Q34" s="1813" t="str">
        <f t="shared" si="11"/>
        <v>建筑结构</v>
      </c>
      <c r="R34" s="774" t="s">
        <v>21</v>
      </c>
      <c r="S34" s="775">
        <f t="shared" si="12"/>
        <v>100</v>
      </c>
      <c r="T34" s="774" t="s">
        <v>21</v>
      </c>
      <c r="U34" s="775">
        <f t="shared" si="13"/>
        <v>100</v>
      </c>
      <c r="V34" s="774" t="s">
        <v>21</v>
      </c>
      <c r="W34" s="775">
        <f t="shared" si="14"/>
        <v>100</v>
      </c>
      <c r="X34" s="1816"/>
      <c r="Y34" s="3179"/>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40"/>
      <c r="Q35" s="1813" t="str">
        <f t="shared" si="11"/>
        <v>建筑品质</v>
      </c>
      <c r="R35" s="774" t="s">
        <v>21</v>
      </c>
      <c r="S35" s="775">
        <f t="shared" si="12"/>
        <v>100</v>
      </c>
      <c r="T35" s="774" t="s">
        <v>21</v>
      </c>
      <c r="U35" s="775">
        <f t="shared" si="13"/>
        <v>100</v>
      </c>
      <c r="V35" s="774" t="s">
        <v>21</v>
      </c>
      <c r="W35" s="775">
        <f t="shared" si="14"/>
        <v>100</v>
      </c>
      <c r="X35" s="1816"/>
      <c r="Y35" s="3179"/>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40"/>
      <c r="Q36" s="1813" t="str">
        <f t="shared" si="11"/>
        <v>公共部分装修</v>
      </c>
      <c r="R36" s="774" t="s">
        <v>21</v>
      </c>
      <c r="S36" s="775">
        <f t="shared" si="12"/>
        <v>100</v>
      </c>
      <c r="T36" s="774" t="s">
        <v>21</v>
      </c>
      <c r="U36" s="775">
        <f t="shared" si="13"/>
        <v>100</v>
      </c>
      <c r="V36" s="774" t="s">
        <v>21</v>
      </c>
      <c r="W36" s="775">
        <f t="shared" si="14"/>
        <v>100</v>
      </c>
      <c r="X36" s="1816"/>
      <c r="Y36" s="3179"/>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0"/>
      <c r="Q37" s="1798"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40" t="s">
        <v>2568</v>
      </c>
      <c r="Q38" s="1813" t="str">
        <f t="shared" si="11"/>
        <v>物业管理</v>
      </c>
      <c r="R38" s="774" t="s">
        <v>21</v>
      </c>
      <c r="S38" s="775">
        <f t="shared" si="12"/>
        <v>100</v>
      </c>
      <c r="T38" s="774" t="s">
        <v>21</v>
      </c>
      <c r="U38" s="775">
        <f t="shared" si="13"/>
        <v>100</v>
      </c>
      <c r="V38" s="774" t="s">
        <v>21</v>
      </c>
      <c r="W38" s="775">
        <f t="shared" si="14"/>
        <v>100</v>
      </c>
      <c r="X38" s="1816"/>
      <c r="Y38" s="3179"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40"/>
      <c r="Q39" s="1813" t="str">
        <f t="shared" si="11"/>
        <v>市政基础设施</v>
      </c>
      <c r="R39" s="774" t="s">
        <v>21</v>
      </c>
      <c r="S39" s="775">
        <f t="shared" si="12"/>
        <v>100</v>
      </c>
      <c r="T39" s="774" t="s">
        <v>21</v>
      </c>
      <c r="U39" s="775">
        <f t="shared" si="13"/>
        <v>100</v>
      </c>
      <c r="V39" s="774" t="s">
        <v>21</v>
      </c>
      <c r="W39" s="775">
        <f t="shared" si="14"/>
        <v>100</v>
      </c>
      <c r="X39" s="1816"/>
      <c r="Y39" s="3179"/>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40"/>
      <c r="Q40" s="1813" t="str">
        <f t="shared" si="11"/>
        <v>房型</v>
      </c>
      <c r="R40" s="774" t="s">
        <v>21</v>
      </c>
      <c r="S40" s="775">
        <f t="shared" si="12"/>
        <v>100</v>
      </c>
      <c r="T40" s="774" t="s">
        <v>21</v>
      </c>
      <c r="U40" s="775">
        <f t="shared" si="13"/>
        <v>100</v>
      </c>
      <c r="V40" s="774" t="s">
        <v>21</v>
      </c>
      <c r="W40" s="775">
        <f t="shared" si="14"/>
        <v>100</v>
      </c>
      <c r="X40" s="1816"/>
      <c r="Y40" s="3179"/>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40"/>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40"/>
      <c r="Q42" s="1813" t="str">
        <f t="shared" si="11"/>
        <v>内部装修</v>
      </c>
      <c r="R42" s="774" t="s">
        <v>21</v>
      </c>
      <c r="S42" s="775">
        <f t="shared" si="12"/>
        <v>100</v>
      </c>
      <c r="T42" s="774" t="s">
        <v>21</v>
      </c>
      <c r="U42" s="775">
        <f t="shared" si="13"/>
        <v>100</v>
      </c>
      <c r="V42" s="774" t="s">
        <v>21</v>
      </c>
      <c r="W42" s="775">
        <f t="shared" si="14"/>
        <v>100</v>
      </c>
      <c r="X42" s="1816"/>
      <c r="Y42" s="3179"/>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40"/>
      <c r="Q43" s="1813" t="str">
        <f t="shared" si="11"/>
        <v>内部装修维护情况</v>
      </c>
      <c r="R43" s="774" t="s">
        <v>21</v>
      </c>
      <c r="S43" s="775">
        <f t="shared" si="12"/>
        <v>100</v>
      </c>
      <c r="T43" s="774" t="s">
        <v>21</v>
      </c>
      <c r="U43" s="775">
        <f t="shared" si="13"/>
        <v>100</v>
      </c>
      <c r="V43" s="774" t="s">
        <v>21</v>
      </c>
      <c r="W43" s="775">
        <f t="shared" si="14"/>
        <v>100</v>
      </c>
      <c r="X43" s="1816"/>
      <c r="Y43" s="317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40"/>
      <c r="Q44" s="1798">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40"/>
      <c r="Q45" s="1813">
        <f t="shared" si="11"/>
        <v>111</v>
      </c>
      <c r="R45" s="774" t="s">
        <v>21</v>
      </c>
      <c r="S45" s="775">
        <f t="shared" si="12"/>
        <v>100</v>
      </c>
      <c r="T45" s="774" t="s">
        <v>21</v>
      </c>
      <c r="U45" s="775">
        <f t="shared" si="13"/>
        <v>100</v>
      </c>
      <c r="V45" s="774" t="s">
        <v>21</v>
      </c>
      <c r="W45" s="775">
        <f t="shared" si="14"/>
        <v>100</v>
      </c>
      <c r="X45" s="1816"/>
      <c r="Y45" s="3179"/>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1"/>
      <c r="Q46" s="1813">
        <f t="shared" si="11"/>
        <v>111</v>
      </c>
      <c r="R46" s="774" t="s">
        <v>20</v>
      </c>
      <c r="S46" s="775">
        <f t="shared" si="12"/>
        <v>100</v>
      </c>
      <c r="T46" s="774" t="s">
        <v>20</v>
      </c>
      <c r="U46" s="775">
        <f t="shared" si="13"/>
        <v>100</v>
      </c>
      <c r="V46" s="774" t="s">
        <v>20</v>
      </c>
      <c r="W46" s="775">
        <f t="shared" si="14"/>
        <v>100</v>
      </c>
      <c r="X46" s="1816"/>
      <c r="Y46" s="3242"/>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74" t="str">
        <f>A47</f>
        <v>成交单价（元/平方米）</v>
      </c>
      <c r="Q47" s="3174"/>
      <c r="R47" s="3238">
        <f>E47</f>
        <v>0</v>
      </c>
      <c r="S47" s="3238"/>
      <c r="T47" s="3238">
        <f>G47</f>
        <v>0</v>
      </c>
      <c r="U47" s="3238"/>
      <c r="V47" s="3238">
        <f>I47</f>
        <v>0</v>
      </c>
      <c r="W47" s="3238"/>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74" t="str">
        <f>A48</f>
        <v>比较价值（元/平方米）</v>
      </c>
      <c r="Q48" s="317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68" t="str">
        <f>A49</f>
        <v>估价对象XX用房的比较价值（楼面单价，元/平方米）</v>
      </c>
      <c r="Q49" s="3169"/>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1" t="s">
        <v>2649</v>
      </c>
      <c r="D4" s="3184"/>
      <c r="E4" s="3185" t="s">
        <v>2650</v>
      </c>
      <c r="F4" s="3186"/>
      <c r="G4" s="3171" t="s">
        <v>2651</v>
      </c>
      <c r="H4" s="3184"/>
      <c r="I4" s="3171" t="s">
        <v>2652</v>
      </c>
      <c r="J4" s="3184"/>
      <c r="K4" s="610" t="s">
        <v>2653</v>
      </c>
      <c r="L4" s="1133"/>
      <c r="M4" s="1134"/>
      <c r="N4" s="1134"/>
      <c r="O4" s="1134"/>
      <c r="P4" s="3187" t="s">
        <v>2654</v>
      </c>
      <c r="Q4" s="3188"/>
      <c r="R4" s="3193" t="s">
        <v>2650</v>
      </c>
      <c r="S4" s="3194"/>
      <c r="T4" s="3193" t="s">
        <v>2651</v>
      </c>
      <c r="U4" s="3194"/>
      <c r="V4" s="3180" t="s">
        <v>2652</v>
      </c>
      <c r="W4" s="3180"/>
      <c r="X4" s="1816"/>
      <c r="Y4" s="3193" t="s">
        <v>2654</v>
      </c>
      <c r="Z4" s="3194"/>
      <c r="AA4" s="3181" t="s">
        <v>2650</v>
      </c>
      <c r="AB4" s="3180" t="s">
        <v>2651</v>
      </c>
      <c r="AC4" s="3181" t="s">
        <v>2652</v>
      </c>
    </row>
    <row r="5" spans="1:29" ht="15">
      <c r="A5" s="404"/>
      <c r="B5" s="405"/>
      <c r="C5" s="3201" t="s">
        <v>2545</v>
      </c>
      <c r="D5" s="3202"/>
      <c r="E5" s="3208" t="s">
        <v>2546</v>
      </c>
      <c r="F5" s="3209"/>
      <c r="G5" s="3201" t="s">
        <v>2547</v>
      </c>
      <c r="H5" s="3202"/>
      <c r="I5" s="3201" t="s">
        <v>2548</v>
      </c>
      <c r="J5" s="3202"/>
      <c r="K5" s="610"/>
      <c r="L5" s="1133"/>
      <c r="M5" s="1134"/>
      <c r="N5" s="1134"/>
      <c r="O5" s="1134"/>
      <c r="P5" s="3189"/>
      <c r="Q5" s="3190"/>
      <c r="R5" s="3195"/>
      <c r="S5" s="3196"/>
      <c r="T5" s="3195"/>
      <c r="U5" s="3196"/>
      <c r="V5" s="3180"/>
      <c r="W5" s="3180"/>
      <c r="X5" s="1816"/>
      <c r="Y5" s="3195"/>
      <c r="Z5" s="3196"/>
      <c r="AA5" s="3182"/>
      <c r="AB5" s="3180"/>
      <c r="AC5" s="3182"/>
    </row>
    <row r="6" spans="1:29" ht="15.75" thickBot="1">
      <c r="A6" s="406"/>
      <c r="B6" s="407"/>
      <c r="C6" s="3199" t="s">
        <v>2549</v>
      </c>
      <c r="D6" s="3200"/>
      <c r="E6" s="3206" t="s">
        <v>2549</v>
      </c>
      <c r="F6" s="3207"/>
      <c r="G6" s="3199" t="s">
        <v>2549</v>
      </c>
      <c r="H6" s="3200"/>
      <c r="I6" s="3199" t="s">
        <v>2549</v>
      </c>
      <c r="J6" s="3200"/>
      <c r="K6" s="610" t="s">
        <v>2550</v>
      </c>
      <c r="L6" s="1133"/>
      <c r="M6" s="1134"/>
      <c r="N6" s="1134"/>
      <c r="O6" s="1134"/>
      <c r="P6" s="3191"/>
      <c r="Q6" s="3192"/>
      <c r="R6" s="3195"/>
      <c r="S6" s="3196"/>
      <c r="T6" s="3197"/>
      <c r="U6" s="3198"/>
      <c r="V6" s="3180"/>
      <c r="W6" s="3180"/>
      <c r="X6" s="1816"/>
      <c r="Y6" s="3197"/>
      <c r="Z6" s="3198"/>
      <c r="AA6" s="3183"/>
      <c r="AB6" s="3180"/>
      <c r="AC6" s="3183"/>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3" t="s">
        <v>2552</v>
      </c>
      <c r="Q7" s="3205"/>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3" t="s">
        <v>2555</v>
      </c>
      <c r="Q8" s="3204"/>
      <c r="R8" s="770" t="s">
        <v>17</v>
      </c>
      <c r="S8" s="771">
        <f t="shared" si="0"/>
        <v>0</v>
      </c>
      <c r="T8" s="770" t="s">
        <v>17</v>
      </c>
      <c r="U8" s="771">
        <f t="shared" si="1"/>
        <v>0</v>
      </c>
      <c r="V8" s="770" t="s">
        <v>17</v>
      </c>
      <c r="W8" s="771">
        <f t="shared" si="2"/>
        <v>0</v>
      </c>
      <c r="X8" s="772"/>
      <c r="Y8" s="3203" t="s">
        <v>2555</v>
      </c>
      <c r="Z8" s="3204"/>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3" t="s">
        <v>2558</v>
      </c>
      <c r="Q9" s="1798" t="str">
        <f t="shared" ref="Q9:Q15" si="6">B9</f>
        <v>用途</v>
      </c>
      <c r="R9" s="770" t="s">
        <v>17</v>
      </c>
      <c r="S9" s="771">
        <f t="shared" si="0"/>
        <v>100</v>
      </c>
      <c r="T9" s="770" t="s">
        <v>17</v>
      </c>
      <c r="U9" s="771">
        <f t="shared" si="1"/>
        <v>100</v>
      </c>
      <c r="V9" s="770" t="s">
        <v>17</v>
      </c>
      <c r="W9" s="771">
        <f t="shared" si="2"/>
        <v>100</v>
      </c>
      <c r="X9" s="772"/>
      <c r="Y9" s="302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3"/>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3"/>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2563</v>
      </c>
      <c r="Q15" s="1813" t="str">
        <f t="shared" si="6"/>
        <v>商业繁华度</v>
      </c>
      <c r="R15" s="774" t="s">
        <v>17</v>
      </c>
      <c r="S15" s="775">
        <f t="shared" si="0"/>
        <v>100</v>
      </c>
      <c r="T15" s="774" t="s">
        <v>17</v>
      </c>
      <c r="U15" s="775">
        <f t="shared" si="1"/>
        <v>100</v>
      </c>
      <c r="V15" s="774" t="s">
        <v>17</v>
      </c>
      <c r="W15" s="775">
        <f t="shared" si="2"/>
        <v>100</v>
      </c>
      <c r="X15" s="1816"/>
      <c r="Y15" s="3176"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4"/>
      <c r="Q16" s="1813"/>
      <c r="R16" s="774"/>
      <c r="S16" s="775"/>
      <c r="T16" s="774"/>
      <c r="U16" s="775"/>
      <c r="V16" s="774"/>
      <c r="W16" s="775"/>
      <c r="X16" s="1816"/>
      <c r="Y16" s="3177"/>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4"/>
      <c r="Q18" s="1813"/>
      <c r="R18" s="774"/>
      <c r="S18" s="775"/>
      <c r="T18" s="774"/>
      <c r="U18" s="775"/>
      <c r="V18" s="774"/>
      <c r="W18" s="775"/>
      <c r="X18" s="1816"/>
      <c r="Y18" s="3177"/>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4"/>
      <c r="Q20" s="1813"/>
      <c r="R20" s="774"/>
      <c r="S20" s="775"/>
      <c r="T20" s="774"/>
      <c r="U20" s="775"/>
      <c r="V20" s="774"/>
      <c r="W20" s="775"/>
      <c r="X20" s="1816"/>
      <c r="Y20" s="3177"/>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4"/>
      <c r="Q22" s="1813"/>
      <c r="R22" s="774"/>
      <c r="S22" s="775"/>
      <c r="T22" s="774"/>
      <c r="U22" s="775"/>
      <c r="V22" s="774"/>
      <c r="W22" s="775"/>
      <c r="X22" s="1816"/>
      <c r="Y22" s="3177"/>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3" t="str">
        <f>B23</f>
        <v>自然及人文环境</v>
      </c>
      <c r="R23" s="774" t="s">
        <v>17</v>
      </c>
      <c r="S23" s="775">
        <f>F23</f>
        <v>100</v>
      </c>
      <c r="T23" s="774" t="s">
        <v>17</v>
      </c>
      <c r="U23" s="775">
        <f>H23</f>
        <v>100</v>
      </c>
      <c r="V23" s="774" t="s">
        <v>17</v>
      </c>
      <c r="W23" s="775">
        <f>J23</f>
        <v>100</v>
      </c>
      <c r="X23" s="1816"/>
      <c r="Y23" s="3177"/>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4"/>
      <c r="Q24" s="1813"/>
      <c r="R24" s="774"/>
      <c r="S24" s="775"/>
      <c r="T24" s="774"/>
      <c r="U24" s="775"/>
      <c r="V24" s="774"/>
      <c r="W24" s="775"/>
      <c r="X24" s="1816"/>
      <c r="Y24" s="3177"/>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3" t="str">
        <f t="shared" ref="Q25:Q46" si="11">B25</f>
        <v>临街状况</v>
      </c>
      <c r="R25" s="774" t="s">
        <v>17</v>
      </c>
      <c r="S25" s="775">
        <f>F25</f>
        <v>100</v>
      </c>
      <c r="T25" s="774" t="s">
        <v>17</v>
      </c>
      <c r="U25" s="775">
        <f>H25</f>
        <v>100</v>
      </c>
      <c r="V25" s="774" t="s">
        <v>17</v>
      </c>
      <c r="W25" s="775">
        <f>J25</f>
        <v>100</v>
      </c>
      <c r="X25" s="1816"/>
      <c r="Y25" s="3177"/>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3" t="str">
        <f t="shared" si="11"/>
        <v>平面位置/可视性</v>
      </c>
      <c r="R26" s="774" t="s">
        <v>17</v>
      </c>
      <c r="S26" s="775">
        <f>F26</f>
        <v>100</v>
      </c>
      <c r="T26" s="774" t="s">
        <v>17</v>
      </c>
      <c r="U26" s="775">
        <f>H26</f>
        <v>100</v>
      </c>
      <c r="V26" s="774" t="s">
        <v>17</v>
      </c>
      <c r="W26" s="775">
        <f>J26</f>
        <v>100</v>
      </c>
      <c r="X26" s="1816"/>
      <c r="Y26" s="3177"/>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4"/>
      <c r="Q27" s="1798" t="str">
        <f t="shared" si="11"/>
        <v>人流量</v>
      </c>
      <c r="R27" s="770" t="s">
        <v>17</v>
      </c>
      <c r="S27" s="771">
        <f>F27</f>
        <v>100</v>
      </c>
      <c r="T27" s="770" t="s">
        <v>17</v>
      </c>
      <c r="U27" s="771">
        <f>H27</f>
        <v>100</v>
      </c>
      <c r="V27" s="770" t="s">
        <v>17</v>
      </c>
      <c r="W27" s="771">
        <f>J27</f>
        <v>100</v>
      </c>
      <c r="X27" s="772"/>
      <c r="Y27" s="3177"/>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3">
        <f t="shared" si="11"/>
        <v>111</v>
      </c>
      <c r="R29" s="774" t="s">
        <v>17</v>
      </c>
      <c r="S29" s="775">
        <f t="shared" si="12"/>
        <v>100</v>
      </c>
      <c r="T29" s="774" t="s">
        <v>17</v>
      </c>
      <c r="U29" s="775">
        <f t="shared" si="13"/>
        <v>100</v>
      </c>
      <c r="V29" s="774" t="s">
        <v>17</v>
      </c>
      <c r="W29" s="775">
        <f t="shared" si="14"/>
        <v>100</v>
      </c>
      <c r="X29" s="1816"/>
      <c r="Y29" s="31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9" t="s">
        <v>2568</v>
      </c>
      <c r="Q32" s="1813" t="str">
        <f t="shared" si="11"/>
        <v>商业类型</v>
      </c>
      <c r="R32" s="774" t="s">
        <v>17</v>
      </c>
      <c r="S32" s="775">
        <f t="shared" si="12"/>
        <v>100</v>
      </c>
      <c r="T32" s="774" t="s">
        <v>17</v>
      </c>
      <c r="U32" s="775">
        <f t="shared" si="13"/>
        <v>100</v>
      </c>
      <c r="V32" s="774" t="s">
        <v>17</v>
      </c>
      <c r="W32" s="775">
        <f t="shared" si="14"/>
        <v>100</v>
      </c>
      <c r="X32" s="1816"/>
      <c r="Y32" s="3179"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0"/>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40"/>
      <c r="Q34" s="1813" t="str">
        <f t="shared" si="11"/>
        <v>建筑结构</v>
      </c>
      <c r="R34" s="774" t="s">
        <v>17</v>
      </c>
      <c r="S34" s="775">
        <f t="shared" si="12"/>
        <v>100</v>
      </c>
      <c r="T34" s="774" t="s">
        <v>17</v>
      </c>
      <c r="U34" s="775">
        <f t="shared" si="13"/>
        <v>100</v>
      </c>
      <c r="V34" s="774" t="s">
        <v>17</v>
      </c>
      <c r="W34" s="775">
        <f t="shared" si="14"/>
        <v>100</v>
      </c>
      <c r="X34" s="1816"/>
      <c r="Y34" s="3179"/>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40"/>
      <c r="Q35" s="1813" t="str">
        <f t="shared" si="11"/>
        <v>公共部分装修</v>
      </c>
      <c r="R35" s="774" t="s">
        <v>17</v>
      </c>
      <c r="S35" s="775">
        <f t="shared" si="12"/>
        <v>100</v>
      </c>
      <c r="T35" s="774" t="s">
        <v>17</v>
      </c>
      <c r="U35" s="775">
        <f t="shared" si="13"/>
        <v>100</v>
      </c>
      <c r="V35" s="774" t="s">
        <v>17</v>
      </c>
      <c r="W35" s="775">
        <f t="shared" si="14"/>
        <v>100</v>
      </c>
      <c r="X35" s="1816"/>
      <c r="Y35" s="3179"/>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0"/>
      <c r="Q36" s="1813" t="str">
        <f t="shared" si="11"/>
        <v>成新度</v>
      </c>
      <c r="R36" s="774" t="s">
        <v>17</v>
      </c>
      <c r="S36" s="775" t="e">
        <f t="shared" si="12"/>
        <v>#N/A</v>
      </c>
      <c r="T36" s="774" t="s">
        <v>17</v>
      </c>
      <c r="U36" s="775" t="e">
        <f t="shared" si="13"/>
        <v>#N/A</v>
      </c>
      <c r="V36" s="774" t="s">
        <v>17</v>
      </c>
      <c r="W36" s="775" t="e">
        <f t="shared" si="14"/>
        <v>#N/A</v>
      </c>
      <c r="X36" s="1816"/>
      <c r="Y36" s="3179"/>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40"/>
      <c r="Q37" s="1798"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40" t="s">
        <v>2568</v>
      </c>
      <c r="Q38" s="1813" t="str">
        <f t="shared" si="11"/>
        <v>业态</v>
      </c>
      <c r="R38" s="774" t="s">
        <v>17</v>
      </c>
      <c r="S38" s="775">
        <f t="shared" si="12"/>
        <v>100</v>
      </c>
      <c r="T38" s="774" t="s">
        <v>17</v>
      </c>
      <c r="U38" s="775">
        <f t="shared" si="13"/>
        <v>100</v>
      </c>
      <c r="V38" s="774" t="s">
        <v>17</v>
      </c>
      <c r="W38" s="775">
        <f t="shared" si="14"/>
        <v>100</v>
      </c>
      <c r="X38" s="1816"/>
      <c r="Y38" s="3179"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40"/>
      <c r="Q39" s="1813" t="str">
        <f t="shared" si="11"/>
        <v>层高</v>
      </c>
      <c r="R39" s="774" t="s">
        <v>17</v>
      </c>
      <c r="S39" s="775">
        <f t="shared" si="12"/>
        <v>100</v>
      </c>
      <c r="T39" s="774" t="s">
        <v>17</v>
      </c>
      <c r="U39" s="775">
        <f t="shared" si="13"/>
        <v>100</v>
      </c>
      <c r="V39" s="774" t="s">
        <v>17</v>
      </c>
      <c r="W39" s="775">
        <f t="shared" si="14"/>
        <v>100</v>
      </c>
      <c r="X39" s="1816"/>
      <c r="Y39" s="3179"/>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0"/>
      <c r="Q40" s="1813" t="str">
        <f t="shared" si="11"/>
        <v>单套建筑面积</v>
      </c>
      <c r="R40" s="774" t="s">
        <v>17</v>
      </c>
      <c r="S40" s="775">
        <f t="shared" si="12"/>
        <v>100</v>
      </c>
      <c r="T40" s="774" t="s">
        <v>17</v>
      </c>
      <c r="U40" s="775">
        <f t="shared" si="13"/>
        <v>100</v>
      </c>
      <c r="V40" s="774" t="s">
        <v>17</v>
      </c>
      <c r="W40" s="775">
        <f t="shared" si="14"/>
        <v>100</v>
      </c>
      <c r="X40" s="1816"/>
      <c r="Y40" s="3179"/>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0"/>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40"/>
      <c r="Q42" s="1813" t="str">
        <f t="shared" si="11"/>
        <v>内部装修</v>
      </c>
      <c r="R42" s="774" t="s">
        <v>17</v>
      </c>
      <c r="S42" s="775">
        <f t="shared" si="12"/>
        <v>100</v>
      </c>
      <c r="T42" s="774" t="s">
        <v>17</v>
      </c>
      <c r="U42" s="775">
        <f t="shared" si="13"/>
        <v>100</v>
      </c>
      <c r="V42" s="774" t="s">
        <v>17</v>
      </c>
      <c r="W42" s="775">
        <f t="shared" si="14"/>
        <v>100</v>
      </c>
      <c r="X42" s="1816"/>
      <c r="Y42" s="3179"/>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40"/>
      <c r="Q43" s="1813" t="str">
        <f t="shared" si="11"/>
        <v>内部装修维护情况</v>
      </c>
      <c r="R43" s="774" t="s">
        <v>17</v>
      </c>
      <c r="S43" s="775">
        <f t="shared" si="12"/>
        <v>100</v>
      </c>
      <c r="T43" s="774" t="s">
        <v>17</v>
      </c>
      <c r="U43" s="775">
        <f t="shared" si="13"/>
        <v>100</v>
      </c>
      <c r="V43" s="774" t="s">
        <v>17</v>
      </c>
      <c r="W43" s="775">
        <f t="shared" si="14"/>
        <v>100</v>
      </c>
      <c r="X43" s="1816"/>
      <c r="Y43" s="317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0"/>
      <c r="Q44" s="1798">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0"/>
      <c r="Q45" s="1813">
        <f t="shared" si="11"/>
        <v>111</v>
      </c>
      <c r="R45" s="774" t="s">
        <v>17</v>
      </c>
      <c r="S45" s="775">
        <f t="shared" si="12"/>
        <v>100</v>
      </c>
      <c r="T45" s="774" t="s">
        <v>17</v>
      </c>
      <c r="U45" s="775">
        <f t="shared" si="13"/>
        <v>100</v>
      </c>
      <c r="V45" s="774" t="s">
        <v>17</v>
      </c>
      <c r="W45" s="775">
        <f t="shared" si="14"/>
        <v>100</v>
      </c>
      <c r="X45" s="1816"/>
      <c r="Y45" s="3179"/>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1"/>
      <c r="Q46" s="1813">
        <f t="shared" si="11"/>
        <v>111</v>
      </c>
      <c r="R46" s="774" t="s">
        <v>17</v>
      </c>
      <c r="S46" s="775">
        <f t="shared" si="12"/>
        <v>100</v>
      </c>
      <c r="T46" s="774" t="s">
        <v>17</v>
      </c>
      <c r="U46" s="775">
        <f t="shared" si="13"/>
        <v>100</v>
      </c>
      <c r="V46" s="774" t="s">
        <v>17</v>
      </c>
      <c r="W46" s="775">
        <f t="shared" si="14"/>
        <v>100</v>
      </c>
      <c r="X46" s="1816"/>
      <c r="Y46" s="3242"/>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74" t="str">
        <f>A47</f>
        <v>成交单价（元/平方米）</v>
      </c>
      <c r="Q47" s="3174"/>
      <c r="R47" s="3180">
        <f>E47</f>
        <v>0</v>
      </c>
      <c r="S47" s="3180"/>
      <c r="T47" s="3180">
        <f>G47</f>
        <v>0</v>
      </c>
      <c r="U47" s="3180"/>
      <c r="V47" s="3180">
        <f>I47</f>
        <v>0</v>
      </c>
      <c r="W47" s="3180"/>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74" t="str">
        <f>A48</f>
        <v>比较价值（元/平方米）</v>
      </c>
      <c r="Q48" s="317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1" t="s">
        <v>2649</v>
      </c>
      <c r="D4" s="3184"/>
      <c r="E4" s="3185" t="s">
        <v>2650</v>
      </c>
      <c r="F4" s="3186"/>
      <c r="G4" s="3171" t="s">
        <v>2651</v>
      </c>
      <c r="H4" s="3184"/>
      <c r="I4" s="3171" t="s">
        <v>2652</v>
      </c>
      <c r="J4" s="3184"/>
      <c r="K4" s="610" t="s">
        <v>2653</v>
      </c>
      <c r="L4" s="1133"/>
      <c r="M4" s="1134"/>
      <c r="N4" s="1134"/>
      <c r="O4" s="1134"/>
      <c r="P4" s="3251" t="s">
        <v>2654</v>
      </c>
      <c r="Q4" s="3252"/>
      <c r="R4" s="3255" t="s">
        <v>2650</v>
      </c>
      <c r="S4" s="3256"/>
      <c r="T4" s="3255" t="s">
        <v>2651</v>
      </c>
      <c r="U4" s="3256"/>
      <c r="V4" s="3257" t="s">
        <v>2652</v>
      </c>
      <c r="W4" s="3257"/>
      <c r="X4" s="2676"/>
      <c r="Y4" s="3255" t="s">
        <v>2654</v>
      </c>
      <c r="Z4" s="3256"/>
      <c r="AA4" s="3259" t="s">
        <v>2650</v>
      </c>
      <c r="AB4" s="3259" t="s">
        <v>2651</v>
      </c>
      <c r="AC4" s="3248" t="s">
        <v>2652</v>
      </c>
    </row>
    <row r="5" spans="1:29" ht="15">
      <c r="A5" s="404"/>
      <c r="B5" s="405"/>
      <c r="C5" s="3201" t="s">
        <v>2545</v>
      </c>
      <c r="D5" s="3202"/>
      <c r="E5" s="3208" t="s">
        <v>2546</v>
      </c>
      <c r="F5" s="3209"/>
      <c r="G5" s="3201" t="s">
        <v>2547</v>
      </c>
      <c r="H5" s="3202"/>
      <c r="I5" s="3201" t="s">
        <v>2548</v>
      </c>
      <c r="J5" s="3202"/>
      <c r="K5" s="610"/>
      <c r="L5" s="1133"/>
      <c r="M5" s="1134"/>
      <c r="N5" s="1134"/>
      <c r="O5" s="1134"/>
      <c r="P5" s="3253"/>
      <c r="Q5" s="3190"/>
      <c r="R5" s="3195"/>
      <c r="S5" s="3196"/>
      <c r="T5" s="3195"/>
      <c r="U5" s="3196"/>
      <c r="V5" s="3180"/>
      <c r="W5" s="3180"/>
      <c r="X5" s="1816"/>
      <c r="Y5" s="3195"/>
      <c r="Z5" s="3196"/>
      <c r="AA5" s="3182"/>
      <c r="AB5" s="3182"/>
      <c r="AC5" s="3249"/>
    </row>
    <row r="6" spans="1:29" ht="15.75" thickBot="1">
      <c r="A6" s="406"/>
      <c r="B6" s="407"/>
      <c r="C6" s="3199" t="s">
        <v>2549</v>
      </c>
      <c r="D6" s="3200"/>
      <c r="E6" s="3206" t="s">
        <v>2549</v>
      </c>
      <c r="F6" s="3207"/>
      <c r="G6" s="3199" t="s">
        <v>2549</v>
      </c>
      <c r="H6" s="3200"/>
      <c r="I6" s="3199" t="s">
        <v>2549</v>
      </c>
      <c r="J6" s="3200"/>
      <c r="K6" s="610" t="s">
        <v>2550</v>
      </c>
      <c r="L6" s="1133"/>
      <c r="M6" s="1134"/>
      <c r="N6" s="1134"/>
      <c r="O6" s="1134"/>
      <c r="P6" s="3254"/>
      <c r="Q6" s="3192"/>
      <c r="R6" s="3195"/>
      <c r="S6" s="3196"/>
      <c r="T6" s="3197"/>
      <c r="U6" s="3198"/>
      <c r="V6" s="3180"/>
      <c r="W6" s="3180"/>
      <c r="X6" s="1816"/>
      <c r="Y6" s="3197"/>
      <c r="Z6" s="3198"/>
      <c r="AA6" s="3183"/>
      <c r="AB6" s="3183"/>
      <c r="AC6" s="3250"/>
    </row>
    <row r="7" spans="1:29" s="117" customFormat="1" ht="15.75" thickBot="1">
      <c r="A7" s="408" t="s">
        <v>2551</v>
      </c>
      <c r="B7" s="409"/>
      <c r="C7" s="410">
        <f>'数据-取费表'!B2</f>
        <v>43390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8" t="s">
        <v>2552</v>
      </c>
      <c r="Q7" s="3205"/>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8" t="s">
        <v>2555</v>
      </c>
      <c r="Q8" s="3204"/>
      <c r="R8" s="770" t="s">
        <v>17</v>
      </c>
      <c r="S8" s="771">
        <f t="shared" si="0"/>
        <v>0</v>
      </c>
      <c r="T8" s="770" t="s">
        <v>17</v>
      </c>
      <c r="U8" s="771">
        <f t="shared" si="1"/>
        <v>0</v>
      </c>
      <c r="V8" s="770" t="s">
        <v>17</v>
      </c>
      <c r="W8" s="771">
        <f t="shared" si="2"/>
        <v>0</v>
      </c>
      <c r="X8" s="772"/>
      <c r="Y8" s="3203" t="s">
        <v>2555</v>
      </c>
      <c r="Z8" s="3204"/>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3" t="s">
        <v>2558</v>
      </c>
      <c r="Q9" s="1798" t="str">
        <f t="shared" ref="Q9:Q15" si="6">B9</f>
        <v>用途</v>
      </c>
      <c r="R9" s="770" t="s">
        <v>17</v>
      </c>
      <c r="S9" s="771">
        <f t="shared" si="0"/>
        <v>100</v>
      </c>
      <c r="T9" s="770" t="s">
        <v>17</v>
      </c>
      <c r="U9" s="771">
        <f t="shared" si="1"/>
        <v>100</v>
      </c>
      <c r="V9" s="770" t="s">
        <v>17</v>
      </c>
      <c r="W9" s="771">
        <f t="shared" si="2"/>
        <v>100</v>
      </c>
      <c r="X9" s="772"/>
      <c r="Y9" s="3022"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3"/>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3"/>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2563</v>
      </c>
      <c r="Q15" s="1813" t="str">
        <f t="shared" si="6"/>
        <v>办公集聚程度</v>
      </c>
      <c r="R15" s="774" t="s">
        <v>17</v>
      </c>
      <c r="S15" s="775">
        <f t="shared" si="0"/>
        <v>100</v>
      </c>
      <c r="T15" s="774" t="s">
        <v>17</v>
      </c>
      <c r="U15" s="775">
        <f t="shared" si="1"/>
        <v>100</v>
      </c>
      <c r="V15" s="774" t="s">
        <v>17</v>
      </c>
      <c r="W15" s="775">
        <f t="shared" si="2"/>
        <v>100</v>
      </c>
      <c r="X15" s="1816"/>
      <c r="Y15" s="3176"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4"/>
      <c r="Q16" s="1813"/>
      <c r="R16" s="774"/>
      <c r="S16" s="775"/>
      <c r="T16" s="774"/>
      <c r="U16" s="775"/>
      <c r="V16" s="774"/>
      <c r="W16" s="775"/>
      <c r="X16" s="1816"/>
      <c r="Y16" s="3177"/>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4"/>
      <c r="Q18" s="1813"/>
      <c r="R18" s="774"/>
      <c r="S18" s="775"/>
      <c r="T18" s="774"/>
      <c r="U18" s="775"/>
      <c r="V18" s="774"/>
      <c r="W18" s="775"/>
      <c r="X18" s="1816"/>
      <c r="Y18" s="3177"/>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4"/>
      <c r="Q20" s="1813"/>
      <c r="R20" s="774"/>
      <c r="S20" s="775"/>
      <c r="T20" s="774"/>
      <c r="U20" s="775"/>
      <c r="V20" s="774"/>
      <c r="W20" s="775"/>
      <c r="X20" s="1816"/>
      <c r="Y20" s="3177"/>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4"/>
      <c r="Q22" s="1813"/>
      <c r="R22" s="774"/>
      <c r="S22" s="775"/>
      <c r="T22" s="774"/>
      <c r="U22" s="775"/>
      <c r="V22" s="774"/>
      <c r="W22" s="775"/>
      <c r="X22" s="1816"/>
      <c r="Y22" s="3177"/>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4"/>
      <c r="Q24" s="1813"/>
      <c r="R24" s="774"/>
      <c r="S24" s="775"/>
      <c r="T24" s="774"/>
      <c r="U24" s="775"/>
      <c r="V24" s="774"/>
      <c r="W24" s="775"/>
      <c r="X24" s="1816"/>
      <c r="Y24" s="3177"/>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4"/>
      <c r="Q25" s="1813" t="str">
        <f>B25</f>
        <v>毗邻道路的类型与等级</v>
      </c>
      <c r="R25" s="774" t="s">
        <v>17</v>
      </c>
      <c r="S25" s="775">
        <f>F25</f>
        <v>100</v>
      </c>
      <c r="T25" s="774" t="s">
        <v>17</v>
      </c>
      <c r="U25" s="775">
        <f>H25</f>
        <v>100</v>
      </c>
      <c r="V25" s="774" t="s">
        <v>17</v>
      </c>
      <c r="W25" s="775">
        <f>J25</f>
        <v>100</v>
      </c>
      <c r="X25" s="1816"/>
      <c r="Y25" s="3177"/>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4"/>
      <c r="Q26" s="1813"/>
      <c r="R26" s="774"/>
      <c r="S26" s="775"/>
      <c r="T26" s="774"/>
      <c r="U26" s="775"/>
      <c r="V26" s="774"/>
      <c r="W26" s="775"/>
      <c r="X26" s="1816"/>
      <c r="Y26" s="3177"/>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3" t="str">
        <f t="shared" ref="Q27:Q47" si="11">B27</f>
        <v>楼层</v>
      </c>
      <c r="R27" s="774" t="s">
        <v>17</v>
      </c>
      <c r="S27" s="775">
        <f>F27</f>
        <v>100</v>
      </c>
      <c r="T27" s="774" t="s">
        <v>17</v>
      </c>
      <c r="U27" s="775">
        <f>H27</f>
        <v>100</v>
      </c>
      <c r="V27" s="774" t="s">
        <v>17</v>
      </c>
      <c r="W27" s="775">
        <f>J27</f>
        <v>100</v>
      </c>
      <c r="X27" s="1816"/>
      <c r="Y27" s="3177"/>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4"/>
      <c r="Q28" s="1798" t="str">
        <f t="shared" si="11"/>
        <v>朝向</v>
      </c>
      <c r="R28" s="770" t="s">
        <v>17</v>
      </c>
      <c r="S28" s="771">
        <f>F28</f>
        <v>100</v>
      </c>
      <c r="T28" s="770" t="s">
        <v>17</v>
      </c>
      <c r="U28" s="771">
        <f>H28</f>
        <v>100</v>
      </c>
      <c r="V28" s="770" t="s">
        <v>17</v>
      </c>
      <c r="W28" s="771">
        <f>J28</f>
        <v>100</v>
      </c>
      <c r="X28" s="772"/>
      <c r="Y28" s="3177"/>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4"/>
      <c r="Q29" s="1813">
        <f t="shared" si="11"/>
        <v>111</v>
      </c>
      <c r="R29" s="774" t="s">
        <v>17</v>
      </c>
      <c r="S29" s="775">
        <f t="shared" ref="S29:S47" si="12">F29</f>
        <v>100</v>
      </c>
      <c r="T29" s="774" t="s">
        <v>17</v>
      </c>
      <c r="U29" s="775">
        <f t="shared" ref="U29:U47" si="13">H29</f>
        <v>100</v>
      </c>
      <c r="V29" s="774" t="s">
        <v>17</v>
      </c>
      <c r="W29" s="775">
        <f t="shared" ref="W29:W47" si="14">J29</f>
        <v>100</v>
      </c>
      <c r="X29" s="1816"/>
      <c r="Y29" s="3177"/>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4"/>
      <c r="Q32" s="1813">
        <f t="shared" si="11"/>
        <v>111</v>
      </c>
      <c r="R32" s="774" t="s">
        <v>17</v>
      </c>
      <c r="S32" s="775">
        <f t="shared" si="12"/>
        <v>100</v>
      </c>
      <c r="T32" s="774" t="s">
        <v>17</v>
      </c>
      <c r="U32" s="775">
        <f t="shared" si="13"/>
        <v>100</v>
      </c>
      <c r="V32" s="774" t="s">
        <v>17</v>
      </c>
      <c r="W32" s="775">
        <f t="shared" si="14"/>
        <v>100</v>
      </c>
      <c r="X32" s="1816"/>
      <c r="Y32" s="3177"/>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9" t="s">
        <v>2568</v>
      </c>
      <c r="Q33" s="1813" t="str">
        <f t="shared" si="11"/>
        <v>建筑类型</v>
      </c>
      <c r="R33" s="774" t="s">
        <v>17</v>
      </c>
      <c r="S33" s="775">
        <f t="shared" si="12"/>
        <v>100</v>
      </c>
      <c r="T33" s="774" t="s">
        <v>17</v>
      </c>
      <c r="U33" s="775">
        <f t="shared" si="13"/>
        <v>100</v>
      </c>
      <c r="V33" s="774" t="s">
        <v>17</v>
      </c>
      <c r="W33" s="775">
        <f t="shared" si="14"/>
        <v>100</v>
      </c>
      <c r="X33" s="1816"/>
      <c r="Y33" s="3179"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0"/>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0"/>
      <c r="Q35" s="1813" t="str">
        <f t="shared" si="11"/>
        <v>建筑结构</v>
      </c>
      <c r="R35" s="774" t="s">
        <v>17</v>
      </c>
      <c r="S35" s="775">
        <f t="shared" si="12"/>
        <v>100</v>
      </c>
      <c r="T35" s="774" t="s">
        <v>17</v>
      </c>
      <c r="U35" s="775">
        <f t="shared" si="13"/>
        <v>100</v>
      </c>
      <c r="V35" s="774" t="s">
        <v>17</v>
      </c>
      <c r="W35" s="775">
        <f t="shared" si="14"/>
        <v>100</v>
      </c>
      <c r="X35" s="1816"/>
      <c r="Y35" s="3179"/>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0"/>
      <c r="Q36" s="1813" t="str">
        <f t="shared" si="11"/>
        <v>公共部分装修</v>
      </c>
      <c r="R36" s="774" t="s">
        <v>17</v>
      </c>
      <c r="S36" s="775">
        <f t="shared" si="12"/>
        <v>100</v>
      </c>
      <c r="T36" s="774" t="s">
        <v>17</v>
      </c>
      <c r="U36" s="775">
        <f t="shared" si="13"/>
        <v>100</v>
      </c>
      <c r="V36" s="774" t="s">
        <v>17</v>
      </c>
      <c r="W36" s="775">
        <f t="shared" si="14"/>
        <v>100</v>
      </c>
      <c r="X36" s="1816"/>
      <c r="Y36" s="3179"/>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0"/>
      <c r="Q37" s="1813" t="str">
        <f t="shared" si="11"/>
        <v>成新度</v>
      </c>
      <c r="R37" s="774" t="s">
        <v>17</v>
      </c>
      <c r="S37" s="775" t="e">
        <f t="shared" si="12"/>
        <v>#N/A</v>
      </c>
      <c r="T37" s="774" t="s">
        <v>17</v>
      </c>
      <c r="U37" s="775" t="e">
        <f t="shared" si="13"/>
        <v>#N/A</v>
      </c>
      <c r="V37" s="774" t="s">
        <v>17</v>
      </c>
      <c r="W37" s="775" t="e">
        <f t="shared" si="14"/>
        <v>#N/A</v>
      </c>
      <c r="X37" s="1816"/>
      <c r="Y37" s="3179"/>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0"/>
      <c r="Q38" s="1798"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0" t="s">
        <v>2568</v>
      </c>
      <c r="Q39" s="1813" t="str">
        <f t="shared" si="11"/>
        <v>物业管理</v>
      </c>
      <c r="R39" s="774" t="s">
        <v>17</v>
      </c>
      <c r="S39" s="775">
        <f t="shared" si="12"/>
        <v>100</v>
      </c>
      <c r="T39" s="774" t="s">
        <v>17</v>
      </c>
      <c r="U39" s="775">
        <f t="shared" si="13"/>
        <v>100</v>
      </c>
      <c r="V39" s="774" t="s">
        <v>17</v>
      </c>
      <c r="W39" s="775">
        <f t="shared" si="14"/>
        <v>100</v>
      </c>
      <c r="X39" s="1816"/>
      <c r="Y39" s="3179"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0"/>
      <c r="Q40" s="1813" t="str">
        <f t="shared" si="11"/>
        <v>市政基础设施</v>
      </c>
      <c r="R40" s="774" t="s">
        <v>17</v>
      </c>
      <c r="S40" s="775">
        <f t="shared" si="12"/>
        <v>100</v>
      </c>
      <c r="T40" s="774" t="s">
        <v>17</v>
      </c>
      <c r="U40" s="775">
        <f t="shared" si="13"/>
        <v>100</v>
      </c>
      <c r="V40" s="774" t="s">
        <v>17</v>
      </c>
      <c r="W40" s="775">
        <f t="shared" si="14"/>
        <v>100</v>
      </c>
      <c r="X40" s="1816"/>
      <c r="Y40" s="3179"/>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0"/>
      <c r="Q41" s="1813" t="str">
        <f t="shared" si="11"/>
        <v>层高</v>
      </c>
      <c r="R41" s="774" t="s">
        <v>17</v>
      </c>
      <c r="S41" s="775">
        <f t="shared" si="12"/>
        <v>100</v>
      </c>
      <c r="T41" s="774" t="s">
        <v>17</v>
      </c>
      <c r="U41" s="775">
        <f t="shared" si="13"/>
        <v>100</v>
      </c>
      <c r="V41" s="774" t="s">
        <v>17</v>
      </c>
      <c r="W41" s="775">
        <f t="shared" si="14"/>
        <v>100</v>
      </c>
      <c r="X41" s="1816"/>
      <c r="Y41" s="3179"/>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0"/>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0"/>
      <c r="Q43" s="1813" t="str">
        <f t="shared" si="11"/>
        <v>内部装修</v>
      </c>
      <c r="R43" s="774" t="s">
        <v>17</v>
      </c>
      <c r="S43" s="775">
        <f t="shared" si="12"/>
        <v>100</v>
      </c>
      <c r="T43" s="774" t="s">
        <v>17</v>
      </c>
      <c r="U43" s="775">
        <f t="shared" si="13"/>
        <v>100</v>
      </c>
      <c r="V43" s="774" t="s">
        <v>17</v>
      </c>
      <c r="W43" s="775">
        <f t="shared" si="14"/>
        <v>100</v>
      </c>
      <c r="X43" s="1816"/>
      <c r="Y43" s="3179"/>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40"/>
      <c r="Q44" s="1813" t="str">
        <f t="shared" si="11"/>
        <v>内部装修维护情况</v>
      </c>
      <c r="R44" s="774" t="s">
        <v>17</v>
      </c>
      <c r="S44" s="775">
        <f t="shared" si="12"/>
        <v>100</v>
      </c>
      <c r="T44" s="774" t="s">
        <v>17</v>
      </c>
      <c r="U44" s="775">
        <f t="shared" si="13"/>
        <v>100</v>
      </c>
      <c r="V44" s="774" t="s">
        <v>17</v>
      </c>
      <c r="W44" s="775">
        <f t="shared" si="14"/>
        <v>100</v>
      </c>
      <c r="X44" s="1816"/>
      <c r="Y44" s="3179"/>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0"/>
      <c r="Q45" s="1798">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1"/>
      <c r="Q47" s="1813">
        <f t="shared" si="11"/>
        <v>111</v>
      </c>
      <c r="R47" s="774" t="s">
        <v>17</v>
      </c>
      <c r="S47" s="775">
        <f t="shared" si="12"/>
        <v>100</v>
      </c>
      <c r="T47" s="774" t="s">
        <v>17</v>
      </c>
      <c r="U47" s="775">
        <f t="shared" si="13"/>
        <v>100</v>
      </c>
      <c r="V47" s="774" t="s">
        <v>17</v>
      </c>
      <c r="W47" s="775">
        <f t="shared" si="14"/>
        <v>100</v>
      </c>
      <c r="X47" s="1816"/>
      <c r="Y47" s="3242"/>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73" t="str">
        <f>A48</f>
        <v>成交单价（元/平方米）</v>
      </c>
      <c r="Q48" s="3174"/>
      <c r="R48" s="3238">
        <f>E48</f>
        <v>0</v>
      </c>
      <c r="S48" s="3238"/>
      <c r="T48" s="3238">
        <f>G48</f>
        <v>0</v>
      </c>
      <c r="U48" s="3238"/>
      <c r="V48" s="3238">
        <f>I48</f>
        <v>0</v>
      </c>
      <c r="W48" s="3238"/>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3" t="str">
        <f>A49</f>
        <v>比较价值（元/平方米）</v>
      </c>
      <c r="Q49" s="3174"/>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1" t="s">
        <v>2649</v>
      </c>
      <c r="D4" s="3184"/>
      <c r="E4" s="3185" t="s">
        <v>2650</v>
      </c>
      <c r="F4" s="3186"/>
      <c r="G4" s="3171" t="s">
        <v>2651</v>
      </c>
      <c r="H4" s="3184"/>
      <c r="I4" s="3171" t="s">
        <v>2652</v>
      </c>
      <c r="J4" s="3184"/>
      <c r="K4" s="610" t="s">
        <v>2653</v>
      </c>
      <c r="L4" s="1133"/>
      <c r="M4" s="1134"/>
      <c r="N4" s="1134"/>
      <c r="O4" s="1134"/>
      <c r="P4" s="3187" t="s">
        <v>2654</v>
      </c>
      <c r="Q4" s="3188"/>
      <c r="R4" s="3193" t="s">
        <v>2650</v>
      </c>
      <c r="S4" s="3194"/>
      <c r="T4" s="3193" t="s">
        <v>2651</v>
      </c>
      <c r="U4" s="3194"/>
      <c r="V4" s="3180" t="s">
        <v>2652</v>
      </c>
      <c r="W4" s="3180"/>
      <c r="X4" s="1816"/>
      <c r="Y4" s="3193" t="s">
        <v>2654</v>
      </c>
      <c r="Z4" s="3194"/>
      <c r="AA4" s="3181" t="s">
        <v>2650</v>
      </c>
      <c r="AB4" s="3182" t="s">
        <v>2651</v>
      </c>
      <c r="AC4" s="3181" t="s">
        <v>2652</v>
      </c>
    </row>
    <row r="5" spans="1:29" ht="15">
      <c r="A5" s="404"/>
      <c r="B5" s="405"/>
      <c r="C5" s="3201" t="s">
        <v>2545</v>
      </c>
      <c r="D5" s="3202"/>
      <c r="E5" s="3208" t="s">
        <v>2546</v>
      </c>
      <c r="F5" s="3209"/>
      <c r="G5" s="3201" t="s">
        <v>2547</v>
      </c>
      <c r="H5" s="3202"/>
      <c r="I5" s="3201" t="s">
        <v>2548</v>
      </c>
      <c r="J5" s="3202"/>
      <c r="K5" s="610"/>
      <c r="L5" s="1133"/>
      <c r="M5" s="1134"/>
      <c r="N5" s="1134"/>
      <c r="O5" s="1134"/>
      <c r="P5" s="3189"/>
      <c r="Q5" s="3190"/>
      <c r="R5" s="3195"/>
      <c r="S5" s="3196"/>
      <c r="T5" s="3195"/>
      <c r="U5" s="3196"/>
      <c r="V5" s="3180"/>
      <c r="W5" s="3180"/>
      <c r="X5" s="1816"/>
      <c r="Y5" s="3195"/>
      <c r="Z5" s="3196"/>
      <c r="AA5" s="3182"/>
      <c r="AB5" s="3182"/>
      <c r="AC5" s="3182"/>
    </row>
    <row r="6" spans="1:29" ht="15.75" thickBot="1">
      <c r="A6" s="406"/>
      <c r="B6" s="407"/>
      <c r="C6" s="3199" t="s">
        <v>2549</v>
      </c>
      <c r="D6" s="3200"/>
      <c r="E6" s="3206" t="s">
        <v>2549</v>
      </c>
      <c r="F6" s="3207"/>
      <c r="G6" s="3199" t="s">
        <v>2549</v>
      </c>
      <c r="H6" s="3200"/>
      <c r="I6" s="3199" t="s">
        <v>2549</v>
      </c>
      <c r="J6" s="3200"/>
      <c r="K6" s="610" t="s">
        <v>2550</v>
      </c>
      <c r="L6" s="1133"/>
      <c r="M6" s="1134"/>
      <c r="N6" s="1134"/>
      <c r="O6" s="1134"/>
      <c r="P6" s="3191"/>
      <c r="Q6" s="3192"/>
      <c r="R6" s="3195"/>
      <c r="S6" s="3196"/>
      <c r="T6" s="3197"/>
      <c r="U6" s="3198"/>
      <c r="V6" s="3180"/>
      <c r="W6" s="3180"/>
      <c r="X6" s="1816"/>
      <c r="Y6" s="3197"/>
      <c r="Z6" s="3198"/>
      <c r="AA6" s="3183"/>
      <c r="AB6" s="3183"/>
      <c r="AC6" s="3183"/>
    </row>
    <row r="7" spans="1:29" s="117" customFormat="1" ht="15.75" thickBot="1">
      <c r="A7" s="408" t="s">
        <v>2551</v>
      </c>
      <c r="B7" s="409"/>
      <c r="C7" s="410">
        <f>'数据-取费表'!B2</f>
        <v>43390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3" t="s">
        <v>2552</v>
      </c>
      <c r="Q7" s="3205"/>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3" t="s">
        <v>2555</v>
      </c>
      <c r="Q8" s="3204"/>
      <c r="R8" s="770" t="s">
        <v>17</v>
      </c>
      <c r="S8" s="771">
        <f t="shared" si="0"/>
        <v>0</v>
      </c>
      <c r="T8" s="770" t="s">
        <v>17</v>
      </c>
      <c r="U8" s="771">
        <f t="shared" si="1"/>
        <v>0</v>
      </c>
      <c r="V8" s="770" t="s">
        <v>17</v>
      </c>
      <c r="W8" s="771">
        <f t="shared" si="2"/>
        <v>0</v>
      </c>
      <c r="X8" s="772"/>
      <c r="Y8" s="3203" t="s">
        <v>2555</v>
      </c>
      <c r="Z8" s="3204"/>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4" t="s">
        <v>2558</v>
      </c>
      <c r="Q9" s="1798" t="str">
        <f t="shared" ref="Q9:Q15" si="6">B9</f>
        <v>用途</v>
      </c>
      <c r="R9" s="770" t="s">
        <v>17</v>
      </c>
      <c r="S9" s="771">
        <f t="shared" si="0"/>
        <v>100</v>
      </c>
      <c r="T9" s="770" t="s">
        <v>17</v>
      </c>
      <c r="U9" s="771">
        <f t="shared" si="1"/>
        <v>100</v>
      </c>
      <c r="V9" s="770" t="s">
        <v>17</v>
      </c>
      <c r="W9" s="771">
        <f t="shared" si="2"/>
        <v>100</v>
      </c>
      <c r="X9" s="772"/>
      <c r="Y9" s="302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6" t="s">
        <v>2563</v>
      </c>
      <c r="Q15" s="1813" t="str">
        <f t="shared" si="6"/>
        <v>产业集聚程度</v>
      </c>
      <c r="R15" s="774" t="s">
        <v>17</v>
      </c>
      <c r="S15" s="775">
        <f t="shared" si="0"/>
        <v>100</v>
      </c>
      <c r="T15" s="774" t="s">
        <v>17</v>
      </c>
      <c r="U15" s="775">
        <f t="shared" si="1"/>
        <v>100</v>
      </c>
      <c r="V15" s="774" t="s">
        <v>17</v>
      </c>
      <c r="W15" s="775">
        <f t="shared" si="2"/>
        <v>100</v>
      </c>
      <c r="X15" s="1816"/>
      <c r="Y15" s="3176"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7"/>
      <c r="Q18" s="1813"/>
      <c r="R18" s="774"/>
      <c r="S18" s="775"/>
      <c r="T18" s="774"/>
      <c r="U18" s="775"/>
      <c r="V18" s="774"/>
      <c r="W18" s="775"/>
      <c r="X18" s="1816"/>
      <c r="Y18" s="3177"/>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7"/>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7"/>
      <c r="Q20" s="1813"/>
      <c r="R20" s="774"/>
      <c r="S20" s="775"/>
      <c r="T20" s="774"/>
      <c r="U20" s="775"/>
      <c r="V20" s="774"/>
      <c r="W20" s="775"/>
      <c r="X20" s="1816"/>
      <c r="Y20" s="3177"/>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7"/>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7"/>
      <c r="Q22" s="1813"/>
      <c r="R22" s="774"/>
      <c r="S22" s="775"/>
      <c r="T22" s="774"/>
      <c r="U22" s="775"/>
      <c r="V22" s="774"/>
      <c r="W22" s="775"/>
      <c r="X22" s="1816"/>
      <c r="Y22" s="3177"/>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7"/>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7"/>
      <c r="Q24" s="1813"/>
      <c r="R24" s="774"/>
      <c r="S24" s="775"/>
      <c r="T24" s="774"/>
      <c r="U24" s="775"/>
      <c r="V24" s="774"/>
      <c r="W24" s="775"/>
      <c r="X24" s="1816"/>
      <c r="Y24" s="31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7"/>
      <c r="Q25" s="1813">
        <f>B25</f>
        <v>111</v>
      </c>
      <c r="R25" s="774" t="s">
        <v>17</v>
      </c>
      <c r="S25" s="775">
        <f>F25</f>
        <v>100</v>
      </c>
      <c r="T25" s="774" t="s">
        <v>17</v>
      </c>
      <c r="U25" s="775">
        <f>H25</f>
        <v>100</v>
      </c>
      <c r="V25" s="774" t="s">
        <v>17</v>
      </c>
      <c r="W25" s="775">
        <f>J25</f>
        <v>100</v>
      </c>
      <c r="X25" s="1816"/>
      <c r="Y25" s="31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7"/>
      <c r="Q26" s="1813">
        <f t="shared" ref="Q26:Q40" si="11">B26</f>
        <v>111</v>
      </c>
      <c r="R26" s="774" t="s">
        <v>17</v>
      </c>
      <c r="S26" s="775">
        <f>F26</f>
        <v>100</v>
      </c>
      <c r="T26" s="774" t="s">
        <v>17</v>
      </c>
      <c r="U26" s="775">
        <f>H26</f>
        <v>100</v>
      </c>
      <c r="V26" s="774" t="s">
        <v>17</v>
      </c>
      <c r="W26" s="775">
        <f>J26</f>
        <v>100</v>
      </c>
      <c r="X26" s="1816"/>
      <c r="Y26" s="31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7"/>
      <c r="Q27" s="1798">
        <f t="shared" si="11"/>
        <v>111</v>
      </c>
      <c r="R27" s="770" t="s">
        <v>17</v>
      </c>
      <c r="S27" s="771">
        <f>F27</f>
        <v>100</v>
      </c>
      <c r="T27" s="770" t="s">
        <v>17</v>
      </c>
      <c r="U27" s="771">
        <f>H27</f>
        <v>100</v>
      </c>
      <c r="V27" s="770" t="s">
        <v>17</v>
      </c>
      <c r="W27" s="771">
        <f>J27</f>
        <v>100</v>
      </c>
      <c r="X27" s="772"/>
      <c r="Y27" s="317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7"/>
      <c r="Q28" s="1813">
        <f t="shared" si="11"/>
        <v>111</v>
      </c>
      <c r="R28" s="774" t="s">
        <v>17</v>
      </c>
      <c r="S28" s="775">
        <f t="shared" ref="S28:S40" si="12">F28</f>
        <v>100</v>
      </c>
      <c r="T28" s="774" t="s">
        <v>17</v>
      </c>
      <c r="U28" s="775">
        <f t="shared" ref="U28:U40" si="13">H28</f>
        <v>100</v>
      </c>
      <c r="V28" s="774" t="s">
        <v>17</v>
      </c>
      <c r="W28" s="775">
        <f t="shared" ref="W28:W40" si="14">J28</f>
        <v>100</v>
      </c>
      <c r="X28" s="1816"/>
      <c r="Y28" s="3177"/>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78" t="s">
        <v>2568</v>
      </c>
      <c r="Q29" s="1813" t="str">
        <f t="shared" si="11"/>
        <v>建筑类型</v>
      </c>
      <c r="R29" s="774" t="s">
        <v>17</v>
      </c>
      <c r="S29" s="775">
        <f t="shared" si="12"/>
        <v>100</v>
      </c>
      <c r="T29" s="774" t="s">
        <v>17</v>
      </c>
      <c r="U29" s="775">
        <f t="shared" si="13"/>
        <v>100</v>
      </c>
      <c r="V29" s="774" t="s">
        <v>17</v>
      </c>
      <c r="W29" s="775">
        <f t="shared" si="14"/>
        <v>100</v>
      </c>
      <c r="X29" s="1816"/>
      <c r="Y29" s="3179"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9"/>
      <c r="Q31" s="1813" t="str">
        <f t="shared" si="11"/>
        <v>建筑结构</v>
      </c>
      <c r="R31" s="774" t="s">
        <v>17</v>
      </c>
      <c r="S31" s="775">
        <f t="shared" si="12"/>
        <v>100</v>
      </c>
      <c r="T31" s="774" t="s">
        <v>17</v>
      </c>
      <c r="U31" s="775">
        <f t="shared" si="13"/>
        <v>100</v>
      </c>
      <c r="V31" s="774" t="s">
        <v>17</v>
      </c>
      <c r="W31" s="775">
        <f t="shared" si="14"/>
        <v>100</v>
      </c>
      <c r="X31" s="1816"/>
      <c r="Y31" s="3179"/>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9"/>
      <c r="Q32" s="1813" t="str">
        <f t="shared" si="11"/>
        <v>公共部分装修</v>
      </c>
      <c r="R32" s="774" t="s">
        <v>17</v>
      </c>
      <c r="S32" s="775">
        <f t="shared" si="12"/>
        <v>100</v>
      </c>
      <c r="T32" s="774" t="s">
        <v>17</v>
      </c>
      <c r="U32" s="775">
        <f t="shared" si="13"/>
        <v>100</v>
      </c>
      <c r="V32" s="774" t="s">
        <v>17</v>
      </c>
      <c r="W32" s="775">
        <f t="shared" si="14"/>
        <v>100</v>
      </c>
      <c r="X32" s="1816"/>
      <c r="Y32" s="3179"/>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9"/>
      <c r="Q33" s="1813" t="str">
        <f t="shared" si="11"/>
        <v>成新度</v>
      </c>
      <c r="R33" s="774" t="s">
        <v>17</v>
      </c>
      <c r="S33" s="775" t="e">
        <f t="shared" si="12"/>
        <v>#N/A</v>
      </c>
      <c r="T33" s="774" t="s">
        <v>17</v>
      </c>
      <c r="U33" s="775" t="e">
        <f t="shared" si="13"/>
        <v>#N/A</v>
      </c>
      <c r="V33" s="774" t="s">
        <v>17</v>
      </c>
      <c r="W33" s="775" t="e">
        <f t="shared" si="14"/>
        <v>#N/A</v>
      </c>
      <c r="X33" s="1816"/>
      <c r="Y33" s="3179"/>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9"/>
      <c r="Q34" s="1798"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9" t="s">
        <v>2568</v>
      </c>
      <c r="Q35" s="1813" t="str">
        <f t="shared" si="11"/>
        <v>市政基础设施</v>
      </c>
      <c r="R35" s="774" t="s">
        <v>17</v>
      </c>
      <c r="S35" s="775">
        <f t="shared" si="12"/>
        <v>100</v>
      </c>
      <c r="T35" s="774" t="s">
        <v>17</v>
      </c>
      <c r="U35" s="775">
        <f t="shared" si="13"/>
        <v>100</v>
      </c>
      <c r="V35" s="774" t="s">
        <v>17</v>
      </c>
      <c r="W35" s="775">
        <f t="shared" si="14"/>
        <v>100</v>
      </c>
      <c r="X35" s="1816"/>
      <c r="Y35" s="3179"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9"/>
      <c r="Q36" s="1813" t="str">
        <f t="shared" si="11"/>
        <v>内部装修</v>
      </c>
      <c r="R36" s="774" t="s">
        <v>17</v>
      </c>
      <c r="S36" s="775">
        <f t="shared" si="12"/>
        <v>100</v>
      </c>
      <c r="T36" s="774" t="s">
        <v>17</v>
      </c>
      <c r="U36" s="775">
        <f t="shared" si="13"/>
        <v>100</v>
      </c>
      <c r="V36" s="774" t="s">
        <v>17</v>
      </c>
      <c r="W36" s="775">
        <f t="shared" si="14"/>
        <v>100</v>
      </c>
      <c r="X36" s="1816"/>
      <c r="Y36" s="3179"/>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9"/>
      <c r="Q37" s="1813" t="str">
        <f t="shared" si="11"/>
        <v>内部装修状况</v>
      </c>
      <c r="R37" s="774" t="s">
        <v>17</v>
      </c>
      <c r="S37" s="775">
        <f t="shared" si="12"/>
        <v>100</v>
      </c>
      <c r="T37" s="774" t="s">
        <v>17</v>
      </c>
      <c r="U37" s="775">
        <f t="shared" si="13"/>
        <v>100</v>
      </c>
      <c r="V37" s="774" t="s">
        <v>17</v>
      </c>
      <c r="W37" s="775">
        <f t="shared" si="14"/>
        <v>100</v>
      </c>
      <c r="X37" s="1816"/>
      <c r="Y37" s="317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9"/>
      <c r="Q39" s="1813">
        <f t="shared" si="11"/>
        <v>111</v>
      </c>
      <c r="R39" s="774" t="s">
        <v>17</v>
      </c>
      <c r="S39" s="775">
        <f t="shared" si="12"/>
        <v>100</v>
      </c>
      <c r="T39" s="774" t="s">
        <v>17</v>
      </c>
      <c r="U39" s="775">
        <f t="shared" si="13"/>
        <v>100</v>
      </c>
      <c r="V39" s="774" t="s">
        <v>17</v>
      </c>
      <c r="W39" s="775">
        <f t="shared" si="14"/>
        <v>100</v>
      </c>
      <c r="X39" s="1816"/>
      <c r="Y39" s="3179"/>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3">
        <f t="shared" si="11"/>
        <v>111</v>
      </c>
      <c r="R40" s="774" t="s">
        <v>17</v>
      </c>
      <c r="S40" s="775">
        <f t="shared" si="12"/>
        <v>100</v>
      </c>
      <c r="T40" s="774" t="s">
        <v>17</v>
      </c>
      <c r="U40" s="775">
        <f t="shared" si="13"/>
        <v>100</v>
      </c>
      <c r="V40" s="774" t="s">
        <v>17</v>
      </c>
      <c r="W40" s="775">
        <f t="shared" si="14"/>
        <v>100</v>
      </c>
      <c r="X40" s="1816"/>
      <c r="Y40" s="3242"/>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74" t="str">
        <f>A41</f>
        <v>成交单价（元/平方米）</v>
      </c>
      <c r="Q41" s="3174"/>
      <c r="R41" s="3238">
        <f>E41</f>
        <v>0</v>
      </c>
      <c r="S41" s="3238"/>
      <c r="T41" s="3238">
        <f>G41</f>
        <v>0</v>
      </c>
      <c r="U41" s="3238"/>
      <c r="V41" s="3238">
        <f>I41</f>
        <v>0</v>
      </c>
      <c r="W41" s="3238"/>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74" t="str">
        <f>A42</f>
        <v>比较价值（元/平方米）</v>
      </c>
      <c r="Q42" s="3174"/>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1" t="s">
        <v>2649</v>
      </c>
      <c r="D4" s="3184"/>
      <c r="E4" s="3185" t="s">
        <v>2650</v>
      </c>
      <c r="F4" s="3186"/>
      <c r="G4" s="3171" t="s">
        <v>2651</v>
      </c>
      <c r="H4" s="3184"/>
      <c r="I4" s="3171" t="s">
        <v>2652</v>
      </c>
      <c r="J4" s="3184"/>
      <c r="K4" s="610" t="s">
        <v>2653</v>
      </c>
      <c r="L4" s="1133"/>
      <c r="M4" s="1134"/>
      <c r="N4" s="1134"/>
      <c r="O4" s="1134"/>
      <c r="P4" s="3187" t="s">
        <v>2654</v>
      </c>
      <c r="Q4" s="3188"/>
      <c r="R4" s="3193" t="s">
        <v>2650</v>
      </c>
      <c r="S4" s="3194"/>
      <c r="T4" s="3193" t="s">
        <v>2651</v>
      </c>
      <c r="U4" s="3194"/>
      <c r="V4" s="3180" t="s">
        <v>2652</v>
      </c>
      <c r="W4" s="3180"/>
      <c r="X4" s="1816"/>
      <c r="Y4" s="3193" t="s">
        <v>2654</v>
      </c>
      <c r="Z4" s="3194"/>
      <c r="AA4" s="3181" t="s">
        <v>2650</v>
      </c>
      <c r="AB4" s="3182" t="s">
        <v>2651</v>
      </c>
      <c r="AC4" s="3181" t="s">
        <v>2652</v>
      </c>
    </row>
    <row r="5" spans="1:29" ht="15">
      <c r="A5" s="404"/>
      <c r="B5" s="405"/>
      <c r="C5" s="3201" t="s">
        <v>2545</v>
      </c>
      <c r="D5" s="3202"/>
      <c r="E5" s="3208" t="s">
        <v>2546</v>
      </c>
      <c r="F5" s="3209"/>
      <c r="G5" s="3201" t="s">
        <v>2547</v>
      </c>
      <c r="H5" s="3202"/>
      <c r="I5" s="3201" t="s">
        <v>2548</v>
      </c>
      <c r="J5" s="3202"/>
      <c r="K5" s="610"/>
      <c r="L5" s="1133"/>
      <c r="M5" s="1134"/>
      <c r="N5" s="1134"/>
      <c r="O5" s="1134"/>
      <c r="P5" s="3189"/>
      <c r="Q5" s="3190"/>
      <c r="R5" s="3195"/>
      <c r="S5" s="3196"/>
      <c r="T5" s="3195"/>
      <c r="U5" s="3196"/>
      <c r="V5" s="3180"/>
      <c r="W5" s="3180"/>
      <c r="X5" s="1816"/>
      <c r="Y5" s="3195"/>
      <c r="Z5" s="3196"/>
      <c r="AA5" s="3182"/>
      <c r="AB5" s="3182"/>
      <c r="AC5" s="3182"/>
    </row>
    <row r="6" spans="1:29" ht="15.75" thickBot="1">
      <c r="A6" s="406"/>
      <c r="B6" s="407"/>
      <c r="C6" s="3199" t="s">
        <v>2549</v>
      </c>
      <c r="D6" s="3200"/>
      <c r="E6" s="3206" t="s">
        <v>2549</v>
      </c>
      <c r="F6" s="3207"/>
      <c r="G6" s="3199" t="s">
        <v>2549</v>
      </c>
      <c r="H6" s="3200"/>
      <c r="I6" s="3199" t="s">
        <v>2549</v>
      </c>
      <c r="J6" s="3200"/>
      <c r="K6" s="610" t="s">
        <v>2550</v>
      </c>
      <c r="L6" s="1133"/>
      <c r="M6" s="1134"/>
      <c r="N6" s="1134"/>
      <c r="O6" s="1134"/>
      <c r="P6" s="3191"/>
      <c r="Q6" s="3192"/>
      <c r="R6" s="3195"/>
      <c r="S6" s="3196"/>
      <c r="T6" s="3197"/>
      <c r="U6" s="3198"/>
      <c r="V6" s="3180"/>
      <c r="W6" s="3180"/>
      <c r="X6" s="1816"/>
      <c r="Y6" s="3197"/>
      <c r="Z6" s="3198"/>
      <c r="AA6" s="3183"/>
      <c r="AB6" s="3183"/>
      <c r="AC6" s="3183"/>
    </row>
    <row r="7" spans="1:29" s="117" customFormat="1" ht="15.75" thickBot="1">
      <c r="A7" s="408" t="s">
        <v>2551</v>
      </c>
      <c r="B7" s="409"/>
      <c r="C7" s="410">
        <f>'数据-取费表'!B2</f>
        <v>43390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3" t="s">
        <v>2552</v>
      </c>
      <c r="Q7" s="3205"/>
      <c r="R7" s="770" t="s">
        <v>17</v>
      </c>
      <c r="S7" s="771">
        <f t="shared" ref="S7:S14" si="0">F7</f>
        <v>0</v>
      </c>
      <c r="T7" s="770" t="s">
        <v>17</v>
      </c>
      <c r="U7" s="771">
        <f t="shared" ref="U7:U14" si="1">H7</f>
        <v>0</v>
      </c>
      <c r="V7" s="770" t="s">
        <v>17</v>
      </c>
      <c r="W7" s="771">
        <f t="shared" ref="W7:W14" si="2">J7</f>
        <v>0</v>
      </c>
      <c r="X7" s="772"/>
      <c r="Y7" s="3203" t="s">
        <v>2552</v>
      </c>
      <c r="Z7" s="3204"/>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3" t="s">
        <v>2555</v>
      </c>
      <c r="Q8" s="3204"/>
      <c r="R8" s="770" t="s">
        <v>17</v>
      </c>
      <c r="S8" s="771">
        <f t="shared" si="0"/>
        <v>0</v>
      </c>
      <c r="T8" s="770" t="s">
        <v>17</v>
      </c>
      <c r="U8" s="771">
        <f t="shared" si="1"/>
        <v>0</v>
      </c>
      <c r="V8" s="770" t="s">
        <v>17</v>
      </c>
      <c r="W8" s="771">
        <f t="shared" si="2"/>
        <v>0</v>
      </c>
      <c r="X8" s="772"/>
      <c r="Y8" s="3203" t="s">
        <v>2555</v>
      </c>
      <c r="Z8" s="3204"/>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4" t="s">
        <v>2558</v>
      </c>
      <c r="Q9" s="1798" t="str">
        <f t="shared" ref="Q9:Q14" si="6">B9</f>
        <v>用途</v>
      </c>
      <c r="R9" s="770" t="s">
        <v>17</v>
      </c>
      <c r="S9" s="771">
        <f t="shared" si="0"/>
        <v>100</v>
      </c>
      <c r="T9" s="770" t="s">
        <v>17</v>
      </c>
      <c r="U9" s="771">
        <f t="shared" si="1"/>
        <v>100</v>
      </c>
      <c r="V9" s="770" t="s">
        <v>17</v>
      </c>
      <c r="W9" s="771">
        <f t="shared" si="2"/>
        <v>100</v>
      </c>
      <c r="X9" s="772"/>
      <c r="Y9" s="3022"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4"/>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6" t="s">
        <v>2563</v>
      </c>
      <c r="Q14" s="1813" t="str">
        <f t="shared" si="6"/>
        <v>交通便捷度</v>
      </c>
      <c r="R14" s="774" t="s">
        <v>17</v>
      </c>
      <c r="S14" s="775">
        <f t="shared" si="0"/>
        <v>100</v>
      </c>
      <c r="T14" s="774" t="s">
        <v>17</v>
      </c>
      <c r="U14" s="775">
        <f t="shared" si="1"/>
        <v>100</v>
      </c>
      <c r="V14" s="774" t="s">
        <v>17</v>
      </c>
      <c r="W14" s="775">
        <f t="shared" si="2"/>
        <v>100</v>
      </c>
      <c r="X14" s="1816"/>
      <c r="Y14" s="3176"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7"/>
      <c r="Q15" s="1813"/>
      <c r="R15" s="774"/>
      <c r="S15" s="775"/>
      <c r="T15" s="774"/>
      <c r="U15" s="775"/>
      <c r="V15" s="774"/>
      <c r="W15" s="775"/>
      <c r="X15" s="1816"/>
      <c r="Y15" s="3177"/>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7"/>
      <c r="Q17" s="1813"/>
      <c r="R17" s="774"/>
      <c r="S17" s="775"/>
      <c r="T17" s="774"/>
      <c r="U17" s="775"/>
      <c r="V17" s="774"/>
      <c r="W17" s="775"/>
      <c r="X17" s="1816"/>
      <c r="Y17" s="3177"/>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7"/>
      <c r="Q19" s="1813"/>
      <c r="R19" s="774"/>
      <c r="S19" s="775"/>
      <c r="T19" s="774"/>
      <c r="U19" s="775"/>
      <c r="V19" s="774"/>
      <c r="W19" s="775"/>
      <c r="X19" s="1816"/>
      <c r="Y19" s="3177"/>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7"/>
      <c r="Q21" s="1813"/>
      <c r="R21" s="774"/>
      <c r="S21" s="775"/>
      <c r="T21" s="774"/>
      <c r="U21" s="775"/>
      <c r="V21" s="774"/>
      <c r="W21" s="775"/>
      <c r="X21" s="1816"/>
      <c r="Y21" s="3177"/>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7"/>
      <c r="Q24" s="1813">
        <f t="shared" ref="Q24:Q36"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8"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9"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9"/>
      <c r="Q28" s="1813" t="str">
        <f t="shared" si="11"/>
        <v>公共部分装修</v>
      </c>
      <c r="R28" s="774" t="s">
        <v>17</v>
      </c>
      <c r="S28" s="775">
        <f t="shared" si="12"/>
        <v>100</v>
      </c>
      <c r="T28" s="774" t="s">
        <v>17</v>
      </c>
      <c r="U28" s="775">
        <f t="shared" si="13"/>
        <v>100</v>
      </c>
      <c r="V28" s="774" t="s">
        <v>17</v>
      </c>
      <c r="W28" s="775">
        <f t="shared" si="14"/>
        <v>100</v>
      </c>
      <c r="X28" s="1816"/>
      <c r="Y28" s="3179"/>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9"/>
      <c r="Q29" s="1813" t="str">
        <f t="shared" si="11"/>
        <v>成新率</v>
      </c>
      <c r="R29" s="774" t="s">
        <v>17</v>
      </c>
      <c r="S29" s="775" t="e">
        <f t="shared" si="12"/>
        <v>#N/A</v>
      </c>
      <c r="T29" s="774" t="s">
        <v>17</v>
      </c>
      <c r="U29" s="775" t="e">
        <f t="shared" si="13"/>
        <v>#N/A</v>
      </c>
      <c r="V29" s="774" t="s">
        <v>17</v>
      </c>
      <c r="W29" s="775" t="e">
        <f t="shared" si="14"/>
        <v>#N/A</v>
      </c>
      <c r="X29" s="1816"/>
      <c r="Y29" s="3179"/>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9"/>
      <c r="Q30" s="1813" t="str">
        <f t="shared" si="11"/>
        <v>物业等级</v>
      </c>
      <c r="R30" s="774" t="s">
        <v>17</v>
      </c>
      <c r="S30" s="775">
        <f t="shared" si="12"/>
        <v>100</v>
      </c>
      <c r="T30" s="774" t="s">
        <v>17</v>
      </c>
      <c r="U30" s="775">
        <f t="shared" si="13"/>
        <v>100</v>
      </c>
      <c r="V30" s="774" t="s">
        <v>17</v>
      </c>
      <c r="W30" s="775">
        <f t="shared" si="14"/>
        <v>100</v>
      </c>
      <c r="X30" s="1816"/>
      <c r="Y30" s="3179"/>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9"/>
      <c r="Q31" s="1798"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9" t="s">
        <v>2568</v>
      </c>
      <c r="Q32" s="1813" t="str">
        <f t="shared" si="11"/>
        <v>车位类型</v>
      </c>
      <c r="R32" s="774" t="s">
        <v>17</v>
      </c>
      <c r="S32" s="775">
        <f t="shared" si="12"/>
        <v>100</v>
      </c>
      <c r="T32" s="774" t="s">
        <v>17</v>
      </c>
      <c r="U32" s="775">
        <f t="shared" si="13"/>
        <v>100</v>
      </c>
      <c r="V32" s="774" t="s">
        <v>17</v>
      </c>
      <c r="W32" s="775">
        <f t="shared" si="14"/>
        <v>100</v>
      </c>
      <c r="X32" s="1816"/>
      <c r="Y32" s="3179"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9"/>
      <c r="Q33" s="1813" t="str">
        <f t="shared" si="11"/>
        <v>是否直接入户</v>
      </c>
      <c r="R33" s="774" t="s">
        <v>17</v>
      </c>
      <c r="S33" s="775">
        <f t="shared" si="12"/>
        <v>100</v>
      </c>
      <c r="T33" s="774" t="s">
        <v>17</v>
      </c>
      <c r="U33" s="775">
        <f t="shared" si="13"/>
        <v>100</v>
      </c>
      <c r="V33" s="774" t="s">
        <v>17</v>
      </c>
      <c r="W33" s="775">
        <f t="shared" si="14"/>
        <v>100</v>
      </c>
      <c r="X33" s="1816"/>
      <c r="Y33" s="317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9"/>
      <c r="Q34" s="1813">
        <f t="shared" si="11"/>
        <v>111</v>
      </c>
      <c r="R34" s="774" t="s">
        <v>17</v>
      </c>
      <c r="S34" s="775">
        <f t="shared" si="12"/>
        <v>100</v>
      </c>
      <c r="T34" s="774" t="s">
        <v>17</v>
      </c>
      <c r="U34" s="775">
        <f t="shared" si="13"/>
        <v>100</v>
      </c>
      <c r="V34" s="774" t="s">
        <v>17</v>
      </c>
      <c r="W34" s="775">
        <f t="shared" si="14"/>
        <v>100</v>
      </c>
      <c r="X34" s="1816"/>
      <c r="Y34" s="317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9"/>
      <c r="Q36" s="1813">
        <f t="shared" si="11"/>
        <v>111</v>
      </c>
      <c r="R36" s="774" t="s">
        <v>17</v>
      </c>
      <c r="S36" s="775">
        <f t="shared" si="12"/>
        <v>100</v>
      </c>
      <c r="T36" s="774" t="s">
        <v>17</v>
      </c>
      <c r="U36" s="775">
        <f t="shared" si="13"/>
        <v>100</v>
      </c>
      <c r="V36" s="774" t="s">
        <v>17</v>
      </c>
      <c r="W36" s="775">
        <f t="shared" si="14"/>
        <v>100</v>
      </c>
      <c r="X36" s="1816"/>
      <c r="Y36" s="3179"/>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74" t="str">
        <f>A37</f>
        <v>成交单价</v>
      </c>
      <c r="Q37" s="3174"/>
      <c r="R37" s="3238">
        <f>E37</f>
        <v>0</v>
      </c>
      <c r="S37" s="3238"/>
      <c r="T37" s="3238">
        <f>G37</f>
        <v>0</v>
      </c>
      <c r="U37" s="3238"/>
      <c r="V37" s="3238">
        <f>I37</f>
        <v>0</v>
      </c>
      <c r="W37" s="3238"/>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4" t="str">
        <f>A38</f>
        <v>比较价值（元/平方米）</v>
      </c>
      <c r="Q38" s="3174"/>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1" t="s">
        <v>2649</v>
      </c>
      <c r="D4" s="3184"/>
      <c r="E4" s="3185" t="s">
        <v>2650</v>
      </c>
      <c r="F4" s="3186"/>
      <c r="G4" s="3171" t="s">
        <v>2651</v>
      </c>
      <c r="H4" s="3184"/>
      <c r="I4" s="3171" t="s">
        <v>2652</v>
      </c>
      <c r="J4" s="3184"/>
      <c r="K4" s="610" t="s">
        <v>2653</v>
      </c>
      <c r="L4" s="1133"/>
      <c r="M4" s="1134"/>
      <c r="N4" s="1134"/>
      <c r="O4" s="1134"/>
      <c r="P4" s="3187" t="s">
        <v>2654</v>
      </c>
      <c r="Q4" s="3188"/>
      <c r="R4" s="3193" t="s">
        <v>2650</v>
      </c>
      <c r="S4" s="3194"/>
      <c r="T4" s="3193" t="s">
        <v>2651</v>
      </c>
      <c r="U4" s="3194"/>
      <c r="V4" s="3180" t="s">
        <v>2652</v>
      </c>
      <c r="W4" s="3180"/>
      <c r="X4" s="1816"/>
      <c r="Y4" s="3193" t="s">
        <v>2654</v>
      </c>
      <c r="Z4" s="3194"/>
      <c r="AA4" s="3181" t="s">
        <v>2650</v>
      </c>
      <c r="AB4" s="3182" t="s">
        <v>2651</v>
      </c>
      <c r="AC4" s="3181" t="s">
        <v>2652</v>
      </c>
    </row>
    <row r="5" spans="1:29" ht="15">
      <c r="A5" s="404"/>
      <c r="B5" s="405"/>
      <c r="C5" s="3201" t="s">
        <v>2545</v>
      </c>
      <c r="D5" s="3202"/>
      <c r="E5" s="3208" t="s">
        <v>2546</v>
      </c>
      <c r="F5" s="3209"/>
      <c r="G5" s="3201" t="s">
        <v>2547</v>
      </c>
      <c r="H5" s="3202"/>
      <c r="I5" s="3201" t="s">
        <v>2548</v>
      </c>
      <c r="J5" s="3202"/>
      <c r="K5" s="610"/>
      <c r="L5" s="1133"/>
      <c r="M5" s="1134"/>
      <c r="N5" s="1134"/>
      <c r="O5" s="1134"/>
      <c r="P5" s="3189"/>
      <c r="Q5" s="3190"/>
      <c r="R5" s="3195"/>
      <c r="S5" s="3196"/>
      <c r="T5" s="3195"/>
      <c r="U5" s="3196"/>
      <c r="V5" s="3180"/>
      <c r="W5" s="3180"/>
      <c r="X5" s="1816"/>
      <c r="Y5" s="3195"/>
      <c r="Z5" s="3196"/>
      <c r="AA5" s="3182"/>
      <c r="AB5" s="3182"/>
      <c r="AC5" s="3182"/>
    </row>
    <row r="6" spans="1:29" ht="15.75" thickBot="1">
      <c r="A6" s="406"/>
      <c r="B6" s="407"/>
      <c r="C6" s="3199" t="s">
        <v>2549</v>
      </c>
      <c r="D6" s="3200"/>
      <c r="E6" s="3206" t="s">
        <v>2549</v>
      </c>
      <c r="F6" s="3207"/>
      <c r="G6" s="3199" t="s">
        <v>2549</v>
      </c>
      <c r="H6" s="3200"/>
      <c r="I6" s="3199" t="s">
        <v>2549</v>
      </c>
      <c r="J6" s="3200"/>
      <c r="K6" s="610" t="s">
        <v>2550</v>
      </c>
      <c r="L6" s="1133"/>
      <c r="M6" s="1134"/>
      <c r="N6" s="1134"/>
      <c r="O6" s="1134"/>
      <c r="P6" s="3191"/>
      <c r="Q6" s="3192"/>
      <c r="R6" s="3195"/>
      <c r="S6" s="3196"/>
      <c r="T6" s="3197"/>
      <c r="U6" s="3198"/>
      <c r="V6" s="3180"/>
      <c r="W6" s="3180"/>
      <c r="X6" s="1816"/>
      <c r="Y6" s="3197"/>
      <c r="Z6" s="3198"/>
      <c r="AA6" s="3183"/>
      <c r="AB6" s="3183"/>
      <c r="AC6" s="3183"/>
    </row>
    <row r="7" spans="1:29" s="117" customFormat="1" ht="15.75" thickBot="1">
      <c r="A7" s="408" t="s">
        <v>2551</v>
      </c>
      <c r="B7" s="409"/>
      <c r="C7" s="410">
        <f>'数据-取费表'!B2</f>
        <v>43390</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3" t="s">
        <v>2552</v>
      </c>
      <c r="Q7" s="3205"/>
      <c r="R7" s="770" t="s">
        <v>17</v>
      </c>
      <c r="S7" s="771">
        <f t="shared" ref="S7:S14" si="0">F7</f>
        <v>0</v>
      </c>
      <c r="T7" s="770" t="s">
        <v>17</v>
      </c>
      <c r="U7" s="771">
        <f t="shared" ref="U7:U14" si="1">H7</f>
        <v>0</v>
      </c>
      <c r="V7" s="770" t="s">
        <v>17</v>
      </c>
      <c r="W7" s="771">
        <f t="shared" ref="W7:W14" si="2">J7</f>
        <v>0</v>
      </c>
      <c r="X7" s="772"/>
      <c r="Y7" s="3203" t="s">
        <v>2552</v>
      </c>
      <c r="Z7" s="3204"/>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3" t="s">
        <v>2555</v>
      </c>
      <c r="Q8" s="3204"/>
      <c r="R8" s="770" t="s">
        <v>17</v>
      </c>
      <c r="S8" s="771">
        <f t="shared" si="0"/>
        <v>0</v>
      </c>
      <c r="T8" s="770" t="s">
        <v>17</v>
      </c>
      <c r="U8" s="771">
        <f t="shared" si="1"/>
        <v>0</v>
      </c>
      <c r="V8" s="770" t="s">
        <v>17</v>
      </c>
      <c r="W8" s="771">
        <f t="shared" si="2"/>
        <v>0</v>
      </c>
      <c r="X8" s="772"/>
      <c r="Y8" s="3203" t="s">
        <v>2555</v>
      </c>
      <c r="Z8" s="3204"/>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4" t="s">
        <v>2558</v>
      </c>
      <c r="Q9" s="1798" t="str">
        <f t="shared" ref="Q9:Q14" si="6">B9</f>
        <v>用途</v>
      </c>
      <c r="R9" s="770" t="s">
        <v>17</v>
      </c>
      <c r="S9" s="771">
        <f t="shared" si="0"/>
        <v>100</v>
      </c>
      <c r="T9" s="770" t="s">
        <v>17</v>
      </c>
      <c r="U9" s="771">
        <f t="shared" si="1"/>
        <v>100</v>
      </c>
      <c r="V9" s="770" t="s">
        <v>17</v>
      </c>
      <c r="W9" s="771">
        <f t="shared" si="2"/>
        <v>100</v>
      </c>
      <c r="X9" s="772"/>
      <c r="Y9" s="3022"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4"/>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6" t="s">
        <v>2563</v>
      </c>
      <c r="Q14" s="1813" t="str">
        <f t="shared" si="6"/>
        <v>交通便捷度</v>
      </c>
      <c r="R14" s="774" t="s">
        <v>17</v>
      </c>
      <c r="S14" s="775">
        <f t="shared" si="0"/>
        <v>100</v>
      </c>
      <c r="T14" s="774" t="s">
        <v>17</v>
      </c>
      <c r="U14" s="775">
        <f t="shared" si="1"/>
        <v>100</v>
      </c>
      <c r="V14" s="774" t="s">
        <v>17</v>
      </c>
      <c r="W14" s="775">
        <f t="shared" si="2"/>
        <v>100</v>
      </c>
      <c r="X14" s="1816"/>
      <c r="Y14" s="3176"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7"/>
      <c r="Q15" s="1813"/>
      <c r="R15" s="774"/>
      <c r="S15" s="775"/>
      <c r="T15" s="774"/>
      <c r="U15" s="775"/>
      <c r="V15" s="774"/>
      <c r="W15" s="775"/>
      <c r="X15" s="1816"/>
      <c r="Y15" s="3177"/>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7"/>
      <c r="Q17" s="1813"/>
      <c r="R17" s="774"/>
      <c r="S17" s="775"/>
      <c r="T17" s="774"/>
      <c r="U17" s="775"/>
      <c r="V17" s="774"/>
      <c r="W17" s="775"/>
      <c r="X17" s="1816"/>
      <c r="Y17" s="3177"/>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7"/>
      <c r="Q19" s="1813"/>
      <c r="R19" s="774"/>
      <c r="S19" s="775"/>
      <c r="T19" s="774"/>
      <c r="U19" s="775"/>
      <c r="V19" s="774"/>
      <c r="W19" s="775"/>
      <c r="X19" s="1816"/>
      <c r="Y19" s="3177"/>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7"/>
      <c r="Q21" s="1813"/>
      <c r="R21" s="774"/>
      <c r="S21" s="775"/>
      <c r="T21" s="774"/>
      <c r="U21" s="775"/>
      <c r="V21" s="774"/>
      <c r="W21" s="775"/>
      <c r="X21" s="1816"/>
      <c r="Y21" s="3177"/>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7"/>
      <c r="Q24" s="1813">
        <f t="shared" ref="Q24:Q34"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78"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9"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9"/>
      <c r="Q28" s="1813" t="str">
        <f t="shared" si="11"/>
        <v>物业等级</v>
      </c>
      <c r="R28" s="774" t="s">
        <v>17</v>
      </c>
      <c r="S28" s="775">
        <f t="shared" si="12"/>
        <v>100</v>
      </c>
      <c r="T28" s="774" t="s">
        <v>17</v>
      </c>
      <c r="U28" s="775">
        <f t="shared" si="13"/>
        <v>100</v>
      </c>
      <c r="V28" s="774" t="s">
        <v>17</v>
      </c>
      <c r="W28" s="775">
        <f t="shared" si="14"/>
        <v>100</v>
      </c>
      <c r="X28" s="1816"/>
      <c r="Y28" s="3179"/>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9"/>
      <c r="Q29" s="1813" t="str">
        <f t="shared" si="11"/>
        <v>有无电梯</v>
      </c>
      <c r="R29" s="774" t="s">
        <v>17</v>
      </c>
      <c r="S29" s="775">
        <f t="shared" si="12"/>
        <v>100</v>
      </c>
      <c r="T29" s="774" t="s">
        <v>17</v>
      </c>
      <c r="U29" s="775">
        <f t="shared" si="13"/>
        <v>100</v>
      </c>
      <c r="V29" s="774" t="s">
        <v>17</v>
      </c>
      <c r="W29" s="775">
        <f t="shared" si="14"/>
        <v>100</v>
      </c>
      <c r="X29" s="1816"/>
      <c r="Y29" s="3179"/>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9"/>
      <c r="Q30" s="1813" t="str">
        <f t="shared" si="11"/>
        <v>建筑面积</v>
      </c>
      <c r="R30" s="774" t="s">
        <v>17</v>
      </c>
      <c r="S30" s="775" t="e">
        <f t="shared" si="12"/>
        <v>#N/A</v>
      </c>
      <c r="T30" s="774" t="s">
        <v>17</v>
      </c>
      <c r="U30" s="775" t="e">
        <f t="shared" si="13"/>
        <v>#N/A</v>
      </c>
      <c r="V30" s="774" t="s">
        <v>17</v>
      </c>
      <c r="W30" s="775" t="e">
        <f t="shared" si="14"/>
        <v>#N/A</v>
      </c>
      <c r="X30" s="1816"/>
      <c r="Y30" s="3179"/>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9"/>
      <c r="Q31" s="1798"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9" t="s">
        <v>2568</v>
      </c>
      <c r="Q32" s="1813">
        <f t="shared" si="11"/>
        <v>111</v>
      </c>
      <c r="R32" s="774" t="s">
        <v>17</v>
      </c>
      <c r="S32" s="775">
        <f t="shared" si="12"/>
        <v>100</v>
      </c>
      <c r="T32" s="774" t="s">
        <v>17</v>
      </c>
      <c r="U32" s="775">
        <f t="shared" si="13"/>
        <v>100</v>
      </c>
      <c r="V32" s="774" t="s">
        <v>17</v>
      </c>
      <c r="W32" s="775">
        <f t="shared" si="14"/>
        <v>100</v>
      </c>
      <c r="X32" s="1816"/>
      <c r="Y32" s="3179"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9"/>
      <c r="Q33" s="1813">
        <f t="shared" si="11"/>
        <v>111</v>
      </c>
      <c r="R33" s="774" t="s">
        <v>17</v>
      </c>
      <c r="S33" s="775">
        <f t="shared" si="12"/>
        <v>100</v>
      </c>
      <c r="T33" s="774" t="s">
        <v>17</v>
      </c>
      <c r="U33" s="775">
        <f t="shared" si="13"/>
        <v>100</v>
      </c>
      <c r="V33" s="774" t="s">
        <v>17</v>
      </c>
      <c r="W33" s="775">
        <f t="shared" si="14"/>
        <v>100</v>
      </c>
      <c r="X33" s="1816"/>
      <c r="Y33" s="3179"/>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9"/>
      <c r="Q34" s="1813">
        <f t="shared" si="11"/>
        <v>111</v>
      </c>
      <c r="R34" s="774" t="s">
        <v>17</v>
      </c>
      <c r="S34" s="775">
        <f t="shared" si="12"/>
        <v>100</v>
      </c>
      <c r="T34" s="774" t="s">
        <v>17</v>
      </c>
      <c r="U34" s="775">
        <f t="shared" si="13"/>
        <v>100</v>
      </c>
      <c r="V34" s="774" t="s">
        <v>17</v>
      </c>
      <c r="W34" s="775">
        <f t="shared" si="14"/>
        <v>100</v>
      </c>
      <c r="X34" s="1816"/>
      <c r="Y34" s="3179"/>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74" t="str">
        <f>A35</f>
        <v>成交单价（元/平方米）</v>
      </c>
      <c r="Q35" s="3174"/>
      <c r="R35" s="3238">
        <f>E35</f>
        <v>0</v>
      </c>
      <c r="S35" s="3238"/>
      <c r="T35" s="3238">
        <f>G35</f>
        <v>0</v>
      </c>
      <c r="U35" s="3238"/>
      <c r="V35" s="3238">
        <f>I35</f>
        <v>0</v>
      </c>
      <c r="W35" s="3238"/>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74" t="str">
        <f>A36</f>
        <v>比较价值（元/平方米）</v>
      </c>
      <c r="Q36" s="3174"/>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1" t="s">
        <v>2649</v>
      </c>
      <c r="D4" s="3184"/>
      <c r="E4" s="3185" t="s">
        <v>2650</v>
      </c>
      <c r="F4" s="3186"/>
      <c r="G4" s="3171" t="s">
        <v>2651</v>
      </c>
      <c r="H4" s="3184"/>
      <c r="I4" s="3171" t="s">
        <v>2652</v>
      </c>
      <c r="J4" s="3184"/>
      <c r="K4" s="610" t="s">
        <v>2653</v>
      </c>
      <c r="L4" s="1133"/>
      <c r="M4" s="1134"/>
      <c r="N4" s="1134"/>
      <c r="O4" s="1134"/>
      <c r="P4" s="3187" t="s">
        <v>2654</v>
      </c>
      <c r="Q4" s="3188"/>
      <c r="R4" s="3193" t="s">
        <v>2650</v>
      </c>
      <c r="S4" s="3194"/>
      <c r="T4" s="3193" t="s">
        <v>2651</v>
      </c>
      <c r="U4" s="3194"/>
      <c r="V4" s="3180" t="s">
        <v>2652</v>
      </c>
      <c r="W4" s="3180"/>
      <c r="X4" s="1816"/>
      <c r="Y4" s="3193" t="s">
        <v>2654</v>
      </c>
      <c r="Z4" s="3194"/>
      <c r="AA4" s="3181" t="s">
        <v>2650</v>
      </c>
      <c r="AB4" s="3182" t="s">
        <v>2651</v>
      </c>
      <c r="AC4" s="3181" t="s">
        <v>2652</v>
      </c>
    </row>
    <row r="5" spans="1:29" ht="15">
      <c r="A5" s="404"/>
      <c r="B5" s="405"/>
      <c r="C5" s="3201" t="s">
        <v>2545</v>
      </c>
      <c r="D5" s="3202"/>
      <c r="E5" s="3208" t="s">
        <v>2546</v>
      </c>
      <c r="F5" s="3209"/>
      <c r="G5" s="3201" t="s">
        <v>2547</v>
      </c>
      <c r="H5" s="3202"/>
      <c r="I5" s="3201" t="s">
        <v>2548</v>
      </c>
      <c r="J5" s="3202"/>
      <c r="K5" s="610"/>
      <c r="L5" s="1133"/>
      <c r="M5" s="1134"/>
      <c r="N5" s="1134"/>
      <c r="O5" s="1134"/>
      <c r="P5" s="3189"/>
      <c r="Q5" s="3190"/>
      <c r="R5" s="3195"/>
      <c r="S5" s="3196"/>
      <c r="T5" s="3195"/>
      <c r="U5" s="3196"/>
      <c r="V5" s="3180"/>
      <c r="W5" s="3180"/>
      <c r="X5" s="1816"/>
      <c r="Y5" s="3195"/>
      <c r="Z5" s="3196"/>
      <c r="AA5" s="3182"/>
      <c r="AB5" s="3182"/>
      <c r="AC5" s="3182"/>
    </row>
    <row r="6" spans="1:29" ht="15.75" thickBot="1">
      <c r="A6" s="406"/>
      <c r="B6" s="407"/>
      <c r="C6" s="3260" t="s">
        <v>2799</v>
      </c>
      <c r="D6" s="3261"/>
      <c r="E6" s="3262" t="s">
        <v>2799</v>
      </c>
      <c r="F6" s="3263"/>
      <c r="G6" s="3260" t="s">
        <v>2799</v>
      </c>
      <c r="H6" s="3261"/>
      <c r="I6" s="3260" t="s">
        <v>2799</v>
      </c>
      <c r="J6" s="3261"/>
      <c r="K6" s="610" t="s">
        <v>2550</v>
      </c>
      <c r="L6" s="1133"/>
      <c r="M6" s="1134"/>
      <c r="N6" s="1134"/>
      <c r="O6" s="1134"/>
      <c r="P6" s="3191"/>
      <c r="Q6" s="3192"/>
      <c r="R6" s="3195"/>
      <c r="S6" s="3196"/>
      <c r="T6" s="3197"/>
      <c r="U6" s="3198"/>
      <c r="V6" s="3180"/>
      <c r="W6" s="3180"/>
      <c r="X6" s="1816"/>
      <c r="Y6" s="3197"/>
      <c r="Z6" s="3198"/>
      <c r="AA6" s="3183"/>
      <c r="AB6" s="3183"/>
      <c r="AC6" s="3183"/>
    </row>
    <row r="7" spans="1:29" s="117" customFormat="1" ht="15.75" thickBot="1">
      <c r="A7" s="408" t="s">
        <v>2551</v>
      </c>
      <c r="B7" s="409"/>
      <c r="C7" s="410">
        <f>'数据-取费表'!B2</f>
        <v>43390</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3" t="s">
        <v>2552</v>
      </c>
      <c r="Q7" s="3205"/>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3" t="s">
        <v>2555</v>
      </c>
      <c r="Q8" s="3204"/>
      <c r="R8" s="770" t="s">
        <v>17</v>
      </c>
      <c r="S8" s="771">
        <f t="shared" si="0"/>
        <v>0</v>
      </c>
      <c r="T8" s="770" t="s">
        <v>17</v>
      </c>
      <c r="U8" s="771">
        <f t="shared" si="1"/>
        <v>0</v>
      </c>
      <c r="V8" s="770" t="s">
        <v>17</v>
      </c>
      <c r="W8" s="771">
        <f t="shared" si="2"/>
        <v>0</v>
      </c>
      <c r="X8" s="772"/>
      <c r="Y8" s="3203" t="s">
        <v>2555</v>
      </c>
      <c r="Z8" s="3204"/>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4" t="s">
        <v>2558</v>
      </c>
      <c r="Q9" s="1798" t="str">
        <f t="shared" ref="Q9:Q15" si="6">B9</f>
        <v>用途</v>
      </c>
      <c r="R9" s="770" t="s">
        <v>17</v>
      </c>
      <c r="S9" s="771">
        <f t="shared" si="0"/>
        <v>100</v>
      </c>
      <c r="T9" s="770" t="s">
        <v>17</v>
      </c>
      <c r="U9" s="771">
        <f t="shared" si="1"/>
        <v>100</v>
      </c>
      <c r="V9" s="770" t="s">
        <v>17</v>
      </c>
      <c r="W9" s="771">
        <f t="shared" si="2"/>
        <v>100</v>
      </c>
      <c r="X9" s="772"/>
      <c r="Y9" s="3022"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74"/>
      <c r="Q10" s="1798" t="str">
        <f t="shared" si="6"/>
        <v>土地使用年限（年）</v>
      </c>
      <c r="R10" s="770" t="s">
        <v>17</v>
      </c>
      <c r="S10" s="771">
        <f t="shared" si="0"/>
        <v>104</v>
      </c>
      <c r="T10" s="770" t="s">
        <v>17</v>
      </c>
      <c r="U10" s="771">
        <f t="shared" si="1"/>
        <v>104</v>
      </c>
      <c r="V10" s="770" t="s">
        <v>17</v>
      </c>
      <c r="W10" s="771">
        <f t="shared" si="2"/>
        <v>104</v>
      </c>
      <c r="X10" s="772"/>
      <c r="Y10" s="3022"/>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6" t="s">
        <v>2563</v>
      </c>
      <c r="Q15" s="1813" t="str">
        <f t="shared" si="6"/>
        <v>产业集聚程度</v>
      </c>
      <c r="R15" s="774" t="s">
        <v>17</v>
      </c>
      <c r="S15" s="775">
        <f t="shared" si="0"/>
        <v>100</v>
      </c>
      <c r="T15" s="774" t="s">
        <v>17</v>
      </c>
      <c r="U15" s="775">
        <f t="shared" si="1"/>
        <v>100</v>
      </c>
      <c r="V15" s="774" t="s">
        <v>17</v>
      </c>
      <c r="W15" s="775">
        <f t="shared" si="2"/>
        <v>100</v>
      </c>
      <c r="X15" s="1816"/>
      <c r="Y15" s="3176"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7"/>
      <c r="Q19" s="1813" t="str">
        <f t="shared" ref="Q19:Q33" si="8">B19</f>
        <v>区域土地利用方向</v>
      </c>
      <c r="R19" s="774" t="s">
        <v>17</v>
      </c>
      <c r="S19" s="775">
        <f>F19</f>
        <v>100</v>
      </c>
      <c r="T19" s="774" t="s">
        <v>17</v>
      </c>
      <c r="U19" s="775">
        <f>H19</f>
        <v>100</v>
      </c>
      <c r="V19" s="774" t="s">
        <v>17</v>
      </c>
      <c r="W19" s="775">
        <f>J19</f>
        <v>100</v>
      </c>
      <c r="X19" s="1816"/>
      <c r="Y19" s="3177"/>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7"/>
      <c r="Q20" s="1813"/>
      <c r="R20" s="774"/>
      <c r="S20" s="775"/>
      <c r="T20" s="774"/>
      <c r="U20" s="775"/>
      <c r="V20" s="774"/>
      <c r="W20" s="775"/>
      <c r="X20" s="1816"/>
      <c r="Y20" s="3177"/>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7"/>
      <c r="Q21" s="1813" t="str">
        <f t="shared" si="8"/>
        <v>环境状况</v>
      </c>
      <c r="R21" s="774" t="s">
        <v>17</v>
      </c>
      <c r="S21" s="775">
        <f>F21</f>
        <v>100</v>
      </c>
      <c r="T21" s="774" t="s">
        <v>17</v>
      </c>
      <c r="U21" s="775">
        <f>H21</f>
        <v>100</v>
      </c>
      <c r="V21" s="774" t="s">
        <v>17</v>
      </c>
      <c r="W21" s="775">
        <f>J21</f>
        <v>100</v>
      </c>
      <c r="X21" s="1816"/>
      <c r="Y21" s="3177"/>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7"/>
      <c r="Q23" s="1798" t="str">
        <f t="shared" si="8"/>
        <v>公共配套设施</v>
      </c>
      <c r="R23" s="770" t="s">
        <v>17</v>
      </c>
      <c r="S23" s="771">
        <f>F23</f>
        <v>100</v>
      </c>
      <c r="T23" s="770" t="s">
        <v>17</v>
      </c>
      <c r="U23" s="771">
        <f>H23</f>
        <v>100</v>
      </c>
      <c r="V23" s="770" t="s">
        <v>17</v>
      </c>
      <c r="W23" s="771">
        <f>J23</f>
        <v>100</v>
      </c>
      <c r="X23" s="772"/>
      <c r="Y23" s="3177"/>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7"/>
      <c r="Q24" s="1798"/>
      <c r="R24" s="770"/>
      <c r="S24" s="771"/>
      <c r="T24" s="770"/>
      <c r="U24" s="771"/>
      <c r="V24" s="770"/>
      <c r="W24" s="771"/>
      <c r="X24" s="772"/>
      <c r="Y24" s="3177"/>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7"/>
      <c r="Q25" s="1798"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7"/>
      <c r="Q26" s="1798"/>
      <c r="R26" s="770"/>
      <c r="S26" s="771"/>
      <c r="T26" s="770"/>
      <c r="U26" s="771"/>
      <c r="V26" s="770"/>
      <c r="W26" s="771"/>
      <c r="X26" s="772"/>
      <c r="Y26" s="3177"/>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7"/>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7"/>
      <c r="Q28" s="1813" t="str">
        <f t="shared" si="8"/>
        <v>毗邻道路的类型与等级</v>
      </c>
      <c r="R28" s="774" t="s">
        <v>17</v>
      </c>
      <c r="S28" s="775">
        <f t="shared" si="10"/>
        <v>100</v>
      </c>
      <c r="T28" s="774" t="s">
        <v>17</v>
      </c>
      <c r="U28" s="775">
        <f t="shared" si="11"/>
        <v>100</v>
      </c>
      <c r="V28" s="774" t="s">
        <v>17</v>
      </c>
      <c r="W28" s="775">
        <f t="shared" si="12"/>
        <v>100</v>
      </c>
      <c r="X28" s="1816"/>
      <c r="Y28" s="3177"/>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7"/>
      <c r="Q29" s="1813"/>
      <c r="R29" s="774"/>
      <c r="S29" s="775"/>
      <c r="T29" s="774"/>
      <c r="U29" s="775"/>
      <c r="V29" s="774"/>
      <c r="W29" s="775"/>
      <c r="X29" s="1816"/>
      <c r="Y29" s="3177"/>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7"/>
      <c r="Q30" s="1813" t="str">
        <f t="shared" si="8"/>
        <v>土地级别</v>
      </c>
      <c r="R30" s="774" t="s">
        <v>17</v>
      </c>
      <c r="S30" s="775">
        <f t="shared" si="10"/>
        <v>100</v>
      </c>
      <c r="T30" s="774" t="s">
        <v>17</v>
      </c>
      <c r="U30" s="775">
        <f t="shared" si="11"/>
        <v>100</v>
      </c>
      <c r="V30" s="774" t="s">
        <v>17</v>
      </c>
      <c r="W30" s="775">
        <f t="shared" si="12"/>
        <v>100</v>
      </c>
      <c r="X30" s="1816"/>
      <c r="Y30" s="3177"/>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7"/>
      <c r="Q31" s="1813">
        <f t="shared" si="8"/>
        <v>111</v>
      </c>
      <c r="R31" s="774" t="s">
        <v>17</v>
      </c>
      <c r="S31" s="775">
        <f t="shared" si="10"/>
        <v>100</v>
      </c>
      <c r="T31" s="774" t="s">
        <v>17</v>
      </c>
      <c r="U31" s="775">
        <f t="shared" si="11"/>
        <v>100</v>
      </c>
      <c r="V31" s="774" t="s">
        <v>17</v>
      </c>
      <c r="W31" s="775">
        <f t="shared" si="12"/>
        <v>100</v>
      </c>
      <c r="X31" s="1816"/>
      <c r="Y31" s="3177"/>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8" t="s">
        <v>2568</v>
      </c>
      <c r="Q32" s="1813">
        <f t="shared" si="8"/>
        <v>111</v>
      </c>
      <c r="R32" s="774" t="s">
        <v>17</v>
      </c>
      <c r="S32" s="775">
        <f t="shared" si="10"/>
        <v>100</v>
      </c>
      <c r="T32" s="774" t="s">
        <v>17</v>
      </c>
      <c r="U32" s="775">
        <f t="shared" si="11"/>
        <v>100</v>
      </c>
      <c r="V32" s="774" t="s">
        <v>17</v>
      </c>
      <c r="W32" s="775">
        <f t="shared" si="12"/>
        <v>100</v>
      </c>
      <c r="X32" s="1816"/>
      <c r="Y32" s="3179"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9"/>
      <c r="Q33" s="1813">
        <f t="shared" si="8"/>
        <v>111</v>
      </c>
      <c r="R33" s="777" t="s">
        <v>17</v>
      </c>
      <c r="S33" s="778">
        <f t="shared" si="10"/>
        <v>100</v>
      </c>
      <c r="T33" s="777" t="s">
        <v>17</v>
      </c>
      <c r="U33" s="778">
        <f t="shared" si="11"/>
        <v>100</v>
      </c>
      <c r="V33" s="777" t="s">
        <v>17</v>
      </c>
      <c r="W33" s="778">
        <f t="shared" si="12"/>
        <v>100</v>
      </c>
      <c r="X33" s="779"/>
      <c r="Y33" s="3179"/>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9"/>
      <c r="Q34" s="1813" t="str">
        <f>B34</f>
        <v>宗地面积</v>
      </c>
      <c r="R34" s="774" t="s">
        <v>17</v>
      </c>
      <c r="S34" s="775" t="e">
        <f t="shared" si="10"/>
        <v>#N/A</v>
      </c>
      <c r="T34" s="774" t="s">
        <v>17</v>
      </c>
      <c r="U34" s="775" t="e">
        <f t="shared" si="11"/>
        <v>#N/A</v>
      </c>
      <c r="V34" s="774" t="s">
        <v>17</v>
      </c>
      <c r="W34" s="775" t="e">
        <f t="shared" si="12"/>
        <v>#N/A</v>
      </c>
      <c r="X34" s="1816"/>
      <c r="Y34" s="3179"/>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9"/>
      <c r="Q35" s="1813" t="str">
        <f t="shared" ref="Q35:Q40" si="14">B35</f>
        <v>宗地形状</v>
      </c>
      <c r="R35" s="774" t="s">
        <v>17</v>
      </c>
      <c r="S35" s="775">
        <f t="shared" si="10"/>
        <v>100</v>
      </c>
      <c r="T35" s="774" t="s">
        <v>17</v>
      </c>
      <c r="U35" s="775">
        <f t="shared" si="11"/>
        <v>100</v>
      </c>
      <c r="V35" s="774" t="s">
        <v>17</v>
      </c>
      <c r="W35" s="775">
        <f t="shared" si="12"/>
        <v>100</v>
      </c>
      <c r="X35" s="1816"/>
      <c r="Y35" s="3179"/>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9"/>
      <c r="Q36" s="1813"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9" t="s">
        <v>2568</v>
      </c>
      <c r="Q37" s="1813" t="str">
        <f t="shared" si="14"/>
        <v>工程地质条件</v>
      </c>
      <c r="R37" s="774" t="s">
        <v>17</v>
      </c>
      <c r="S37" s="775">
        <f t="shared" si="10"/>
        <v>100</v>
      </c>
      <c r="T37" s="774" t="s">
        <v>17</v>
      </c>
      <c r="U37" s="775">
        <f t="shared" si="11"/>
        <v>100</v>
      </c>
      <c r="V37" s="774" t="s">
        <v>17</v>
      </c>
      <c r="W37" s="775">
        <f t="shared" si="12"/>
        <v>100</v>
      </c>
      <c r="X37" s="1816"/>
      <c r="Y37" s="3179"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9"/>
      <c r="Q38" s="1813">
        <f t="shared" si="14"/>
        <v>111</v>
      </c>
      <c r="R38" s="774" t="s">
        <v>17</v>
      </c>
      <c r="S38" s="775">
        <f t="shared" si="10"/>
        <v>100</v>
      </c>
      <c r="T38" s="774" t="s">
        <v>17</v>
      </c>
      <c r="U38" s="775">
        <f t="shared" si="11"/>
        <v>100</v>
      </c>
      <c r="V38" s="774" t="s">
        <v>17</v>
      </c>
      <c r="W38" s="775">
        <f t="shared" si="12"/>
        <v>100</v>
      </c>
      <c r="X38" s="1816"/>
      <c r="Y38" s="317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9"/>
      <c r="Q39" s="1813">
        <f t="shared" si="14"/>
        <v>111</v>
      </c>
      <c r="R39" s="774" t="s">
        <v>17</v>
      </c>
      <c r="S39" s="775">
        <f t="shared" si="10"/>
        <v>100</v>
      </c>
      <c r="T39" s="774" t="s">
        <v>17</v>
      </c>
      <c r="U39" s="775">
        <f t="shared" si="11"/>
        <v>100</v>
      </c>
      <c r="V39" s="774" t="s">
        <v>17</v>
      </c>
      <c r="W39" s="775">
        <f t="shared" si="12"/>
        <v>100</v>
      </c>
      <c r="X39" s="1816"/>
      <c r="Y39" s="3179"/>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9"/>
      <c r="Q40" s="1813">
        <f t="shared" si="14"/>
        <v>111</v>
      </c>
      <c r="R40" s="777" t="s">
        <v>17</v>
      </c>
      <c r="S40" s="778">
        <f t="shared" si="10"/>
        <v>100</v>
      </c>
      <c r="T40" s="777" t="s">
        <v>17</v>
      </c>
      <c r="U40" s="778">
        <f t="shared" si="11"/>
        <v>100</v>
      </c>
      <c r="V40" s="777" t="s">
        <v>17</v>
      </c>
      <c r="W40" s="778">
        <f t="shared" si="12"/>
        <v>100</v>
      </c>
      <c r="X40" s="779"/>
      <c r="Y40" s="3179"/>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74" t="str">
        <f>A41</f>
        <v>成交单价</v>
      </c>
      <c r="Q41" s="3174"/>
      <c r="R41" s="3180">
        <f>E41</f>
        <v>0</v>
      </c>
      <c r="S41" s="3180"/>
      <c r="T41" s="3180">
        <f>G41</f>
        <v>0</v>
      </c>
      <c r="U41" s="3180"/>
      <c r="V41" s="3180">
        <f>I41</f>
        <v>0</v>
      </c>
      <c r="W41" s="3180"/>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74" t="str">
        <f>A42</f>
        <v>比较价值（元/平方米）</v>
      </c>
      <c r="Q42" s="3174"/>
      <c r="R42" s="3167" t="e">
        <f>ROUND(PRODUCT(R41,AA7:AA40),0)</f>
        <v>#DIV/0!</v>
      </c>
      <c r="S42" s="3167"/>
      <c r="T42" s="3167" t="e">
        <f>ROUND(PRODUCT(T41,AB7:AB40),0)</f>
        <v>#DIV/0!</v>
      </c>
      <c r="U42" s="3167"/>
      <c r="V42" s="3167" t="e">
        <f>ROUND(PRODUCT(V41,AC7:AC40),0)</f>
        <v>#DIV/0!</v>
      </c>
      <c r="W42" s="3167"/>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170" t="e">
        <f>ROUND(AVERAGE(R42:V42),0)</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71" t="s">
        <v>2766</v>
      </c>
      <c r="H50" s="3172"/>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173"/>
      <c r="H51" s="3174"/>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175"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175"/>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175"/>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175"/>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2" t="s">
        <v>2804</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7"/>
      <c r="B4" s="3268"/>
      <c r="C4" s="3268"/>
      <c r="D4" s="3269"/>
      <c r="E4" s="3269"/>
      <c r="F4" s="3269"/>
      <c r="G4" s="3269"/>
      <c r="H4" s="3269"/>
      <c r="I4" s="3269"/>
      <c r="J4" s="3270"/>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71"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72"/>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4" t="s">
        <v>2842</v>
      </c>
      <c r="X8" s="3265"/>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72"/>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6"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2"/>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2"/>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6"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71"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6"/>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3"/>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66"/>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73"/>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4"/>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1"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2"/>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43390</v>
      </c>
      <c r="H19" s="2804" t="s">
        <v>2897</v>
      </c>
      <c r="I19" s="930" t="str">
        <f>IF(H19="季度增幅（自定义）",SUMIF(N21:N24,E2,O21:O24),"")</f>
        <v/>
      </c>
      <c r="J19" s="2801"/>
      <c r="K19" s="1380"/>
      <c r="L19" s="2805" t="s">
        <v>2898</v>
      </c>
      <c r="M19" s="1737">
        <f>ROUND(SUMIF(地价!B2:F2,E2,地价!B24:F24),0)</f>
        <v>0</v>
      </c>
      <c r="N19" s="2806"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81"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2"/>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2"/>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83"/>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5" t="s">
        <v>2976</v>
      </c>
      <c r="B90" s="3275"/>
      <c r="C90" s="3275"/>
      <c r="D90" s="3275"/>
      <c r="E90" s="3275"/>
      <c r="F90" s="3275"/>
      <c r="G90" s="3275"/>
      <c r="H90" s="3275"/>
      <c r="I90" s="3275"/>
      <c r="J90" s="3275"/>
      <c r="K90" s="2898"/>
      <c r="L90" s="2898"/>
      <c r="M90" s="2898"/>
      <c r="N90" s="2898"/>
    </row>
    <row r="91" spans="1:37">
      <c r="A91" s="3277" t="s">
        <v>2977</v>
      </c>
      <c r="B91" s="3277" t="s">
        <v>2978</v>
      </c>
      <c r="C91" s="2852" t="s">
        <v>2979</v>
      </c>
      <c r="D91" s="2853"/>
      <c r="E91" s="2853"/>
      <c r="F91" s="2853"/>
      <c r="G91" s="2853"/>
      <c r="H91" s="2853"/>
      <c r="I91" s="2853"/>
      <c r="J91" s="2899"/>
      <c r="K91" s="2900"/>
      <c r="L91" s="2900"/>
      <c r="M91" s="2900"/>
      <c r="N91" s="2900"/>
    </row>
    <row r="92" spans="1:37">
      <c r="A92" s="3277"/>
      <c r="B92" s="3277"/>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78"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9"/>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8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78"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79"/>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79"/>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79"/>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79"/>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79"/>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79"/>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79"/>
      <c r="B108" s="3137"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80"/>
      <c r="B109" s="3138"/>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76" t="s">
        <v>2984</v>
      </c>
      <c r="B110" s="3276"/>
      <c r="C110" s="3276"/>
      <c r="D110" s="3276"/>
      <c r="E110" s="3276"/>
      <c r="F110" s="3276"/>
      <c r="G110" s="3276"/>
      <c r="H110" s="3276"/>
      <c r="I110" s="3276"/>
      <c r="J110" s="3276"/>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4"/>
      <c r="B4" s="2982" t="s">
        <v>1630</v>
      </c>
      <c r="C4" s="2982"/>
      <c r="D4" s="2982"/>
      <c r="E4" s="1964"/>
    </row>
    <row r="5" spans="1:5" ht="16.5" thickTop="1">
      <c r="A5" s="1962"/>
      <c r="B5" s="2980" t="s">
        <v>1622</v>
      </c>
      <c r="C5" s="1965" t="s">
        <v>1623</v>
      </c>
      <c r="D5" s="1043">
        <f ca="1">结果表!H101</f>
        <v>109347</v>
      </c>
      <c r="E5" s="1962"/>
    </row>
    <row r="6" spans="1:5" ht="15.75">
      <c r="A6" s="1962"/>
      <c r="B6" s="2980"/>
      <c r="C6" s="1965" t="s">
        <v>1624</v>
      </c>
      <c r="D6" s="1043" t="str">
        <f ca="1">NUMBERSTRING(INT(D5*10000),2)&amp;"元整"</f>
        <v>壹拾亿玖仟叁佰肆拾柒万元整</v>
      </c>
      <c r="E6" s="1962"/>
    </row>
    <row r="7" spans="1:5" ht="15.75">
      <c r="A7" s="1962"/>
      <c r="B7" s="2985"/>
      <c r="C7" s="1966" t="s">
        <v>1625</v>
      </c>
      <c r="D7" s="1044">
        <f ca="1">结果表!H102</f>
        <v>12055</v>
      </c>
      <c r="E7" s="1962"/>
    </row>
    <row r="8" spans="1:5" ht="15.75">
      <c r="A8" s="1962"/>
      <c r="B8" s="2986" t="str">
        <f>结果表!E103</f>
        <v>2.估价师知悉的法定优先受偿款</v>
      </c>
      <c r="C8" s="1967" t="s">
        <v>1626</v>
      </c>
      <c r="D8" s="1044">
        <f>结果表!H103</f>
        <v>0</v>
      </c>
      <c r="E8" s="1962"/>
    </row>
    <row r="9" spans="1:5" ht="15.75">
      <c r="A9" s="1962"/>
      <c r="B9" s="298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9" t="str">
        <f>结果表!E107</f>
        <v>3.房地产抵押价值</v>
      </c>
      <c r="C13" s="1970" t="s">
        <v>1623</v>
      </c>
      <c r="D13" s="1046">
        <f ca="1">结果表!H107</f>
        <v>109347</v>
      </c>
      <c r="E13" s="1962"/>
    </row>
    <row r="14" spans="1:5" ht="15.75">
      <c r="A14" s="1962"/>
      <c r="B14" s="2980"/>
      <c r="C14" s="1965" t="s">
        <v>1624</v>
      </c>
      <c r="D14" s="1043" t="str">
        <f ca="1">NUMBERSTRING(INT(D13*10000),2)&amp;"元整"</f>
        <v>壹拾亿玖仟叁佰肆拾柒万元整</v>
      </c>
      <c r="E14" s="1962"/>
    </row>
    <row r="15" spans="1:5" ht="15">
      <c r="A15" s="1962"/>
      <c r="B15" s="2985"/>
      <c r="C15" s="1966" t="s">
        <v>1634</v>
      </c>
      <c r="D15" s="1055">
        <f ca="1">结果表!H108</f>
        <v>12055</v>
      </c>
      <c r="E15" s="1962"/>
    </row>
    <row r="16" spans="1:5" ht="15">
      <c r="A16" s="1962"/>
      <c r="B16" s="2986" t="str">
        <f>结果表!E109</f>
        <v>——</v>
      </c>
      <c r="C16" s="1970" t="s">
        <v>1635</v>
      </c>
      <c r="D16" s="1971" t="str">
        <f>结果表!H109</f>
        <v>——</v>
      </c>
      <c r="E16" s="1962"/>
    </row>
    <row r="17" spans="1:5" ht="15.75">
      <c r="A17" s="1962"/>
      <c r="B17" s="2987"/>
      <c r="C17" s="1965" t="s">
        <v>1636</v>
      </c>
      <c r="D17" s="1043" t="e">
        <f>NUMBERSTRING(INT(D16*10000),2)&amp;"元整"</f>
        <v>#VALUE!</v>
      </c>
      <c r="E17" s="1962"/>
    </row>
    <row r="18" spans="1:5" ht="15">
      <c r="A18" s="1962"/>
      <c r="B18" s="2988"/>
      <c r="C18" s="1966" t="s">
        <v>1625</v>
      </c>
      <c r="D18" s="1055" t="str">
        <f>结果表!H110</f>
        <v>——</v>
      </c>
      <c r="E18" s="1962"/>
    </row>
    <row r="19" spans="1:5" ht="15.75">
      <c r="A19" s="1962"/>
      <c r="B19" s="2979" t="str">
        <f>结果表!E111</f>
        <v>——</v>
      </c>
      <c r="C19" s="1970" t="s">
        <v>1623</v>
      </c>
      <c r="D19" s="1044" t="str">
        <f>结果表!H111</f>
        <v>——</v>
      </c>
      <c r="E19" s="1962"/>
    </row>
    <row r="20" spans="1:5" ht="15.75">
      <c r="A20" s="1962"/>
      <c r="B20" s="2980"/>
      <c r="C20" s="1965" t="s">
        <v>1636</v>
      </c>
      <c r="D20" s="1043" t="e">
        <f>NUMBERSTRING(INT(D19*10000),2)&amp;"元整"</f>
        <v>#VALUE!</v>
      </c>
      <c r="E20" s="1962"/>
    </row>
    <row r="21" spans="1:5" ht="15.75" thickBot="1">
      <c r="A21" s="1962"/>
      <c r="B21" s="298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1150</v>
      </c>
      <c r="C1" s="3290"/>
      <c r="D1" s="3290"/>
      <c r="E1" s="3290"/>
      <c r="F1" s="3290"/>
      <c r="G1" s="3289" t="s">
        <v>1151</v>
      </c>
      <c r="H1" s="3289"/>
      <c r="I1" s="3289"/>
      <c r="J1" s="3289"/>
      <c r="K1" s="3289"/>
      <c r="L1" s="3289"/>
      <c r="N1" s="3289" t="s">
        <v>1152</v>
      </c>
      <c r="O1" s="3289"/>
      <c r="P1" s="3289"/>
      <c r="Q1" s="3289"/>
      <c r="R1" s="1449"/>
      <c r="S1" s="3289" t="s">
        <v>1153</v>
      </c>
      <c r="T1" s="3289"/>
      <c r="U1" s="3289"/>
      <c r="V1" s="3289"/>
      <c r="X1" s="3288" t="s">
        <v>1154</v>
      </c>
      <c r="Y1" s="3289"/>
      <c r="Z1" s="3289"/>
      <c r="AA1" s="3289"/>
      <c r="AB1" s="3289"/>
      <c r="AD1" s="3288" t="s">
        <v>1155</v>
      </c>
      <c r="AE1" s="3289"/>
      <c r="AF1" s="3289"/>
      <c r="AG1" s="3289"/>
      <c r="AH1" s="328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5">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6">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6">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7">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5">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6">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6">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7">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6" t="s">
        <v>3010</v>
      </c>
      <c r="D1" s="3297"/>
      <c r="E1" s="3297"/>
      <c r="F1" s="3297"/>
      <c r="G1" s="3297"/>
      <c r="H1" s="3297"/>
      <c r="I1" s="3297"/>
      <c r="J1" s="3297"/>
      <c r="K1" s="3297"/>
      <c r="L1" s="3297"/>
      <c r="M1" s="3297"/>
      <c r="N1" s="3297"/>
      <c r="O1" s="3297"/>
      <c r="P1" s="3297"/>
      <c r="Q1" s="3297"/>
      <c r="R1" s="3297"/>
      <c r="S1" s="3298"/>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59" t="s">
        <v>33</v>
      </c>
      <c r="D22" s="3160"/>
      <c r="E22" s="3160"/>
      <c r="F22" s="3160"/>
      <c r="G22" s="3160"/>
      <c r="H22" s="3160"/>
      <c r="I22" s="3160"/>
      <c r="J22" s="3160"/>
      <c r="K22" s="3160"/>
      <c r="L22" s="3160"/>
      <c r="M22" s="3160"/>
      <c r="N22" s="3160"/>
      <c r="O22" s="3160"/>
      <c r="P22" s="3160"/>
      <c r="Q22" s="3295"/>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64" t="s">
        <v>121</v>
      </c>
    </row>
    <row r="43" spans="1:7" ht="13.5" customHeight="1">
      <c r="A43" s="954" t="s">
        <v>792</v>
      </c>
      <c r="B43" s="259" t="s">
        <v>1064</v>
      </c>
      <c r="C43" s="282">
        <f ca="1">ROUND(IF('数据-取费表'!B22&lt;=1,C39*F22*'数据-取费表'!B21/2,C39*(POWER((1+F22),'数据-取费表'!B21/2)-1)),0)</f>
        <v>1</v>
      </c>
      <c r="D43" s="282"/>
      <c r="E43" s="282"/>
      <c r="F43" s="283"/>
      <c r="G43" s="3165"/>
    </row>
    <row r="44" spans="1:7" ht="13.5" customHeight="1">
      <c r="A44" s="954" t="s">
        <v>793</v>
      </c>
      <c r="B44" s="259" t="s">
        <v>1066</v>
      </c>
      <c r="C44" s="282">
        <f ca="1">ROUND(IF('数据-取费表'!B22&lt;=1,C40*F22*'数据-取费表'!B21/2,C40*(POWER((1+F22),'数据-取费表'!B21/2)-1)),4)</f>
        <v>2.0000000000000001E-4</v>
      </c>
      <c r="D44" s="282"/>
      <c r="E44" s="282"/>
      <c r="F44" s="283"/>
      <c r="G44" s="3166"/>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871</v>
      </c>
      <c r="B1" s="329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43390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t="e">
        <f ca="1">结果表!D118</f>
        <v>#REF!</v>
      </c>
      <c r="E4" s="1047" t="e">
        <f ca="1">结果表!E118</f>
        <v>#REF!</v>
      </c>
      <c r="F4" s="1047" t="e">
        <f ca="1">结果表!F118</f>
        <v>#REF!</v>
      </c>
      <c r="G4" s="1047" t="e">
        <f ca="1">结果表!G118</f>
        <v>#REF!</v>
      </c>
      <c r="H4" s="1047">
        <f ca="1">结果表!H118</f>
        <v>109347</v>
      </c>
      <c r="I4" s="1047">
        <f ca="1">结果表!I118</f>
        <v>12055</v>
      </c>
    </row>
    <row r="5" spans="1:9" ht="30" customHeight="1">
      <c r="A5" s="2993" t="s">
        <v>1640</v>
      </c>
      <c r="B5" s="2993"/>
      <c r="C5" s="2993"/>
      <c r="D5" s="2994" t="e">
        <f ca="1">结果表!D119</f>
        <v>#REF!</v>
      </c>
      <c r="E5" s="2994"/>
      <c r="F5" s="2994" t="e">
        <f ca="1">结果表!F119</f>
        <v>#REF!</v>
      </c>
      <c r="G5" s="2994"/>
      <c r="H5" s="2994" t="str">
        <f ca="1">结果表!H119</f>
        <v>壹拾亿玖仟叁佰肆拾柒万元整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1640</v>
      </c>
      <c r="B7" s="2993"/>
      <c r="C7" s="2993"/>
      <c r="D7" s="2995" t="str">
        <f>结果表!D121</f>
        <v>零元整</v>
      </c>
      <c r="E7" s="2996"/>
      <c r="F7" s="2996"/>
      <c r="G7" s="2996"/>
      <c r="H7" s="2996"/>
      <c r="I7" s="2997"/>
    </row>
    <row r="8" spans="1:9" ht="15.75">
      <c r="A8" s="2992" t="str">
        <f>结果表!A122</f>
        <v>房地产抵押价值</v>
      </c>
      <c r="B8" s="2992"/>
      <c r="C8" s="2992"/>
      <c r="D8" s="2992">
        <f ca="1">结果表!D122</f>
        <v>109347</v>
      </c>
      <c r="E8" s="2992"/>
      <c r="F8" s="2992"/>
      <c r="G8" s="2992"/>
      <c r="H8" s="2992"/>
      <c r="I8" s="2992"/>
    </row>
    <row r="9" spans="1:9" ht="15">
      <c r="A9" s="2993" t="s">
        <v>1640</v>
      </c>
      <c r="B9" s="2993"/>
      <c r="C9" s="2993"/>
      <c r="D9" s="2994" t="str">
        <f ca="1">结果表!D123</f>
        <v>壹拾亿玖仟叁佰肆拾柒万元整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1640</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6" t="s">
        <v>1662</v>
      </c>
      <c r="B1" s="3006"/>
      <c r="C1" s="3006"/>
      <c r="D1" s="3006"/>
    </row>
    <row r="2" spans="1:4" ht="18">
      <c r="A2" s="3007" t="s">
        <v>1646</v>
      </c>
      <c r="B2" s="3007"/>
      <c r="C2" s="3007"/>
      <c r="D2" s="3007"/>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3007" t="s">
        <v>1652</v>
      </c>
      <c r="B6" s="3007"/>
      <c r="C6" s="3007"/>
      <c r="D6" s="300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8" t="s">
        <v>1655</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1656</v>
      </c>
      <c r="B16" s="3002"/>
      <c r="C16" s="3002"/>
      <c r="D16" s="3002"/>
    </row>
    <row r="17" spans="1:4" ht="144" customHeight="1">
      <c r="A17" s="3002" t="s">
        <v>1657</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1658</v>
      </c>
      <c r="B22" s="3004"/>
      <c r="C22" s="3004"/>
      <c r="D22" s="300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4" t="s">
        <v>1669</v>
      </c>
      <c r="B15" s="3009" t="s">
        <v>136</v>
      </c>
      <c r="C15" s="3010"/>
    </row>
    <row r="16" spans="1:7" ht="13.5">
      <c r="A16" s="3015"/>
      <c r="B16" s="3009" t="s">
        <v>69</v>
      </c>
      <c r="C16" s="3010"/>
    </row>
    <row r="17" spans="1:3" ht="13.5">
      <c r="A17" s="3015"/>
      <c r="B17" s="3012" t="s">
        <v>1670</v>
      </c>
      <c r="C17" s="2003" t="s">
        <v>1669</v>
      </c>
    </row>
    <row r="18" spans="1:3" ht="13.5">
      <c r="A18" s="3015"/>
      <c r="B18" s="3012"/>
      <c r="C18" s="2003" t="s">
        <v>1671</v>
      </c>
    </row>
    <row r="19" spans="1:3" ht="13.5">
      <c r="A19" s="3015"/>
      <c r="B19" s="3012"/>
      <c r="C19" s="2003" t="s">
        <v>1672</v>
      </c>
    </row>
    <row r="20" spans="1:3" ht="13.5">
      <c r="A20" s="3016"/>
      <c r="B20" s="3011" t="s">
        <v>1673</v>
      </c>
      <c r="C20" s="3010"/>
    </row>
    <row r="21" spans="1:3" ht="13.5">
      <c r="A21" s="2004" t="s">
        <v>1674</v>
      </c>
      <c r="B21" s="2005"/>
      <c r="C21" s="2006"/>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2003" t="s">
        <v>1680</v>
      </c>
    </row>
    <row r="26" spans="1:3" ht="13.5">
      <c r="A26" s="3013"/>
      <c r="B26" s="3012"/>
      <c r="C26" s="2003" t="s">
        <v>1681</v>
      </c>
    </row>
    <row r="27" spans="1:3" ht="13.5">
      <c r="A27" s="3013"/>
      <c r="B27" s="3012"/>
      <c r="C27" s="2003" t="s">
        <v>1682</v>
      </c>
    </row>
    <row r="28" spans="1:3" ht="13.5">
      <c r="A28" s="3013"/>
      <c r="B28" s="3012"/>
      <c r="C28" s="2003" t="s">
        <v>1683</v>
      </c>
    </row>
    <row r="29" spans="1:3" ht="13.5">
      <c r="A29" s="3013"/>
      <c r="B29" s="3012"/>
      <c r="C29" s="2003" t="s">
        <v>1684</v>
      </c>
    </row>
    <row r="30" spans="1:3" ht="13.5">
      <c r="A30" s="3013"/>
      <c r="B30" s="3012"/>
      <c r="C30" s="2003" t="s">
        <v>1685</v>
      </c>
    </row>
    <row r="31" spans="1:3" ht="13.5">
      <c r="A31" s="3013"/>
      <c r="B31" s="3012"/>
      <c r="C31" s="2003" t="s">
        <v>1686</v>
      </c>
    </row>
    <row r="32" spans="1:3" ht="13.5">
      <c r="A32" s="3013"/>
      <c r="B32" s="3012"/>
      <c r="C32" s="2003" t="s">
        <v>1687</v>
      </c>
    </row>
    <row r="33" spans="1:3" ht="13.5">
      <c r="A33" s="3013"/>
      <c r="B33" s="301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2018-11-20T09:41:19Z</dcterms:modified>
</cp:coreProperties>
</file>