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15" windowWidth="13980" windowHeight="1254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G33" i="6" l="1"/>
  <c r="B39" i="9"/>
  <c r="G8" i="73"/>
  <c r="K11" i="21"/>
  <c r="C11" i="21"/>
  <c r="C13" i="39"/>
  <c r="G35" i="9"/>
  <c r="E39" i="9"/>
  <c r="E38" i="9"/>
  <c r="E37" i="9"/>
  <c r="B38" i="9"/>
  <c r="B37" i="9"/>
  <c r="C38" i="9"/>
  <c r="C37" i="9"/>
  <c r="I37" i="35"/>
  <c r="G37" i="35"/>
  <c r="E37" i="35"/>
  <c r="I31" i="35"/>
  <c r="G31" i="35"/>
  <c r="E31" i="35"/>
  <c r="C31" i="35"/>
  <c r="I7" i="35"/>
  <c r="G7" i="35"/>
  <c r="E7" i="35"/>
  <c r="I5" i="35"/>
  <c r="E5" i="35"/>
  <c r="I35" i="36"/>
  <c r="G35" i="36"/>
  <c r="E35" i="36"/>
  <c r="I7" i="36"/>
  <c r="G7" i="36"/>
  <c r="E7" i="36"/>
  <c r="I5" i="36"/>
  <c r="G5" i="36"/>
  <c r="G5" i="35" s="1"/>
  <c r="E5" i="36"/>
  <c r="C5" i="36"/>
  <c r="C5" i="35" s="1"/>
  <c r="I11" i="21"/>
  <c r="G11" i="21"/>
  <c r="E11" i="21"/>
  <c r="I47" i="21"/>
  <c r="G47" i="21"/>
  <c r="I33" i="21"/>
  <c r="G33" i="21"/>
  <c r="E33" i="21"/>
  <c r="C33" i="21"/>
  <c r="I7" i="21"/>
  <c r="G7" i="21"/>
  <c r="E7" i="21"/>
  <c r="I5" i="21"/>
  <c r="G5" i="21"/>
  <c r="E5" i="21"/>
  <c r="D2" i="75"/>
  <c r="N10" i="1"/>
  <c r="J10" i="1"/>
  <c r="G23" i="6"/>
  <c r="F21" i="6"/>
  <c r="G20" i="6"/>
  <c r="K19" i="9"/>
  <c r="I40" i="39"/>
  <c r="Q72" i="39"/>
  <c r="P72" i="39"/>
  <c r="O72" i="39"/>
  <c r="AH9" i="1"/>
  <c r="N14" i="1"/>
  <c r="N9" i="1"/>
  <c r="N8" i="1"/>
  <c r="N7" i="1"/>
  <c r="J9" i="1"/>
  <c r="J8" i="1"/>
  <c r="J7" i="1"/>
  <c r="I10" i="1"/>
  <c r="H10" i="1"/>
  <c r="G22" i="6"/>
  <c r="F19" i="6"/>
  <c r="AN13" i="3"/>
  <c r="AL13" i="3"/>
  <c r="D10" i="74"/>
  <c r="D9" i="74"/>
  <c r="C10" i="74"/>
  <c r="C9" i="74"/>
  <c r="Q13" i="3"/>
  <c r="O13" i="3"/>
  <c r="M13" i="3"/>
  <c r="K13" i="3"/>
  <c r="I13" i="3"/>
  <c r="A3" i="3"/>
  <c r="D37" i="4"/>
  <c r="G17" i="4"/>
  <c r="F17" i="4"/>
  <c r="C11" i="4"/>
  <c r="F10" i="4"/>
  <c r="G15" i="73" l="1"/>
  <c r="G14" i="73"/>
  <c r="G10" i="73"/>
  <c r="G12" i="73"/>
  <c r="G11" i="73"/>
  <c r="E12" i="73"/>
  <c r="B11" i="74"/>
  <c r="B21" i="73"/>
  <c r="B18" i="73"/>
  <c r="D92" i="35" l="1"/>
  <c r="E92" i="35" s="1"/>
  <c r="F92" i="35" s="1"/>
  <c r="G92" i="35" s="1"/>
  <c r="H92" i="35" s="1"/>
  <c r="D54" i="36"/>
  <c r="E54" i="36" s="1"/>
  <c r="F54" i="36" s="1"/>
  <c r="G54" i="36" s="1"/>
  <c r="D56" i="35"/>
  <c r="E56" i="35" s="1"/>
  <c r="F56" i="35" s="1"/>
  <c r="G56" i="35" s="1"/>
  <c r="H88" i="36"/>
  <c r="G88" i="36"/>
  <c r="F88" i="36"/>
  <c r="E88" i="36"/>
  <c r="D88" i="36"/>
  <c r="G122" i="21"/>
  <c r="F122" i="21"/>
  <c r="E122" i="21"/>
  <c r="D122" i="21"/>
  <c r="C122" i="21"/>
  <c r="G116" i="21"/>
  <c r="F116" i="21"/>
  <c r="E116" i="21"/>
  <c r="D116" i="21"/>
  <c r="C116" i="21"/>
  <c r="F104" i="21"/>
  <c r="G104" i="21" s="1"/>
  <c r="H104" i="21" s="1"/>
  <c r="I104" i="21" s="1"/>
  <c r="J104" i="21" s="1"/>
  <c r="E104" i="21"/>
  <c r="D104" i="21"/>
  <c r="I66" i="21"/>
  <c r="H66" i="21"/>
  <c r="G66" i="21"/>
  <c r="F66" i="21"/>
  <c r="E66" i="21"/>
  <c r="D66" i="21"/>
  <c r="I43" i="40"/>
  <c r="G43" i="40"/>
  <c r="E43" i="40"/>
  <c r="G115" i="40"/>
  <c r="F115" i="40"/>
  <c r="E115" i="40"/>
  <c r="D115" i="40"/>
  <c r="C115" i="40"/>
  <c r="D110" i="40"/>
  <c r="E110" i="40" s="1"/>
  <c r="F110" i="40" s="1"/>
  <c r="G110" i="40" s="1"/>
  <c r="H110" i="40" s="1"/>
  <c r="I110" i="40" s="1"/>
  <c r="J110" i="40" s="1"/>
  <c r="E67" i="40"/>
  <c r="F67" i="40" s="1"/>
  <c r="G67" i="40" s="1"/>
  <c r="H67" i="40" s="1"/>
  <c r="I67" i="40" s="1"/>
  <c r="J67" i="40" s="1"/>
  <c r="K67" i="40" s="1"/>
  <c r="L67" i="40" s="1"/>
  <c r="M67" i="40" s="1"/>
  <c r="N67" i="40" s="1"/>
  <c r="D67" i="40"/>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E119" i="39"/>
  <c r="F119" i="39" s="1"/>
  <c r="G119" i="39" s="1"/>
  <c r="H119" i="39" s="1"/>
  <c r="I119" i="39" s="1"/>
  <c r="J119" i="39" s="1"/>
  <c r="D119" i="39"/>
  <c r="E72" i="39"/>
  <c r="F72" i="39" s="1"/>
  <c r="G72" i="39" s="1"/>
  <c r="H72" i="39" s="1"/>
  <c r="I72" i="39" s="1"/>
  <c r="J72" i="39" s="1"/>
  <c r="K72" i="39" s="1"/>
  <c r="L72" i="39" s="1"/>
  <c r="M72" i="39" s="1"/>
  <c r="N72" i="39" s="1"/>
  <c r="D72" i="39"/>
  <c r="I9" i="39"/>
  <c r="G9" i="39"/>
  <c r="E9" i="39"/>
  <c r="I7" i="39"/>
  <c r="G7" i="39"/>
  <c r="E7" i="39"/>
  <c r="C7" i="39"/>
  <c r="B35" i="1"/>
  <c r="L21" i="1"/>
  <c r="L6" i="1" s="1"/>
  <c r="D3" i="4"/>
  <c r="L14" i="1" l="1"/>
  <c r="L9" i="1"/>
  <c r="L10" i="1" s="1"/>
  <c r="L7" i="1"/>
  <c r="L8"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F31" i="39"/>
  <c r="AA31" i="39" s="1"/>
  <c r="G20" i="20"/>
  <c r="B88" i="46" s="1"/>
  <c r="C22" i="20"/>
  <c r="B100" i="46" s="1"/>
  <c r="S21" i="37"/>
  <c r="S21" i="34"/>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G19" i="4"/>
  <c r="F7" i="1" s="1"/>
  <c r="F19" i="4"/>
  <c r="E19" i="4"/>
  <c r="F8" i="1" s="1"/>
  <c r="AP8" i="1" s="1"/>
  <c r="G7" i="1"/>
  <c r="B2" i="52"/>
  <c r="B15" i="52" s="1"/>
  <c r="F41" i="4"/>
  <c r="J52" i="40"/>
  <c r="H42" i="46"/>
  <c r="H41" i="46"/>
  <c r="H40" i="46"/>
  <c r="H39" i="46"/>
  <c r="H38" i="46"/>
  <c r="H37" i="46"/>
  <c r="C10" i="46"/>
  <c r="C11" i="46" s="1"/>
  <c r="C9" i="46"/>
  <c r="E19" i="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AC23" i="36" s="1"/>
  <c r="D70" i="36"/>
  <c r="H22" i="36"/>
  <c r="AB22" i="36" s="1"/>
  <c r="D68" i="36"/>
  <c r="E68" i="36" s="1"/>
  <c r="D64" i="36"/>
  <c r="E64" i="36" s="1"/>
  <c r="F64" i="36" s="1"/>
  <c r="G64" i="36" s="1"/>
  <c r="J16" i="36"/>
  <c r="W16" i="36" s="1"/>
  <c r="D62" i="36"/>
  <c r="E62" i="36" s="1"/>
  <c r="B59" i="36"/>
  <c r="B57" i="36"/>
  <c r="J12" i="36" s="1"/>
  <c r="B55" i="36"/>
  <c r="C51" i="36"/>
  <c r="P37" i="36"/>
  <c r="P36" i="36"/>
  <c r="V35" i="36"/>
  <c r="T35" i="36"/>
  <c r="R35" i="36"/>
  <c r="P35" i="36"/>
  <c r="Q34" i="36"/>
  <c r="Z34" i="36" s="1"/>
  <c r="Q33" i="36"/>
  <c r="Z33" i="36" s="1"/>
  <c r="Q32" i="36"/>
  <c r="Z32" i="36" s="1"/>
  <c r="Q31" i="36"/>
  <c r="Z31" i="36"/>
  <c r="Q30" i="36"/>
  <c r="Z30" i="36"/>
  <c r="Q29" i="36"/>
  <c r="Z29" i="36"/>
  <c r="Q28" i="36"/>
  <c r="Z28" i="36"/>
  <c r="J28" i="36"/>
  <c r="AC28" i="36" s="1"/>
  <c r="Q27" i="36"/>
  <c r="Z27" i="36"/>
  <c r="Q26" i="36"/>
  <c r="Z26" i="36"/>
  <c r="H26" i="36"/>
  <c r="AB26" i="36" s="1"/>
  <c r="Q25" i="36"/>
  <c r="Z25" i="36"/>
  <c r="Q24" i="36"/>
  <c r="Z24" i="36"/>
  <c r="Q23" i="36"/>
  <c r="Z23" i="36"/>
  <c r="Q22" i="36"/>
  <c r="Z22" i="36"/>
  <c r="J22" i="36"/>
  <c r="AC22" i="36"/>
  <c r="Q20" i="36"/>
  <c r="Z20" i="36"/>
  <c r="Q16" i="36"/>
  <c r="Z16" i="36"/>
  <c r="Q14" i="36"/>
  <c r="Z14" i="36"/>
  <c r="Q13" i="36"/>
  <c r="Z13" i="36" s="1"/>
  <c r="Q12" i="36"/>
  <c r="Z12" i="36" s="1"/>
  <c r="Q11" i="36"/>
  <c r="Z11" i="36" s="1"/>
  <c r="Q10" i="36"/>
  <c r="Z10" i="36"/>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c r="Q26" i="35"/>
  <c r="Z26" i="35"/>
  <c r="Q25" i="35"/>
  <c r="Z25" i="35" s="1"/>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s="1"/>
  <c r="D120" i="34"/>
  <c r="E120" i="34"/>
  <c r="F120" i="34" s="1"/>
  <c r="G120" i="34" s="1"/>
  <c r="H120" i="34" s="1"/>
  <c r="I120" i="34"/>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27" i="39" s="1"/>
  <c r="C18" i="20"/>
  <c r="B73" i="46" s="1"/>
  <c r="C17" i="20"/>
  <c r="B61" i="46"/>
  <c r="C16" i="20"/>
  <c r="B50" i="46"/>
  <c r="C15" i="20"/>
  <c r="B72" i="46"/>
  <c r="E54" i="21"/>
  <c r="F54" i="21" s="1"/>
  <c r="I54" i="21"/>
  <c r="J54" i="21" s="1"/>
  <c r="G54" i="21"/>
  <c r="H54" i="21" s="1"/>
  <c r="D125" i="21"/>
  <c r="E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s="1"/>
  <c r="AC27" i="35"/>
  <c r="U31" i="35"/>
  <c r="S34" i="35"/>
  <c r="W24" i="35"/>
  <c r="S31" i="35"/>
  <c r="W31" i="35"/>
  <c r="F36" i="34"/>
  <c r="S36" i="34"/>
  <c r="S34" i="34"/>
  <c r="W39" i="34"/>
  <c r="H39" i="33"/>
  <c r="AB39" i="33" s="1"/>
  <c r="F26" i="33"/>
  <c r="AA26" i="33" s="1"/>
  <c r="U9" i="33"/>
  <c r="U33" i="33"/>
  <c r="W38" i="33"/>
  <c r="S40" i="33"/>
  <c r="S33" i="33"/>
  <c r="W33" i="33"/>
  <c r="U38" i="33"/>
  <c r="S8" i="21"/>
  <c r="H39" i="37"/>
  <c r="AB39" i="37"/>
  <c r="AB27" i="35"/>
  <c r="W10" i="40"/>
  <c r="U11" i="40"/>
  <c r="U36" i="40"/>
  <c r="AC40" i="21"/>
  <c r="C29" i="39"/>
  <c r="C23" i="39"/>
  <c r="U36" i="39"/>
  <c r="H32" i="33"/>
  <c r="AB32" i="33"/>
  <c r="AA12" i="33"/>
  <c r="J34" i="36"/>
  <c r="W34" i="36" s="1"/>
  <c r="J30" i="35"/>
  <c r="W30" i="35" s="1"/>
  <c r="F22" i="35"/>
  <c r="AA22" i="35" s="1"/>
  <c r="U29" i="36"/>
  <c r="E85" i="36"/>
  <c r="F85" i="36" s="1"/>
  <c r="G85" i="36" s="1"/>
  <c r="H85" i="36" s="1"/>
  <c r="I85" i="36" s="1"/>
  <c r="J85" i="36" s="1"/>
  <c r="K85" i="36" s="1"/>
  <c r="L85" i="36" s="1"/>
  <c r="M85" i="36" s="1"/>
  <c r="J29" i="36"/>
  <c r="AC29" i="36" s="1"/>
  <c r="F12" i="36"/>
  <c r="S12" i="36"/>
  <c r="F24" i="36"/>
  <c r="AA24" i="36" s="1"/>
  <c r="F34" i="36"/>
  <c r="S34" i="36" s="1"/>
  <c r="AB8" i="36"/>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W8" i="34"/>
  <c r="J28" i="34"/>
  <c r="W28" i="34" s="1"/>
  <c r="S38" i="33"/>
  <c r="E113" i="33"/>
  <c r="F36" i="33"/>
  <c r="S36" i="33" s="1"/>
  <c r="F19" i="33"/>
  <c r="S19" i="33" s="1"/>
  <c r="J19" i="33"/>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AL5" i="3"/>
  <c r="BQ13" i="3"/>
  <c r="BL572" i="3"/>
  <c r="J14" i="21"/>
  <c r="AC14" i="21" s="1"/>
  <c r="F14" i="21"/>
  <c r="AA14" i="2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s="1"/>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s="1"/>
  <c r="G105" i="37"/>
  <c r="AB31" i="21"/>
  <c r="U46" i="21"/>
  <c r="AC30" i="21"/>
  <c r="AB30" i="21"/>
  <c r="S28" i="21"/>
  <c r="AA28" i="21"/>
  <c r="AB14" i="21"/>
  <c r="W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24" i="35"/>
  <c r="AA24" i="35"/>
  <c r="H24" i="35"/>
  <c r="AB24" i="35" s="1"/>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S39" i="33"/>
  <c r="F43" i="33"/>
  <c r="AA43" i="33"/>
  <c r="AA23" i="37"/>
  <c r="AB44" i="33"/>
  <c r="G107" i="37"/>
  <c r="H107" i="37"/>
  <c r="I107" i="37" s="1"/>
  <c r="J107" i="37" s="1"/>
  <c r="K107" i="37" s="1"/>
  <c r="L107" i="37" s="1"/>
  <c r="M107" i="37" s="1"/>
  <c r="F37" i="21"/>
  <c r="S37" i="21" s="1"/>
  <c r="J37" i="21"/>
  <c r="W37" i="21" s="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A43" i="21"/>
  <c r="F77" i="40"/>
  <c r="G77" i="40" s="1"/>
  <c r="H77" i="40" s="1"/>
  <c r="I77" i="40" s="1"/>
  <c r="J77" i="40" s="1"/>
  <c r="K77" i="40" s="1"/>
  <c r="L77" i="40" s="1"/>
  <c r="M77" i="40" s="1"/>
  <c r="BH5" i="3"/>
  <c r="R16" i="4"/>
  <c r="D3" i="35"/>
  <c r="G4" i="4"/>
  <c r="S37" i="34"/>
  <c r="W25" i="35"/>
  <c r="AZ354" i="3"/>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S32" i="21"/>
  <c r="BL571" i="3"/>
  <c r="BA571" i="3"/>
  <c r="BL570" i="3"/>
  <c r="AB40" i="33"/>
  <c r="U40" i="33"/>
  <c r="AA35" i="34"/>
  <c r="S35" i="34"/>
  <c r="E90" i="34"/>
  <c r="H27" i="34"/>
  <c r="AB27" i="34" s="1"/>
  <c r="U8" i="35"/>
  <c r="F14" i="35"/>
  <c r="AA14" i="35" s="1"/>
  <c r="E80" i="35"/>
  <c r="E94" i="35"/>
  <c r="F94" i="35" s="1"/>
  <c r="G94" i="35" s="1"/>
  <c r="H94" i="35" s="1"/>
  <c r="I94" i="35" s="1"/>
  <c r="J94" i="35" s="1"/>
  <c r="K94" i="35" s="1"/>
  <c r="L94" i="35" s="1"/>
  <c r="M94" i="35" s="1"/>
  <c r="J32" i="35"/>
  <c r="AC32" i="35" s="1"/>
  <c r="H11" i="36"/>
  <c r="AB11" i="36" s="1"/>
  <c r="F11" i="36"/>
  <c r="S11" i="36" s="1"/>
  <c r="AC16" i="36"/>
  <c r="E78" i="36"/>
  <c r="F78" i="36" s="1"/>
  <c r="G78" i="36" s="1"/>
  <c r="H78" i="36" s="1"/>
  <c r="I78" i="36" s="1"/>
  <c r="J78" i="36" s="1"/>
  <c r="K78" i="36" s="1"/>
  <c r="L78" i="36" s="1"/>
  <c r="M78" i="36" s="1"/>
  <c r="F26" i="36"/>
  <c r="S26" i="36" s="1"/>
  <c r="U34" i="36"/>
  <c r="AB34" i="36"/>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s="1"/>
  <c r="F38" i="40"/>
  <c r="AA38" i="40" s="1"/>
  <c r="AA36" i="34"/>
  <c r="AC12" i="21"/>
  <c r="W12" i="21"/>
  <c r="S35" i="21"/>
  <c r="S34" i="21"/>
  <c r="AB8" i="33"/>
  <c r="U8" i="33"/>
  <c r="E106" i="33"/>
  <c r="H34" i="33"/>
  <c r="U34" i="33" s="1"/>
  <c r="F34" i="33"/>
  <c r="S34" i="33" s="1"/>
  <c r="E121" i="33"/>
  <c r="F41" i="33"/>
  <c r="S41" i="33"/>
  <c r="AC34" i="34"/>
  <c r="W34" i="34"/>
  <c r="AA39" i="34"/>
  <c r="S39" i="34"/>
  <c r="S43" i="34"/>
  <c r="E78" i="34"/>
  <c r="F15" i="34"/>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F33" i="40"/>
  <c r="AA33" i="40" s="1"/>
  <c r="H35" i="40"/>
  <c r="AB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c r="H16" i="40"/>
  <c r="AB16" i="40" s="1"/>
  <c r="H14" i="40"/>
  <c r="U14" i="40" s="1"/>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G74" i="46" s="1"/>
  <c r="M74" i="46" s="1"/>
  <c r="N74" i="46" s="1"/>
  <c r="AZ164" i="3"/>
  <c r="AZ177" i="3"/>
  <c r="AZ180" i="3"/>
  <c r="AZ24" i="3"/>
  <c r="AZ40" i="3"/>
  <c r="AZ56" i="3"/>
  <c r="AZ63" i="3"/>
  <c r="AZ91" i="3"/>
  <c r="AZ107" i="3"/>
  <c r="AZ112" i="3"/>
  <c r="AB14" i="40"/>
  <c r="W40" i="40"/>
  <c r="AC14" i="40"/>
  <c r="S47" i="39"/>
  <c r="U37" i="34"/>
  <c r="AB37" i="34"/>
  <c r="AC41" i="40"/>
  <c r="U41" i="40"/>
  <c r="J23" i="40"/>
  <c r="AC23" i="40" s="1"/>
  <c r="F23" i="40"/>
  <c r="S23" i="40" s="1"/>
  <c r="AC15" i="40"/>
  <c r="W15" i="40"/>
  <c r="AB16" i="39"/>
  <c r="U23" i="35"/>
  <c r="AB23" i="35"/>
  <c r="H20" i="35"/>
  <c r="AB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J29" i="39"/>
  <c r="AC29" i="39" s="1"/>
  <c r="AB21" i="39"/>
  <c r="AB17" i="39"/>
  <c r="AB33" i="36"/>
  <c r="AA11" i="36"/>
  <c r="G99" i="37"/>
  <c r="F33" i="37"/>
  <c r="U19" i="39"/>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U27" i="39"/>
  <c r="H23" i="39"/>
  <c r="AB23" i="39" s="1"/>
  <c r="J23" i="39"/>
  <c r="AC23" i="39" s="1"/>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c r="H33" i="37"/>
  <c r="AB33" i="37"/>
  <c r="AC15" i="34"/>
  <c r="W23" i="40"/>
  <c r="B11" i="1"/>
  <c r="E11" i="1" s="1"/>
  <c r="K11" i="1"/>
  <c r="M11" i="1" s="1"/>
  <c r="B9" i="1"/>
  <c r="E9" i="1" s="1"/>
  <c r="K9" i="1"/>
  <c r="M9" i="1" s="1"/>
  <c r="B7" i="1"/>
  <c r="E7" i="1" s="1"/>
  <c r="K7" i="1"/>
  <c r="M7" i="1" s="1"/>
  <c r="AP6" i="1"/>
  <c r="AC25" i="36"/>
  <c r="U25" i="36"/>
  <c r="H20" i="36"/>
  <c r="U20" i="36" s="1"/>
  <c r="F68" i="36"/>
  <c r="G68" i="36" s="1"/>
  <c r="J20" i="36"/>
  <c r="AC20" i="36" s="1"/>
  <c r="F20" i="36"/>
  <c r="S20" i="36" s="1"/>
  <c r="U32" i="36"/>
  <c r="U9" i="36"/>
  <c r="S33" i="36"/>
  <c r="U22" i="35"/>
  <c r="AA13" i="35"/>
  <c r="AC9" i="35"/>
  <c r="U33" i="35"/>
  <c r="W20" i="35"/>
  <c r="S23" i="35"/>
  <c r="U9" i="35"/>
  <c r="W13" i="35"/>
  <c r="AC18" i="35"/>
  <c r="W18" i="35"/>
  <c r="U18" i="35"/>
  <c r="AB18" i="35"/>
  <c r="S30" i="35"/>
  <c r="S27"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A37" i="21"/>
  <c r="AB37" i="21"/>
  <c r="W28" i="21"/>
  <c r="AC46" i="21"/>
  <c r="F85" i="21"/>
  <c r="G85" i="21" s="1"/>
  <c r="J23" i="21"/>
  <c r="W23" i="21" s="1"/>
  <c r="F23" i="21"/>
  <c r="S23" i="21" s="1"/>
  <c r="H23" i="21"/>
  <c r="U23" i="21" s="1"/>
  <c r="F15" i="21"/>
  <c r="S15" i="21" s="1"/>
  <c r="F77" i="21"/>
  <c r="G77" i="21" s="1"/>
  <c r="J15" i="21"/>
  <c r="AC15" i="21" s="1"/>
  <c r="H15" i="21"/>
  <c r="U15" i="21" s="1"/>
  <c r="W13" i="21"/>
  <c r="AC23" i="21"/>
  <c r="AC21" i="21"/>
  <c r="W21" i="21"/>
  <c r="W44" i="21"/>
  <c r="AC38" i="21"/>
  <c r="AB21" i="21"/>
  <c r="U21" i="21"/>
  <c r="AB29" i="21"/>
  <c r="AA30" i="21"/>
  <c r="AA31" i="21"/>
  <c r="U15" i="40"/>
  <c r="S14" i="40"/>
  <c r="S15" i="40"/>
  <c r="S16" i="40"/>
  <c r="AA21" i="40"/>
  <c r="U21" i="40"/>
  <c r="W25" i="40"/>
  <c r="W42" i="40"/>
  <c r="F37" i="40"/>
  <c r="J37" i="40"/>
  <c r="AC37" i="40" s="1"/>
  <c r="H37" i="40"/>
  <c r="U37" i="40" s="1"/>
  <c r="G112" i="40"/>
  <c r="H112" i="40" s="1"/>
  <c r="I112" i="40" s="1"/>
  <c r="J112" i="40" s="1"/>
  <c r="K112" i="40" s="1"/>
  <c r="L112" i="40" s="1"/>
  <c r="M112" i="40" s="1"/>
  <c r="F39" i="40"/>
  <c r="AA39" i="40" s="1"/>
  <c r="H39" i="40"/>
  <c r="J39" i="40"/>
  <c r="W39" i="40" s="1"/>
  <c r="F29" i="40"/>
  <c r="H29" i="40"/>
  <c r="U29" i="40" s="1"/>
  <c r="J29" i="40"/>
  <c r="F97" i="40"/>
  <c r="G97" i="40" s="1"/>
  <c r="H97" i="40" s="1"/>
  <c r="I97" i="40" s="1"/>
  <c r="J97" i="40" s="1"/>
  <c r="K97" i="40" s="1"/>
  <c r="L97" i="40" s="1"/>
  <c r="M97" i="40" s="1"/>
  <c r="S30" i="40"/>
  <c r="F19" i="40"/>
  <c r="AA19" i="40" s="1"/>
  <c r="H19" i="40"/>
  <c r="U19" i="40" s="1"/>
  <c r="J19" i="40"/>
  <c r="W19" i="40" s="1"/>
  <c r="AC17" i="40"/>
  <c r="F17" i="40"/>
  <c r="AA17" i="40" s="1"/>
  <c r="H17" i="40"/>
  <c r="U17" i="40" s="1"/>
  <c r="AB40" i="40"/>
  <c r="U10" i="40"/>
  <c r="U27" i="40"/>
  <c r="AB27" i="40"/>
  <c r="S11" i="39"/>
  <c r="AB45" i="39"/>
  <c r="S27" i="39"/>
  <c r="AA21" i="39"/>
  <c r="S29" i="39"/>
  <c r="S14" i="39"/>
  <c r="AB15" i="39"/>
  <c r="U11" i="39"/>
  <c r="U31" i="39"/>
  <c r="AB31" i="39"/>
  <c r="S38" i="39"/>
  <c r="S22" i="31"/>
  <c r="B20" i="31" s="1"/>
  <c r="D18" i="9"/>
  <c r="M44" i="9" s="1"/>
  <c r="M43" i="9"/>
  <c r="D96" i="9"/>
  <c r="M18" i="15"/>
  <c r="A18" i="64"/>
  <c r="B74" i="63" s="1"/>
  <c r="C53" i="10"/>
  <c r="A25" i="64" s="1"/>
  <c r="A18" i="51"/>
  <c r="B14" i="63" s="1"/>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2" i="36"/>
  <c r="U12" i="35"/>
  <c r="AB12" i="35"/>
  <c r="W11" i="35"/>
  <c r="AA11" i="35"/>
  <c r="S14" i="37"/>
  <c r="U13"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34" i="36"/>
  <c r="AA32" i="36"/>
  <c r="U13" i="36"/>
  <c r="AA22" i="36"/>
  <c r="AA13" i="36"/>
  <c r="W9"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C37" i="21"/>
  <c r="AA29" i="21"/>
  <c r="U27" i="21"/>
  <c r="W31" i="21"/>
  <c r="S27" i="21"/>
  <c r="AC27" i="21"/>
  <c r="W29" i="21"/>
  <c r="J27" i="40"/>
  <c r="AC27" i="40" s="1"/>
  <c r="W37" i="40"/>
  <c r="S34" i="40"/>
  <c r="U38" i="40"/>
  <c r="S40" i="40"/>
  <c r="S42" i="40"/>
  <c r="J31" i="39"/>
  <c r="W31" i="39" s="1"/>
  <c r="S45" i="39"/>
  <c r="AB33" i="39"/>
  <c r="AC46" i="39"/>
  <c r="S34" i="39"/>
  <c r="W36" i="39"/>
  <c r="W16" i="39"/>
  <c r="S15" i="39"/>
  <c r="W25" i="39"/>
  <c r="W45" i="39"/>
  <c r="AA44" i="39"/>
  <c r="AA46" i="39"/>
  <c r="W10" i="39"/>
  <c r="W11" i="39"/>
  <c r="S32" i="40"/>
  <c r="C17" i="40"/>
  <c r="C19" i="40"/>
  <c r="C17" i="39"/>
  <c r="C19" i="39"/>
  <c r="C21" i="39"/>
  <c r="C23" i="40"/>
  <c r="B51" i="46"/>
  <c r="B54" i="46"/>
  <c r="B58" i="46"/>
  <c r="B62" i="46"/>
  <c r="B65" i="46"/>
  <c r="B56" i="46"/>
  <c r="B67" i="46"/>
  <c r="D24" i="15"/>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A37" i="40"/>
  <c r="S37" i="40"/>
  <c r="AB29" i="40"/>
  <c r="AC29" i="40"/>
  <c r="W29" i="40"/>
  <c r="AA29" i="40"/>
  <c r="S29" i="40"/>
  <c r="S19" i="40"/>
  <c r="AB19" i="40"/>
  <c r="R22" i="31"/>
  <c r="B21" i="31" s="1"/>
  <c r="A17" i="51"/>
  <c r="B13" i="63" s="1"/>
  <c r="AT6" i="3"/>
  <c r="AZ16" i="3"/>
  <c r="G66" i="36"/>
  <c r="J18" i="36"/>
  <c r="W18" i="36" s="1"/>
  <c r="C45" i="9"/>
  <c r="B7" i="66" s="1"/>
  <c r="N76" i="9"/>
  <c r="C46" i="9"/>
  <c r="K33" i="9"/>
  <c r="K34" i="9" s="1"/>
  <c r="O41" i="9"/>
  <c r="B8" i="66"/>
  <c r="R8" i="54"/>
  <c r="B54" i="63" s="1"/>
  <c r="H61" i="46"/>
  <c r="G61" i="46" s="1"/>
  <c r="K61" i="46" s="1"/>
  <c r="J61" i="46" s="1"/>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C22" i="59"/>
  <c r="C21" i="59" s="1"/>
  <c r="B22" i="59"/>
  <c r="B21" i="59"/>
  <c r="B20" i="59" s="1"/>
  <c r="B19" i="59" s="1"/>
  <c r="B18" i="59" s="1"/>
  <c r="D22" i="59"/>
  <c r="F11" i="44"/>
  <c r="M6" i="15"/>
  <c r="M24" i="44"/>
  <c r="M28" i="15"/>
  <c r="B14" i="67"/>
  <c r="F40" i="44"/>
  <c r="E10" i="67"/>
  <c r="N3" i="65"/>
  <c r="L47" i="15"/>
  <c r="I7" i="65"/>
  <c r="J4" i="65"/>
  <c r="F10" i="67"/>
  <c r="J36" i="15"/>
  <c r="F42" i="15"/>
  <c r="M31" i="44"/>
  <c r="E14" i="67"/>
  <c r="F38" i="44"/>
  <c r="F13" i="67"/>
  <c r="F43" i="44"/>
  <c r="E8" i="67"/>
  <c r="F40" i="15"/>
  <c r="F8" i="44"/>
  <c r="M22" i="15"/>
  <c r="E12" i="67"/>
  <c r="F15" i="44"/>
  <c r="N6" i="65"/>
  <c r="I4" i="65"/>
  <c r="M30" i="44"/>
  <c r="F39" i="44"/>
  <c r="J7" i="65"/>
  <c r="F8" i="67"/>
  <c r="F9" i="15"/>
  <c r="M11" i="44"/>
  <c r="F12" i="67"/>
  <c r="I6" i="65"/>
  <c r="M10" i="44"/>
  <c r="N5" i="65"/>
  <c r="J6" i="65"/>
  <c r="F9" i="67"/>
  <c r="J17" i="44"/>
  <c r="M26" i="44"/>
  <c r="M29" i="15"/>
  <c r="N4" i="65"/>
  <c r="M25" i="44"/>
  <c r="M8" i="44"/>
  <c r="M28" i="44"/>
  <c r="L48" i="44"/>
  <c r="F45" i="44"/>
  <c r="B13" i="67"/>
  <c r="J3" i="65"/>
  <c r="L48" i="15"/>
  <c r="E11" i="67"/>
  <c r="F14" i="67"/>
  <c r="F11" i="67"/>
  <c r="B10" i="67"/>
  <c r="F28" i="44"/>
  <c r="N7" i="65"/>
  <c r="F16" i="15"/>
  <c r="M23" i="15"/>
  <c r="F36" i="15"/>
  <c r="I3" i="65"/>
  <c r="F26" i="15"/>
  <c r="B9" i="67"/>
  <c r="B12" i="67"/>
  <c r="F7" i="15"/>
  <c r="M26" i="15"/>
  <c r="B8" i="67"/>
  <c r="F10" i="44"/>
  <c r="I5" i="65"/>
  <c r="F18" i="44"/>
  <c r="E13" i="67"/>
  <c r="B11" i="67"/>
  <c r="F9" i="44"/>
  <c r="J15" i="15"/>
  <c r="J5" i="65"/>
  <c r="E9" i="67"/>
  <c r="F9" i="1" l="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L20" i="6" s="1"/>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B14" i="35"/>
  <c r="AA20" i="35"/>
  <c r="AC16" i="35"/>
  <c r="AB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U16" i="36"/>
  <c r="W20" i="36"/>
  <c r="AB18" i="36"/>
  <c r="S18" i="36"/>
  <c r="S16" i="36"/>
  <c r="S14" i="36"/>
  <c r="F123" i="21"/>
  <c r="G123" i="21" s="1"/>
  <c r="H123" i="21" s="1"/>
  <c r="I123" i="21" s="1"/>
  <c r="J123" i="21" s="1"/>
  <c r="K123" i="21" s="1"/>
  <c r="L123" i="21" s="1"/>
  <c r="M123" i="21" s="1"/>
  <c r="H42" i="21"/>
  <c r="J42" i="21"/>
  <c r="AC42" i="21" s="1"/>
  <c r="F42" i="21"/>
  <c r="AA42" i="21" s="1"/>
  <c r="AB23" i="21"/>
  <c r="W17" i="21"/>
  <c r="AB32" i="21"/>
  <c r="U35" i="21"/>
  <c r="U38" i="21"/>
  <c r="U39" i="21"/>
  <c r="U43" i="21"/>
  <c r="AB10" i="21"/>
  <c r="W9" i="21"/>
  <c r="AA9" i="21"/>
  <c r="W42"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201" i="3"/>
  <c r="AZ181" i="3"/>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AZ142"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20" i="3"/>
  <c r="AZ432" i="3"/>
  <c r="AZ433" i="3"/>
  <c r="AZ439" i="3"/>
  <c r="AZ459" i="3"/>
  <c r="AZ463" i="3"/>
  <c r="AZ467" i="3"/>
  <c r="AZ471" i="3"/>
  <c r="AZ475" i="3"/>
  <c r="AZ479" i="3"/>
  <c r="AZ360" i="3"/>
  <c r="AZ371" i="3"/>
  <c r="AZ376" i="3"/>
  <c r="AZ388" i="3"/>
  <c r="AZ145"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AZ129" i="3"/>
  <c r="AZ58" i="3"/>
  <c r="T53" i="59"/>
  <c r="D53" i="59"/>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BL134" i="3"/>
  <c r="AZ134" i="3" s="1"/>
  <c r="BA136" i="3"/>
  <c r="AZ136" i="3" s="1"/>
  <c r="BL138" i="3"/>
  <c r="AZ138" i="3" s="1"/>
  <c r="BL142" i="3"/>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BL182" i="3"/>
  <c r="BA185" i="3"/>
  <c r="AZ185" i="3" s="1"/>
  <c r="BL186" i="3"/>
  <c r="AZ186" i="3" s="1"/>
  <c r="BA189" i="3"/>
  <c r="AZ189" i="3" s="1"/>
  <c r="BL190" i="3"/>
  <c r="BA193" i="3"/>
  <c r="AZ193" i="3" s="1"/>
  <c r="BL194" i="3"/>
  <c r="AZ194" i="3" s="1"/>
  <c r="BA197" i="3"/>
  <c r="AZ197" i="3" s="1"/>
  <c r="BL198" i="3"/>
  <c r="BA201" i="3"/>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Y25" i="59"/>
  <c r="Z25" i="59" s="1"/>
  <c r="AB25" i="59"/>
  <c r="AA16" i="59"/>
  <c r="X17" i="59"/>
  <c r="AB11" i="59"/>
  <c r="AB12" i="59"/>
  <c r="Y13" i="59"/>
  <c r="Z13" i="59" s="1"/>
  <c r="AA13" i="59"/>
  <c r="AA11" i="59"/>
  <c r="X12" i="59"/>
  <c r="X13"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G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4" i="40"/>
  <c r="C18" i="11"/>
  <c r="K77" i="9"/>
  <c r="K79" i="9" s="1"/>
  <c r="K81" i="9" s="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F67" i="15"/>
  <c r="C27" i="15"/>
  <c r="M9" i="44"/>
  <c r="J8" i="44" s="1"/>
  <c r="L59" i="15"/>
  <c r="L58" i="15"/>
  <c r="L60" i="44"/>
  <c r="J53" i="15"/>
  <c r="J57" i="15"/>
  <c r="J55" i="15" s="1"/>
  <c r="J58" i="15" s="1"/>
  <c r="Q51" i="15" s="1"/>
  <c r="I54" i="15"/>
  <c r="L56" i="15"/>
  <c r="F49" i="15"/>
  <c r="M7" i="15"/>
  <c r="Q72" i="15"/>
  <c r="F63" i="15"/>
  <c r="C4" i="65"/>
  <c r="B39" i="1" s="1"/>
  <c r="F13" i="15"/>
  <c r="F37" i="15"/>
  <c r="C16" i="15"/>
  <c r="L49" i="44"/>
  <c r="C18" i="44"/>
  <c r="E3" i="65"/>
  <c r="F8" i="15"/>
  <c r="F38" i="15"/>
  <c r="M9" i="15"/>
  <c r="F43" i="15"/>
  <c r="M8" i="15"/>
  <c r="M24" i="15"/>
  <c r="E2" i="65"/>
  <c r="F6" i="15"/>
  <c r="L59" i="44" l="1"/>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S42" i="21"/>
  <c r="H26" i="46"/>
  <c r="D26" i="46" s="1"/>
  <c r="C25" i="46" s="1"/>
  <c r="E26" i="46"/>
  <c r="B117" i="46"/>
  <c r="D123" i="46" s="1"/>
  <c r="E123" i="46" s="1"/>
  <c r="F123" i="46" s="1"/>
  <c r="G123" i="46" s="1"/>
  <c r="H123" i="46" s="1"/>
  <c r="Q16" i="1"/>
  <c r="F21" i="43" s="1"/>
  <c r="H16" i="1"/>
  <c r="L19" i="6"/>
  <c r="L27" i="6" s="1"/>
  <c r="K17" i="4"/>
  <c r="A22" i="51" s="1"/>
  <c r="B16" i="63" s="1"/>
  <c r="P28" i="46"/>
  <c r="B67" i="40" s="1"/>
  <c r="D69" i="39"/>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O23" i="46"/>
  <c r="S29" i="59"/>
  <c r="B28" i="59"/>
  <c r="B27" i="59" s="1"/>
  <c r="O68" i="59"/>
  <c r="C67" i="59"/>
  <c r="D68" i="59"/>
  <c r="C65" i="59"/>
  <c r="D64" i="59"/>
  <c r="C57" i="59"/>
  <c r="D56" i="59"/>
  <c r="T41" i="59"/>
  <c r="D41" i="59"/>
  <c r="T33" i="59"/>
  <c r="D33" i="59"/>
  <c r="AA23" i="36"/>
  <c r="S23" i="36"/>
  <c r="AA9" i="34"/>
  <c r="S9" i="34"/>
  <c r="AC9" i="34"/>
  <c r="W9" i="34"/>
  <c r="C19" i="59"/>
  <c r="D20" i="59"/>
  <c r="J60" i="44"/>
  <c r="E83" i="46"/>
  <c r="B81" i="46" s="1"/>
  <c r="BA5" i="3"/>
  <c r="E12" i="6"/>
  <c r="J7" i="21"/>
  <c r="AC7" i="21" s="1"/>
  <c r="E50" i="46"/>
  <c r="B48" i="46" s="1"/>
  <c r="I123" i="46"/>
  <c r="J123" i="46" s="1"/>
  <c r="K123" i="46" s="1"/>
  <c r="L123" i="46" s="1"/>
  <c r="M123" i="46" s="1"/>
  <c r="E17" i="46"/>
  <c r="C17" i="46" s="1"/>
  <c r="C7" i="46"/>
  <c r="AZ5" i="3"/>
  <c r="E3" i="6" s="1"/>
  <c r="F27" i="6"/>
  <c r="F31" i="6" s="1"/>
  <c r="E58" i="39"/>
  <c r="E10" i="6"/>
  <c r="E14" i="6"/>
  <c r="E65" i="39" s="1"/>
  <c r="E13" i="6"/>
  <c r="E59" i="40" s="1"/>
  <c r="E11" i="6"/>
  <c r="E62" i="39" s="1"/>
  <c r="E28" i="6"/>
  <c r="G5" i="3"/>
  <c r="B3" i="3" s="1"/>
  <c r="F33" i="12"/>
  <c r="C34" i="12" s="1"/>
  <c r="D33" i="12" s="1"/>
  <c r="E63" i="39"/>
  <c r="E58" i="40"/>
  <c r="E66" i="39"/>
  <c r="E61" i="40"/>
  <c r="K14" i="1"/>
  <c r="H7" i="34"/>
  <c r="U7" i="34" s="1"/>
  <c r="F7" i="34"/>
  <c r="AA7" i="34" s="1"/>
  <c r="R49" i="34" s="1"/>
  <c r="J7" i="34"/>
  <c r="W7" i="34" s="1"/>
  <c r="F7" i="21"/>
  <c r="AA7" i="21" s="1"/>
  <c r="H7" i="21"/>
  <c r="AB7" i="21" s="1"/>
  <c r="B12" i="59"/>
  <c r="S13" i="59"/>
  <c r="E12" i="59"/>
  <c r="U13" i="59"/>
  <c r="H7" i="35"/>
  <c r="U7" i="35" s="1"/>
  <c r="B40" i="1"/>
  <c r="L36" i="46" s="1"/>
  <c r="E64" i="40"/>
  <c r="D66" i="40"/>
  <c r="S7" i="34"/>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M32" i="46"/>
  <c r="P32" i="46"/>
  <c r="O32" i="46"/>
  <c r="N32" i="46"/>
  <c r="F1" i="44"/>
  <c r="J20" i="44"/>
  <c r="Q63" i="44"/>
  <c r="Q76" i="44"/>
  <c r="F1" i="15"/>
  <c r="Q53" i="15"/>
  <c r="Q61" i="15"/>
  <c r="Q74" i="15"/>
  <c r="J6" i="15"/>
  <c r="J18" i="15" s="1"/>
  <c r="AE6" i="1"/>
  <c r="AE12" i="1"/>
  <c r="AE7" i="1"/>
  <c r="AE8" i="1"/>
  <c r="AE9" i="1"/>
  <c r="AE10" i="1"/>
  <c r="AE11" i="1"/>
  <c r="F46" i="44"/>
  <c r="F41" i="15"/>
  <c r="J61" i="44" l="1"/>
  <c r="Q50" i="44" s="1"/>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E72" i="46" s="1"/>
  <c r="B70" i="46" s="1"/>
  <c r="C28" i="46" s="1"/>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9" i="44"/>
  <c r="M27" i="15"/>
  <c r="C33" i="46" l="1"/>
  <c r="E33" i="46" s="1"/>
  <c r="V38" i="35"/>
  <c r="I38" i="35" s="1"/>
  <c r="U10" i="35"/>
  <c r="AB10" i="35"/>
  <c r="T38" i="35" s="1"/>
  <c r="W10" i="35"/>
  <c r="AC10" i="35"/>
  <c r="R38" i="35"/>
  <c r="AA10" i="35"/>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C17" i="15"/>
  <c r="F7" i="67"/>
  <c r="G38" i="35" l="1"/>
  <c r="E43" i="35" s="1"/>
  <c r="F43" i="35" s="1"/>
  <c r="R39" i="35"/>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C19" i="44"/>
  <c r="B7" i="67"/>
  <c r="E7" i="67"/>
  <c r="G42" i="35" l="1"/>
  <c r="H42" i="35" s="1"/>
  <c r="G43" i="35"/>
  <c r="H43" i="35" s="1"/>
  <c r="H24" i="6"/>
  <c r="M27" i="6"/>
  <c r="H23" i="6"/>
  <c r="R23" i="6" s="1"/>
  <c r="R10" i="1" s="1"/>
  <c r="H22" i="6"/>
  <c r="R22" i="6" s="1"/>
  <c r="S16" i="1"/>
  <c r="T9" i="1" s="1"/>
  <c r="C15" i="59"/>
  <c r="D16" i="59"/>
  <c r="C31" i="46"/>
  <c r="C30" i="46"/>
  <c r="B2" i="46" s="1"/>
  <c r="D4" i="46" s="1"/>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R6" i="1"/>
  <c r="C17" i="43"/>
  <c r="C14" i="43"/>
  <c r="C14" i="12"/>
  <c r="L33" i="1" s="1"/>
  <c r="C17" i="12"/>
  <c r="I64" i="40"/>
  <c r="H66" i="40"/>
  <c r="H71" i="39"/>
  <c r="I69" i="39"/>
  <c r="N46" i="36"/>
  <c r="E3" i="67"/>
  <c r="B2" i="67"/>
  <c r="M23" i="44"/>
  <c r="F35" i="15"/>
  <c r="M21" i="15"/>
  <c r="F37" i="44"/>
  <c r="R9" i="1" l="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E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l="1"/>
  <c r="C29" i="12" s="1"/>
  <c r="M10" i="12"/>
  <c r="C24" i="12" l="1"/>
  <c r="C35" i="12" s="1"/>
  <c r="C33" i="12" s="1"/>
  <c r="C28" i="12" l="1"/>
  <c r="C26" i="12" s="1"/>
  <c r="C31" i="12" s="1"/>
  <c r="C30" i="12" s="1"/>
  <c r="C36" i="12" s="1"/>
  <c r="B2" i="12" s="1"/>
  <c r="B3" i="12" s="1"/>
  <c r="D19" i="9"/>
  <c r="D20" i="9"/>
  <c r="B4" i="12" l="1"/>
  <c r="L44" i="9"/>
  <c r="G19" i="9"/>
  <c r="D22" i="9"/>
  <c r="B5" i="12"/>
  <c r="G20" i="9"/>
  <c r="G22" i="9"/>
  <c r="D21" i="9"/>
  <c r="K20" i="9" l="1"/>
  <c r="K21" i="9" s="1"/>
  <c r="D27" i="9"/>
  <c r="N43" i="9"/>
  <c r="G21" i="9"/>
  <c r="C32" i="9"/>
  <c r="C42" i="9" s="1"/>
  <c r="O38" i="9" l="1"/>
  <c r="K25" i="9" s="1"/>
  <c r="C35" i="9"/>
  <c r="F42" i="9" s="1"/>
  <c r="O43" i="9"/>
  <c r="C33" i="9"/>
  <c r="D42" i="9" s="1"/>
  <c r="Q5" i="54" s="1"/>
  <c r="B47" i="63" s="1"/>
  <c r="C34" i="9"/>
  <c r="E42" i="9" s="1"/>
  <c r="P5" i="54" s="1"/>
  <c r="B46" i="63" s="1"/>
  <c r="N38" i="9"/>
  <c r="K28" i="9" s="1"/>
  <c r="N68" i="9"/>
  <c r="R5" i="54"/>
  <c r="B48" i="63" s="1"/>
  <c r="D63" i="9"/>
  <c r="C44" i="9"/>
  <c r="M38" i="9" l="1"/>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<sst xmlns="http://schemas.openxmlformats.org/spreadsheetml/2006/main" count="9215" uniqueCount="3794">
  <si>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</si>
  <si>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</si>
  <si>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</si>
  <si>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</si>
  <si>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</si>
  <si>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</si>
  <si>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</si>
  <si>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</si>
  <si>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</si>
  <si>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</si>
  <si>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</si>
  <si>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</si>
  <si>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</si>
  <si>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</si>
  <si>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</si>
  <si>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</si>
  <si>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</si>
  <si>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</si>
  <si>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</si>
  <si>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</si>
  <si>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</si>
  <si>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</si>
  <si>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</si>
  <si>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</si>
  <si>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</si>
  <si>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</si>
  <si>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</si>
  <si>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</si>
  <si>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</si>
  <si>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</si>
  <si>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</si>
  <si>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</si>
  <si>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</si>
  <si>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</si>
  <si>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</si>
  <si>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</si>
  <si>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</si>
  <si>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</si>
  <si>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</si>
  <si>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</si>
  <si>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</si>
  <si>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</si>
  <si>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</si>
  <si>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</si>
  <si>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</si>
  <si>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</si>
  <si>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</si>
  <si>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</si>
  <si>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</si>
  <si>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</si>
  <si>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</si>
  <si>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</si>
  <si>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</si>
  <si>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</si>
  <si>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</si>
  <si>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</si>
  <si>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</si>
  <si>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</si>
  <si>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</si>
  <si>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</si>
  <si>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</si>
  <si>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</si>
  <si>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</si>
  <si>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</si>
  <si>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</si>
  <si>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</si>
  <si>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</si>
  <si>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</si>
  <si>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</si>
  <si>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</si>
  <si>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</si>
  <si>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</si>
  <si>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</si>
  <si>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</si>
  <si>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</si>
  <si>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</si>
  <si>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</si>
  <si>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</si>
  <si>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</si>
  <si>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</si>
  <si>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</si>
  <si>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</si>
  <si>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</si>
  <si>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</si>
  <si>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</si>
  <si>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</si>
  <si>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</si>
  <si>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</si>
  <si>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</si>
  <si>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</si>
  <si>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</si>
  <si>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</si>
  <si>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</si>
  <si>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</si>
  <si>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</si>
  <si>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</si>
  <si>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</si>
  <si>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</si>
  <si>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</si>
  <si>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</si>
  <si>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</si>
  <si>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</si>
  <si>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</si>
  <si>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</si>
  <si>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</si>
  <si>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</si>
  <si>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</si>
  <si>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</si>
  <si>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</si>
  <si>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</si>
  <si>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</si>
  <si>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</si>
  <si>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</si>
  <si>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</si>
  <si>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</si>
  <si>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</si>
  <si>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</si>
  <si>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</si>
  <si>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</si>
  <si>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</si>
  <si>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</si>
  <si>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</si>
  <si>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</si>
  <si>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</si>
  <si>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</si>
  <si>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</si>
  <si>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</si>
  <si>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</si>
  <si>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</si>
  <si>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</si>
  <si>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</si>
  <si>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</si>
  <si>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</si>
  <si>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</si>
  <si>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</si>
  <si>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</si>
  <si>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</si>
  <si>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</si>
  <si>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</si>
  <si>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</si>
  <si>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</si>
  <si>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</si>
  <si>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</si>
  <si>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</si>
  <si>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</si>
  <si>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</si>
  <si>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</si>
  <si>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</si>
  <si>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</si>
  <si>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</si>
  <si>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</si>
  <si>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</si>
  <si>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</si>
  <si>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</si>
  <si>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</si>
  <si>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</si>
  <si>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</si>
  <si>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</si>
  <si>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</si>
  <si>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</si>
  <si>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</si>
  <si>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</si>
  <si>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</si>
  <si>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</si>
  <si>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</si>
  <si>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</si>
  <si>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</si>
  <si>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</si>
  <si>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</si>
  <si>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</si>
  <si>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</si>
  <si>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</si>
  <si>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</si>
  <si>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</si>
  <si>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</si>
  <si>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</si>
  <si>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</si>
  <si>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</si>
  <si>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</si>
  <si>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</si>
  <si>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</si>
  <si>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</si>
  <si>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</si>
  <si>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</si>
  <si>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</si>
  <si>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</si>
  <si>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</si>
  <si>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</si>
  <si>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</si>
  <si>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</si>
  <si>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</si>
  <si>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</si>
  <si>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</si>
  <si>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</si>
  <si>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</si>
  <si>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</si>
  <si>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</si>
  <si>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</si>
  <si>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</si>
  <si>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</si>
  <si>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</si>
  <si>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</si>
  <si>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</si>
  <si>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</si>
  <si>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</si>
  <si>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</si>
  <si>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</si>
  <si>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</si>
  <si>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</si>
  <si>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</si>
  <si>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</si>
  <si>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</si>
  <si>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</si>
  <si>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</si>
  <si>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</si>
  <si>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</si>
  <si>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</si>
  <si>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</si>
  <si>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</si>
  <si>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</si>
  <si>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</si>
  <si>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</si>
  <si>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</si>
  <si>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</si>
  <si>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</si>
  <si>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</si>
  <si>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</si>
  <si>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</si>
  <si>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</si>
  <si>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</si>
  <si>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</si>
  <si>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</si>
  <si>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</si>
  <si>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</si>
  <si>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</si>
  <si>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</si>
  <si>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</si>
  <si>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</si>
  <si>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</si>
  <si>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</si>
  <si>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</si>
  <si>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</si>
  <si>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</si>
  <si>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</si>
  <si>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</si>
  <si>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</si>
  <si>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</si>
  <si>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</si>
  <si>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</si>
  <si>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</si>
  <si>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</si>
  <si>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</si>
  <si>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</si>
  <si>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</si>
  <si>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</si>
  <si>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</si>
  <si>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</si>
  <si>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</si>
  <si>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</si>
  <si>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</si>
  <si>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</si>
  <si>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</si>
  <si>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</si>
  <si>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</si>
  <si>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</si>
  <si>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</si>
  <si>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</si>
  <si>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</si>
  <si>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</si>
  <si>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</si>
  <si>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</si>
  <si>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</si>
  <si>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</si>
  <si>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</si>
  <si>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</si>
  <si>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</si>
  <si>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</si>
  <si>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</si>
  <si>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</si>
  <si>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</si>
  <si>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</si>
  <si>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</si>
  <si>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</si>
  <si>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</si>
  <si>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</si>
  <si>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</si>
  <si>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</si>
  <si>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</si>
  <si>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</si>
  <si>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</si>
  <si>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</si>
  <si>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</si>
  <si>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</si>
  <si>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</si>
  <si>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</si>
  <si>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</si>
  <si>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</si>
  <si>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</si>
  <si>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</si>
  <si>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</si>
  <si>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</si>
  <si>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</si>
  <si>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</si>
  <si>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</si>
  <si>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</si>
  <si>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</si>
  <si>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</si>
  <si>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</si>
  <si>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</si>
  <si>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</si>
  <si>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</si>
  <si>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</si>
  <si>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</si>
  <si>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</si>
  <si>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</si>
  <si>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</si>
  <si>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</si>
  <si>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</si>
  <si>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</si>
  <si>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</si>
  <si>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</si>
  <si>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</si>
  <si>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</si>
  <si>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</si>
  <si>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</si>
  <si>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</si>
  <si>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</si>
  <si>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</si>
  <si>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</si>
  <si>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</si>
  <si>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</si>
  <si>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</si>
  <si>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</si>
  <si>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</si>
  <si>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</si>
  <si>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</si>
  <si>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</si>
  <si>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</si>
  <si>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</si>
  <si>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</si>
  <si>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</si>
  <si>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</si>
  <si>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</si>
  <si>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</si>
  <si>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</si>
  <si>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</si>
  <si>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</si>
  <si>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</si>
  <si>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</si>
  <si>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</si>
  <si>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</si>
  <si>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</si>
  <si>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</si>
  <si>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</si>
  <si>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</si>
  <si>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</si>
  <si>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</si>
  <si>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</si>
  <si>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</si>
  <si>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</si>
  <si>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</si>
  <si>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</si>
  <si>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</si>
  <si>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</si>
  <si>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</si>
  <si>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</si>
  <si>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</si>
  <si>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</si>
  <si>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</si>
  <si>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</si>
  <si>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</si>
  <si>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</si>
  <si>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</si>
  <si>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</si>
  <si>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</si>
  <si>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</si>
  <si>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</si>
  <si>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</si>
  <si>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</si>
  <si>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</si>
  <si>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</si>
  <si>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</si>
  <si>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</si>
  <si>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</si>
  <si>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</si>
  <si>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</si>
  <si>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</si>
  <si>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</si>
  <si>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</si>
  <si>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</si>
  <si>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</si>
  <si>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</si>
  <si>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</si>
  <si>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</si>
  <si>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</si>
  <si>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</si>
  <si>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</si>
  <si>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</si>
  <si>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</si>
  <si>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</si>
  <si>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</si>
  <si>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</si>
  <si>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</si>
  <si>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</si>
  <si>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</si>
  <si>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</si>
  <si>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</si>
  <si>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</si>
  <si>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</si>
  <si>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</si>
  <si>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</si>
  <si>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</si>
  <si>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</si>
  <si>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</si>
  <si>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</si>
  <si>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</si>
  <si>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</si>
  <si>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</si>
  <si>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</si>
  <si>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</si>
  <si>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</si>
  <si>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</si>
  <si>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</si>
  <si>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</si>
  <si>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</si>
  <si>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</si>
  <si>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</si>
  <si>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</si>
  <si>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</si>
  <si>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</si>
  <si>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</si>
  <si>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</si>
  <si>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</si>
  <si>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</si>
  <si>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</si>
  <si>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</si>
  <si>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</si>
  <si>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</si>
  <si>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</si>
  <si>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</si>
  <si>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</si>
  <si>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</si>
  <si>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</si>
  <si>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</si>
  <si>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</si>
  <si>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</si>
  <si>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</si>
  <si>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</si>
  <si>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</si>
  <si>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</si>
  <si>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</si>
  <si>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</si>
  <si>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</si>
  <si>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</si>
  <si>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</si>
  <si>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</si>
  <si>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</si>
  <si>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</si>
  <si>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</si>
  <si>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</si>
  <si>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</si>
  <si>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</si>
  <si>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</si>
  <si>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</si>
  <si>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</si>
  <si>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</si>
  <si>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</si>
  <si>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</si>
  <si>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</si>
  <si>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</si>
  <si>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</si>
  <si>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</si>
  <si>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</si>
  <si>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</si>
  <si>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</si>
  <si>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</si>
  <si>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</si>
  <si>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</si>
  <si>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</si>
  <si>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</si>
  <si>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</si>
  <si>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</si>
  <si>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</si>
  <si>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</si>
  <si>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</si>
  <si>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</si>
  <si>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</si>
  <si>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</si>
  <si>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</si>
  <si>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</si>
  <si>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</si>
  <si>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</si>
  <si>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</si>
  <si>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</si>
  <si>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</si>
  <si>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</si>
  <si>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</si>
  <si>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</si>
  <si>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</si>
  <si>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</si>
  <si>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</si>
  <si>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</si>
  <si>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</si>
  <si>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</si>
  <si>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</si>
  <si>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</si>
  <si>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</si>
  <si>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</si>
  <si>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</si>
  <si>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</si>
  <si>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</si>
  <si>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</si>
  <si>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</si>
  <si>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</si>
  <si>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</si>
  <si>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</si>
  <si>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</si>
  <si>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</si>
  <si>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</si>
  <si>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</si>
  <si>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</si>
  <si>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</si>
  <si>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</si>
  <si>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</si>
  <si>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</si>
  <si>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</si>
  <si>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</si>
  <si>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</si>
  <si>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</si>
  <si>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</si>
  <si>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</si>
  <si>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</si>
  <si>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</si>
  <si>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</si>
  <si>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</si>
  <si>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</si>
  <si>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</si>
  <si>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</si>
  <si>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</si>
  <si>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</si>
  <si>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</si>
  <si>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</si>
  <si>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</si>
  <si>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</si>
  <si>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</si>
  <si>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</si>
  <si>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</si>
  <si>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</si>
  <si>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</si>
  <si>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</si>
  <si>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</si>
  <si>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</si>
  <si>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</si>
  <si>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</si>
  <si>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</si>
  <si>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</si>
  <si>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</si>
  <si>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</si>
  <si>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</si>
  <si>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</si>
  <si>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</si>
  <si>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</si>
  <si>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</si>
  <si>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</si>
  <si>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</si>
  <si>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</si>
  <si>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</si>
  <si>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</si>
  <si>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</si>
  <si>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</si>
  <si>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</si>
  <si>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</si>
  <si>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</si>
  <si>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</si>
  <si>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</si>
  <si>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</si>
  <si>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</si>
  <si>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</si>
  <si>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</si>
  <si>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</si>
  <si>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</si>
  <si>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</si>
  <si>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</si>
  <si>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</si>
  <si>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</si>
  <si>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</si>
  <si>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</si>
  <si>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</si>
  <si>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</si>
  <si>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</si>
  <si>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</si>
  <si>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</si>
  <si>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</si>
  <si>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</si>
  <si>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</si>
  <si>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</si>
  <si>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</si>
  <si>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</si>
  <si>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</si>
  <si>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</si>
  <si>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</si>
  <si>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</si>
  <si>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</si>
  <si>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</si>
  <si>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</si>
  <si>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</si>
  <si>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</si>
  <si>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</si>
  <si>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</si>
  <si>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</si>
  <si>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</si>
  <si>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</si>
  <si>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</si>
  <si>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</si>
  <si>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</si>
  <si>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</si>
  <si>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</si>
  <si>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</si>
  <si>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</si>
  <si>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</si>
  <si>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</si>
  <si>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</si>
  <si>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</si>
  <si>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</si>
  <si>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</si>
  <si>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</si>
  <si>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</si>
  <si>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</si>
  <si>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</si>
  <si>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</si>
  <si>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</si>
  <si>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</si>
  <si>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</si>
  <si>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</si>
  <si>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</si>
  <si>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</si>
  <si>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</si>
  <si>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</si>
  <si>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</si>
  <si>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</si>
  <si>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</si>
  <si>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</si>
  <si>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</si>
  <si>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</si>
  <si>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</si>
  <si>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</si>
  <si>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</si>
  <si>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</si>
  <si>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</si>
  <si>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</si>
  <si>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</si>
  <si>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</si>
  <si>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</si>
  <si>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</si>
  <si>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</si>
  <si>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</si>
  <si>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</si>
  <si>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</si>
  <si>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</si>
  <si>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</si>
  <si>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</si>
  <si>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</si>
  <si>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</si>
  <si>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</si>
  <si>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</si>
  <si>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</si>
  <si>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</si>
  <si>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</si>
  <si>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</si>
  <si>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</si>
  <si>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</si>
  <si>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</si>
  <si>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</si>
  <si>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</si>
  <si>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</si>
  <si>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</si>
  <si>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</si>
  <si>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</si>
  <si>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</si>
  <si>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</si>
  <si>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</si>
  <si>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</si>
  <si>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</si>
  <si>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</si>
  <si>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</si>
  <si>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</si>
  <si>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</si>
  <si>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</si>
  <si>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</si>
  <si>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</si>
  <si>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</si>
  <si>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</si>
  <si>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</si>
  <si>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</si>
  <si>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</si>
  <si>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</si>
  <si>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</si>
  <si>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</si>
  <si>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</si>
  <si>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</si>
  <si>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</si>
  <si>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</si>
  <si>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</si>
  <si>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</si>
  <si>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</si>
  <si>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</si>
  <si>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</si>
  <si>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</si>
  <si>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</si>
  <si>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</si>
  <si>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</si>
  <si>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</si>
  <si>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</si>
  <si>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</si>
  <si>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</si>
  <si>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</si>
  <si>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</si>
  <si>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</si>
  <si>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</si>
  <si>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</si>
  <si>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</si>
  <si>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</si>
  <si>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</si>
  <si>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</si>
  <si>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</si>
  <si>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</si>
  <si>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</si>
  <si>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</si>
  <si>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</si>
  <si>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</si>
  <si>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</si>
  <si>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</si>
  <si>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</si>
  <si>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</si>
  <si>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</si>
  <si>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</si>
  <si>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</si>
  <si>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</si>
  <si>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</si>
  <si>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</si>
  <si>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</si>
  <si>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</si>
  <si>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</si>
  <si>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</si>
  <si>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</si>
  <si>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</si>
  <si>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</si>
  <si>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</si>
  <si>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</si>
  <si>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</si>
  <si>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</si>
  <si>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</si>
  <si>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</si>
  <si>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</si>
  <si>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</si>
  <si>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</si>
  <si>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</si>
  <si>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</si>
  <si>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</si>
  <si>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</si>
  <si>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</si>
  <si>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</si>
  <si>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</si>
  <si>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</si>
  <si>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</si>
  <si>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</si>
  <si>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</si>
  <si>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</si>
  <si>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</si>
  <si>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</si>
  <si>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</si>
  <si>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</si>
  <si>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</si>
  <si>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</si>
  <si>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</si>
  <si>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</si>
  <si>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</si>
  <si>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</si>
  <si>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</si>
  <si>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</si>
  <si>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</si>
  <si>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</si>
  <si>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</si>
  <si>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</si>
  <si>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</si>
  <si>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</si>
  <si>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</si>
  <si>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</si>
  <si>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</si>
  <si>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</si>
  <si>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</si>
  <si>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</si>
  <si>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</si>
  <si>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</si>
  <si>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</si>
  <si>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</si>
  <si>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</si>
  <si>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</si>
  <si>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</si>
  <si>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</si>
  <si>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</si>
  <si>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</si>
  <si>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</si>
  <si>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</si>
  <si>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</si>
  <si>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</si>
  <si>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</si>
  <si>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</si>
  <si>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</si>
  <si>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</si>
  <si>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</si>
  <si>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</si>
  <si>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</si>
  <si>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</si>
  <si>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</si>
  <si>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</si>
  <si>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</si>
  <si>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</si>
  <si>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</si>
  <si>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</si>
  <si>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</si>
  <si>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</si>
  <si>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</si>
  <si>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</si>
  <si>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</si>
  <si>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</si>
  <si>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</si>
  <si>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</si>
  <si>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</si>
  <si>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</si>
  <si>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</si>
  <si>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</si>
  <si>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</si>
  <si>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</si>
  <si>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</si>
  <si>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</si>
  <si>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</si>
  <si>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</si>
  <si>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</si>
  <si>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</si>
  <si>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</si>
  <si>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</si>
  <si>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</si>
  <si>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</si>
  <si>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</si>
  <si>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</si>
  <si>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</si>
  <si>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</si>
  <si>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</si>
  <si>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</si>
  <si>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</si>
  <si>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</si>
  <si>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</si>
  <si>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</si>
  <si>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</si>
  <si>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</si>
  <si>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</si>
  <si>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</si>
  <si>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</si>
  <si>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</si>
  <si>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</si>
  <si>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</si>
  <si>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</si>
  <si>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</si>
  <si>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</si>
  <si>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</si>
  <si>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</si>
  <si>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</si>
  <si>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</si>
  <si>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</si>
  <si>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</si>
  <si>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</si>
  <si>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</si>
  <si>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</si>
  <si>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</si>
  <si>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</si>
  <si>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</si>
  <si>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</si>
  <si>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</si>
  <si>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</si>
  <si>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</si>
  <si>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</si>
  <si>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</si>
  <si>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</si>
  <si>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</si>
  <si>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</si>
  <si>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</si>
  <si>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</si>
  <si>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</si>
  <si>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</si>
  <si>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</si>
  <si>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</si>
  <si>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</si>
  <si>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</si>
  <si>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</si>
  <si>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</si>
  <si>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</si>
  <si>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</si>
  <si>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</si>
  <si>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</si>
  <si>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</si>
  <si>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</si>
  <si>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</si>
  <si>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</si>
  <si>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</si>
  <si>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</si>
  <si>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</si>
  <si>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</si>
  <si>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</si>
  <si>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</si>
  <si>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</si>
  <si>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</si>
  <si>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</si>
  <si>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</si>
  <si>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</si>
  <si>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</si>
  <si>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</si>
  <si>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</si>
  <si>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</si>
  <si>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</si>
  <si>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</si>
  <si>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</si>
  <si>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</si>
  <si>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</si>
  <si>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</si>
  <si>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</si>
  <si>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</si>
  <si>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</si>
  <si>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</si>
  <si>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</si>
  <si>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</si>
  <si>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</si>
  <si>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</si>
  <si>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</si>
  <si>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</si>
  <si>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</si>
  <si>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</si>
  <si>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</si>
  <si>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</si>
  <si>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</si>
  <si>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</si>
  <si>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</si>
  <si>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</si>
  <si>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</si>
  <si>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</si>
  <si>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</si>
  <si>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</si>
  <si>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</si>
  <si>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</si>
  <si>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</si>
  <si>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</si>
  <si>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</si>
  <si>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</si>
  <si>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</si>
  <si>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</si>
  <si>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</si>
  <si>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</si>
  <si>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</si>
  <si>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</si>
  <si>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</si>
  <si>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</si>
  <si>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</si>
  <si>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</si>
  <si>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</si>
  <si>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</si>
  <si>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</si>
  <si>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</si>
  <si>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</si>
  <si>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</si>
  <si>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</si>
  <si>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</si>
  <si>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</si>
  <si>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</si>
  <si>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</si>
  <si>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</si>
  <si>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</si>
  <si>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</si>
  <si>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</si>
  <si>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</si>
  <si>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</si>
  <si>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</si>
  <si>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</si>
  <si>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</si>
  <si>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</si>
  <si>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</si>
  <si>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</si>
  <si>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</si>
  <si>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</si>
  <si>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</si>
  <si>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</si>
  <si>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</si>
  <si>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</si>
  <si>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</si>
  <si>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</si>
  <si>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</si>
  <si>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</si>
  <si>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</si>
  <si>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</si>
  <si>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</si>
  <si>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</si>
  <si>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</si>
  <si>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</si>
  <si>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</si>
  <si>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</si>
  <si>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</si>
  <si>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</si>
  <si>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</si>
  <si>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</si>
  <si>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</si>
  <si>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</si>
  <si>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</si>
  <si>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</si>
  <si>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</si>
  <si>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</si>
  <si>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</si>
  <si>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</si>
  <si>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</si>
  <si>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</si>
  <si>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</si>
  <si>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</si>
  <si>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</si>
  <si>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</si>
  <si>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</si>
  <si>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</si>
  <si>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</si>
  <si>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</si>
  <si>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</si>
  <si>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</si>
  <si>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</si>
  <si>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</si>
  <si>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</si>
  <si>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</si>
  <si>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</si>
  <si>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</si>
  <si>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</si>
  <si>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</si>
  <si>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</si>
  <si>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</si>
  <si>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</si>
  <si>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</si>
  <si>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</si>
  <si>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</si>
  <si>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</si>
  <si>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</si>
  <si>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</si>
  <si>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</si>
  <si>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</si>
  <si>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</si>
  <si>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</si>
  <si>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</si>
  <si>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</si>
  <si>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</si>
  <si>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</si>
  <si>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</si>
  <si>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</si>
  <si>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</si>
  <si>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</si>
  <si>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</si>
  <si>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</si>
  <si>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</si>
  <si>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</si>
  <si>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</si>
  <si>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</si>
  <si>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</si>
  <si>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</si>
  <si>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</si>
  <si>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</si>
  <si>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</si>
  <si>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</si>
  <si>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</si>
  <si>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</si>
  <si>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</si>
  <si>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</si>
  <si>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</si>
  <si>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</si>
  <si>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</si>
  <si>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</si>
  <si>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</si>
  <si>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</si>
  <si>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</si>
  <si>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</si>
  <si>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</si>
  <si>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</si>
  <si>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</si>
  <si>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</si>
  <si>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</si>
  <si>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</si>
  <si>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</si>
  <si>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</si>
  <si>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</si>
  <si>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</si>
  <si>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</si>
  <si>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</si>
  <si>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</si>
  <si>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</si>
  <si>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</si>
  <si>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</si>
  <si>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</si>
  <si>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</si>
  <si>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</si>
  <si>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</si>
  <si>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</si>
  <si>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</si>
  <si>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</si>
  <si>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</si>
  <si>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</si>
  <si>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</si>
  <si>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</si>
  <si>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</si>
  <si>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</si>
  <si>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</si>
  <si>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</si>
  <si>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</si>
  <si>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</si>
  <si>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</si>
  <si>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</si>
  <si>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</si>
  <si>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</si>
  <si>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</si>
  <si>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</si>
  <si>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</si>
  <si>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</si>
  <si>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</si>
  <si>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</si>
  <si>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</si>
  <si>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</si>
  <si>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</si>
  <si>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</si>
  <si>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</si>
  <si>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</si>
  <si>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</si>
  <si>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</si>
  <si>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</si>
  <si>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</si>
  <si>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</si>
  <si>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</si>
  <si>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</si>
  <si>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</si>
  <si>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</si>
  <si>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</si>
  <si>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</si>
  <si>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</si>
  <si>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</si>
  <si>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</si>
  <si>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</si>
  <si>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</si>
  <si>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</si>
  <si>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</si>
  <si>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</si>
  <si>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</si>
  <si>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</si>
  <si>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</si>
  <si>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</si>
  <si>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</si>
  <si>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</si>
  <si>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</si>
  <si>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</si>
  <si>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</si>
  <si>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</si>
  <si>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</si>
  <si>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</si>
  <si>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</si>
  <si>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</si>
  <si>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</si>
  <si>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</si>
  <si>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</si>
  <si>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</si>
  <si>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</si>
  <si>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</si>
  <si>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</si>
  <si>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</si>
  <si>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</si>
  <si>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</si>
  <si>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</si>
  <si>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</si>
  <si>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</si>
  <si>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</si>
  <si>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</si>
  <si>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</si>
  <si>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</si>
  <si>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</si>
  <si>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</si>
  <si>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</si>
  <si>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</si>
  <si>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</si>
  <si>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</si>
  <si>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</si>
  <si>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</si>
  <si>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</si>
  <si>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</si>
  <si>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</si>
  <si>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</si>
  <si>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</si>
  <si>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</si>
  <si>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</si>
  <si>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</si>
  <si>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</si>
  <si>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</si>
  <si>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</si>
  <si>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</si>
  <si>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</si>
  <si>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</si>
  <si>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</si>
  <si>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</si>
  <si>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</si>
  <si>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</si>
  <si>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</si>
  <si>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</si>
  <si>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</si>
  <si>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</si>
  <si>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</si>
  <si>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</si>
  <si>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</si>
  <si>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</si>
  <si>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</si>
  <si>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</si>
  <si>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</si>
  <si>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</si>
  <si>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</si>
  <si>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</si>
  <si>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</si>
  <si>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</si>
  <si>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</si>
  <si>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</si>
  <si>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</si>
  <si>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</si>
  <si>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</si>
  <si>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</si>
  <si>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</si>
  <si>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</si>
  <si>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</si>
  <si>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</si>
  <si>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</si>
  <si>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</si>
  <si>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</si>
  <si>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</si>
  <si>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</si>
  <si>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</si>
  <si>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</si>
  <si>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</si>
  <si>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</si>
  <si>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</si>
  <si>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</si>
  <si>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</si>
  <si>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</si>
  <si>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</si>
  <si>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</si>
  <si>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</si>
  <si>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</si>
  <si>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</si>
  <si>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</si>
  <si>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</si>
  <si>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</si>
  <si>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</si>
  <si>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</si>
  <si>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</si>
  <si>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</si>
  <si>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</si>
  <si>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</si>
  <si>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</si>
  <si>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</si>
  <si>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</si>
  <si>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</si>
  <si>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</si>
  <si>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</si>
  <si>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</si>
  <si>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</si>
  <si>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</si>
  <si>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</si>
  <si>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</si>
  <si>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</si>
  <si>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</si>
  <si>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</si>
  <si>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</si>
  <si>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</si>
  <si>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</si>
  <si>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</si>
  <si>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</si>
  <si>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</si>
  <si>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</si>
  <si>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</si>
  <si>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</si>
  <si>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</si>
  <si>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</si>
  <si>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</si>
  <si>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</si>
  <si>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</si>
  <si>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</si>
  <si>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</si>
  <si>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</si>
  <si>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</si>
  <si>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</si>
  <si>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</si>
  <si>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</si>
  <si>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</si>
  <si>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</si>
  <si>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</si>
  <si>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</si>
  <si>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</si>
  <si>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</si>
  <si>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</si>
  <si>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</si>
  <si>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</si>
  <si>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</si>
  <si>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</si>
  <si>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</si>
  <si>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</si>
  <si>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</si>
  <si>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</si>
  <si>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</si>
  <si>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</si>
  <si>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</si>
  <si>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</si>
  <si>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</si>
  <si>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</si>
  <si>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</si>
  <si>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</si>
  <si>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</si>
  <si>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</si>
  <si>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</si>
  <si>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</si>
  <si>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</si>
  <si>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</si>
  <si>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</si>
  <si>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</si>
  <si>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</si>
  <si>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</si>
  <si>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</si>
  <si>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</si>
  <si>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</si>
  <si>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</si>
  <si>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</si>
  <si>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</si>
  <si>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</si>
  <si>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</si>
  <si>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</si>
  <si>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</si>
  <si>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</si>
  <si>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</si>
  <si>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</si>
  <si>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</si>
  <si>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</si>
  <si>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</si>
  <si>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</si>
  <si>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</si>
  <si>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</si>
  <si>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</si>
  <si>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</si>
  <si>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</si>
  <si>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</si>
  <si>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</si>
  <si>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</si>
  <si>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</si>
  <si>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</si>
  <si>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</si>
  <si>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</si>
  <si>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</si>
  <si>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</si>
  <si>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</si>
  <si>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</si>
  <si>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</si>
  <si>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</si>
  <si>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</si>
  <si>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</si>
  <si>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</si>
  <si>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</si>
  <si>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</si>
  <si>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</si>
  <si>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</si>
  <si>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</si>
  <si>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</si>
  <si>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</si>
  <si>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</si>
  <si>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</si>
  <si>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</si>
  <si>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</si>
  <si>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</si>
  <si>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</si>
  <si>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</si>
  <si>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</si>
  <si>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</si>
  <si>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</si>
  <si>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</si>
  <si>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</si>
  <si>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</si>
  <si>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</si>
  <si>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</si>
  <si>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</si>
  <si>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</si>
  <si>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</si>
  <si>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</si>
  <si>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</si>
  <si>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</si>
  <si>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</si>
  <si>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</si>
  <si>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</si>
  <si>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</si>
  <si>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</si>
  <si>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</si>
  <si>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</si>
  <si>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</si>
  <si>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</si>
  <si>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</si>
  <si>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</si>
  <si>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</si>
  <si>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</si>
  <si>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</si>
  <si>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</si>
  <si>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</si>
  <si>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</si>
  <si>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</si>
  <si>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</si>
  <si>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</si>
  <si>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</si>
  <si>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</si>
  <si>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</si>
  <si>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</si>
  <si>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</si>
  <si>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</si>
  <si>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</si>
  <si>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</si>
  <si>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</si>
  <si>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</si>
  <si>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</si>
  <si>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</si>
  <si>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</si>
  <si>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</si>
  <si>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</si>
  <si>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</si>
  <si>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</si>
  <si>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</si>
  <si>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</si>
  <si>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</si>
  <si>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</si>
  <si>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</si>
  <si>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</si>
  <si>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</si>
  <si>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</si>
  <si>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</si>
  <si>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</si>
  <si>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</si>
  <si>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</si>
  <si>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</si>
  <si>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</si>
  <si>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</si>
  <si>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</si>
  <si>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</si>
  <si>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</si>
  <si>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</si>
  <si>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</si>
  <si>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</si>
  <si>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</si>
  <si>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</si>
  <si>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</si>
  <si>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</si>
  <si>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</si>
  <si>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</si>
  <si>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</si>
  <si>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</si>
  <si>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</si>
  <si>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</si>
  <si>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</si>
  <si>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</si>
  <si>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</si>
  <si>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</si>
  <si>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</si>
  <si>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</si>
  <si>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</si>
  <si>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</si>
  <si>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</si>
  <si>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</si>
  <si>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</si>
  <si>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</si>
  <si>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</si>
  <si>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</si>
  <si>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</si>
  <si>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</si>
  <si>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</si>
  <si>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</si>
  <si>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</si>
  <si>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</si>
  <si>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</si>
  <si>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</si>
  <si>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</si>
  <si>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</si>
  <si>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</si>
  <si>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</si>
  <si>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</si>
  <si>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</si>
  <si>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</si>
  <si>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</si>
  <si>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</si>
  <si>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</si>
  <si>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</si>
  <si>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</si>
  <si>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</si>
  <si>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</si>
  <si>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</si>
  <si>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</si>
  <si>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</si>
  <si>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</si>
  <si>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</si>
  <si>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</si>
  <si>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</si>
  <si>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</si>
  <si>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</si>
  <si>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</si>
  <si>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</si>
  <si>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</si>
  <si>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</si>
  <si>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</si>
  <si>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</si>
  <si>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</si>
  <si>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</si>
  <si>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</si>
  <si>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</si>
  <si>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</si>
  <si>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</si>
  <si>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</si>
  <si>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</si>
  <si>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</si>
  <si>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</si>
  <si>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</si>
  <si>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</si>
  <si>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</si>
  <si>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</si>
  <si>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</si>
  <si>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</si>
  <si>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</si>
  <si>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</si>
  <si>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</si>
  <si>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</si>
  <si>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</si>
  <si>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</si>
  <si>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</si>
  <si>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</si>
  <si>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</si>
  <si>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</si>
  <si>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</si>
  <si>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</si>
  <si>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</si>
  <si>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</si>
  <si>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</si>
  <si>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</si>
  <si>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</si>
  <si>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</si>
  <si>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</si>
  <si>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</si>
  <si>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</si>
  <si>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</si>
  <si>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</si>
  <si>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</si>
  <si>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</si>
  <si>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</si>
  <si>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</si>
  <si>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</si>
  <si>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</si>
  <si>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</si>
  <si>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</si>
  <si>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</si>
  <si>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</si>
  <si>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</si>
  <si>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</si>
  <si>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</si>
  <si>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</si>
  <si>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</si>
  <si>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</si>
  <si>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</si>
  <si>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</si>
  <si>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</si>
  <si>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</si>
  <si>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</si>
  <si>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</si>
  <si>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</si>
  <si>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</si>
  <si>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</si>
  <si>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</si>
  <si>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</si>
  <si>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</si>
  <si>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</si>
  <si>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</si>
  <si>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</si>
  <si>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</si>
  <si>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</si>
  <si>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</si>
  <si>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</si>
  <si>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</si>
  <si>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</si>
  <si>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</si>
  <si>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</si>
  <si>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</si>
  <si>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</si>
  <si>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</si>
  <si>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</si>
  <si>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</si>
  <si>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</si>
  <si>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</si>
  <si>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</si>
  <si>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</si>
  <si>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</si>
  <si>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</si>
  <si>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</si>
  <si>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</si>
  <si>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</si>
  <si>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</si>
  <si>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</si>
  <si>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</si>
  <si>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</si>
  <si>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</si>
  <si>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</si>
  <si>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</si>
  <si>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</si>
  <si>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</si>
  <si>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</si>
  <si>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</si>
  <si>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</si>
  <si>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</si>
  <si>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</si>
  <si>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</si>
  <si>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</si>
  <si>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</si>
  <si>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</si>
  <si>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</si>
  <si>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</si>
  <si>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</si>
  <si>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</si>
  <si>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</si>
  <si>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</si>
  <si>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</si>
  <si>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</si>
  <si>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</si>
  <si>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</si>
  <si>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</si>
  <si>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</si>
  <si>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</si>
  <si>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</si>
  <si>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</si>
  <si>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</si>
  <si>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</si>
  <si>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</si>
  <si>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</si>
  <si>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</si>
  <si>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</si>
  <si>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</si>
  <si>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</si>
  <si>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</si>
  <si>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</si>
  <si>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</si>
  <si>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</si>
  <si>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</si>
  <si>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</si>
  <si>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</si>
  <si>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</si>
  <si>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</si>
  <si>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</si>
  <si>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</si>
  <si>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</si>
  <si>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</si>
  <si>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</si>
  <si>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</si>
  <si>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</si>
  <si>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</si>
  <si>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</si>
  <si>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</si>
  <si>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</si>
  <si>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</si>
  <si>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</si>
  <si>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</si>
  <si>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</si>
  <si>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</si>
  <si>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</si>
  <si>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</si>
  <si>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</si>
  <si>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</si>
  <si>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</si>
  <si>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</si>
  <si>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</si>
  <si>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</si>
  <si>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</si>
  <si>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</si>
  <si>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</si>
  <si>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</si>
  <si>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</si>
  <si>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</si>
  <si>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</si>
  <si>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</si>
  <si>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</si>
  <si>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</si>
  <si>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</si>
  <si>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</si>
  <si>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</si>
  <si>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</si>
  <si>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</si>
  <si>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</si>
  <si>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</si>
  <si>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</si>
  <si>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</si>
  <si>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</si>
  <si>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</si>
  <si>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</si>
  <si>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</si>
  <si>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</si>
  <si>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</si>
  <si>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</si>
  <si>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</si>
  <si>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</si>
  <si>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</si>
  <si>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</si>
  <si>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</si>
  <si>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</si>
  <si>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</si>
  <si>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</si>
  <si>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</si>
  <si>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</si>
  <si>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</si>
  <si>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</si>
  <si>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</si>
  <si>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</si>
  <si>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</si>
  <si>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</si>
  <si>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</si>
  <si>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</si>
  <si>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</si>
  <si>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</si>
  <si>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</si>
  <si>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</si>
  <si>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</si>
  <si>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</si>
  <si>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</si>
  <si>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</si>
  <si>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</si>
  <si>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</si>
  <si>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</si>
  <si>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</si>
  <si>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</si>
  <si>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</si>
  <si>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</si>
  <si>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</si>
  <si>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</si>
  <si>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</si>
  <si>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</si>
  <si>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</si>
  <si>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</si>
  <si>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</si>
  <si>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</si>
  <si>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</si>
  <si>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</si>
  <si>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</si>
  <si>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</si>
  <si>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</si>
  <si>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</si>
  <si>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</si>
  <si>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</si>
  <si>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</si>
  <si>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</si>
  <si>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</si>
  <si>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</si>
  <si>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</si>
  <si>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</si>
  <si>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</si>
  <si>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</si>
  <si>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</si>
  <si>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</si>
  <si>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</si>
  <si>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</si>
  <si>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</si>
  <si>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</si>
  <si>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</si>
  <si>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</si>
  <si>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</si>
  <si>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</si>
  <si>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</si>
  <si>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</si>
  <si>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</si>
  <si>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</si>
  <si>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</si>
  <si>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</si>
  <si>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</si>
  <si>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</si>
  <si>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</si>
  <si>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</si>
  <si>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</si>
  <si>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</si>
  <si>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</si>
  <si>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</si>
  <si>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</si>
  <si>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</si>
  <si>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</si>
  <si>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</si>
  <si>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</si>
  <si>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</si>
  <si>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</si>
  <si>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</si>
  <si>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</si>
  <si>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</si>
  <si>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</si>
  <si>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</si>
  <si>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</si>
  <si>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</si>
  <si>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</si>
  <si>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</si>
  <si>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</si>
  <si>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</si>
  <si>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</si>
  <si>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</si>
  <si>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</si>
  <si>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</si>
  <si>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</si>
  <si>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</si>
  <si>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</si>
  <si>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</si>
  <si>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</si>
  <si>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</si>
  <si>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</si>
  <si>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</si>
  <si>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</si>
  <si>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</si>
  <si>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</si>
  <si>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</si>
  <si>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</si>
  <si>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</si>
  <si>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</si>
  <si>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</si>
  <si>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</si>
  <si>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</si>
  <si>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</si>
  <si>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</si>
  <si>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</si>
  <si>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</si>
  <si>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</si>
  <si>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</si>
  <si>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</si>
  <si>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</si>
  <si>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</si>
  <si>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</si>
  <si>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</si>
  <si>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</si>
  <si>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</si>
  <si>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</si>
  <si>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</si>
  <si>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</si>
  <si>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</si>
  <si>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</si>
  <si>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</si>
  <si>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</si>
  <si>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</si>
  <si>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</si>
  <si>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</si>
  <si>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</si>
  <si>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</si>
  <si>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</si>
  <si>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</si>
  <si>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</si>
  <si>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</si>
  <si>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</si>
  <si>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</si>
  <si>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</si>
  <si>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</si>
  <si>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</si>
  <si>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</si>
  <si>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</si>
  <si>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</si>
  <si>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</si>
  <si>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</si>
  <si>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</si>
  <si>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</si>
  <si>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</si>
  <si>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</si>
  <si>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</si>
  <si>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</si>
  <si>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</si>
  <si>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</si>
  <si>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</si>
  <si>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</si>
  <si>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</si>
  <si>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</si>
  <si>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</si>
  <si>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</si>
  <si>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</si>
  <si>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</si>
  <si>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</si>
  <si>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</si>
  <si>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</si>
  <si>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</si>
  <si>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</si>
  <si>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</si>
  <si>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</si>
  <si>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</si>
  <si>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</si>
  <si>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</si>
  <si>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</si>
  <si>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</si>
  <si>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</si>
  <si>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</si>
  <si>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</si>
  <si>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</si>
  <si>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</si>
  <si>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</si>
  <si>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</si>
  <si>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</si>
  <si>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</si>
  <si>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</si>
  <si>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</si>
  <si>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</si>
  <si>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</si>
  <si>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</si>
  <si>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</si>
  <si>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</si>
  <si>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</si>
  <si>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</si>
  <si>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</si>
  <si>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</si>
  <si>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</si>
  <si>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</si>
  <si>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</si>
  <si>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</si>
  <si>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</si>
  <si>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</si>
  <si>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</si>
  <si>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</si>
  <si>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</si>
  <si>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</si>
  <si>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</si>
  <si>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</si>
  <si>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</si>
  <si>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</si>
  <si>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</si>
  <si>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</si>
  <si>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</si>
  <si>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</si>
  <si>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</si>
  <si>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</si>
  <si>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</si>
  <si>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</si>
  <si>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</si>
  <si>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</si>
  <si>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</si>
  <si>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</si>
  <si>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</si>
  <si>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</si>
  <si>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</si>
  <si>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</si>
  <si>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</si>
  <si>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</si>
  <si>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</si>
  <si>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</si>
  <si>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</si>
  <si>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</si>
  <si>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</si>
  <si>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</si>
  <si>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</si>
  <si>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</si>
  <si>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</si>
  <si>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</si>
  <si>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</si>
  <si>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</si>
  <si>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</si>
  <si>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</si>
  <si>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</si>
  <si>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</si>
  <si>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</si>
  <si>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</si>
  <si>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</si>
  <si>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</si>
  <si>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</si>
  <si>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</si>
  <si>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</si>
  <si>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</si>
  <si>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</si>
  <si>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</si>
  <si>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</si>
  <si>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</si>
  <si>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</si>
  <si>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</si>
  <si>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</si>
  <si>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</si>
  <si>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</si>
  <si>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</si>
  <si>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</si>
  <si>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</si>
  <si>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</si>
  <si>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</si>
  <si>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</si>
  <si>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</si>
  <si>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</si>
  <si>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</si>
  <si>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</si>
  <si>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</si>
  <si>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</si>
  <si>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</si>
  <si>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</si>
  <si>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</si>
  <si>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</si>
  <si>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</si>
  <si>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</si>
  <si>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</si>
  <si>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</si>
  <si>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</si>
  <si>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</si>
  <si>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</si>
  <si>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</si>
  <si>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</si>
  <si>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</si>
  <si>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</si>
  <si>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</si>
  <si>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</si>
  <si>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</si>
  <si>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</si>
  <si>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</si>
  <si>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</si>
  <si>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</si>
  <si>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</si>
  <si>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</si>
  <si>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</si>
  <si>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</si>
  <si>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</si>
  <si>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</si>
  <si>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</si>
  <si>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</si>
  <si>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</si>
  <si>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</si>
  <si>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</si>
  <si>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</si>
  <si>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</si>
  <si>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</si>
  <si>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</si>
  <si>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</si>
  <si>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</si>
  <si>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</si>
  <si>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</si>
  <si>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</si>
  <si>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</si>
  <si>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</si>
  <si>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</si>
  <si>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</si>
  <si>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</si>
  <si>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</si>
  <si>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</si>
  <si>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</si>
  <si>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</si>
  <si>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</si>
  <si>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</si>
  <si>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</si>
  <si>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</si>
  <si>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</si>
  <si>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</si>
  <si>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</si>
  <si>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</si>
  <si>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</si>
  <si>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</si>
  <si>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</si>
  <si>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</si>
  <si>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</si>
  <si>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</si>
  <si>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</si>
  <si>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</si>
  <si>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</si>
  <si>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</si>
  <si>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</si>
  <si>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</si>
  <si>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</si>
  <si>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</si>
  <si>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</si>
  <si>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</si>
  <si>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</si>
  <si>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</si>
  <si>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</si>
  <si>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</si>
  <si>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</si>
  <si>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</si>
  <si>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</si>
  <si>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</si>
  <si>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</si>
  <si>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</si>
  <si>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</si>
  <si>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</si>
  <si>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</si>
  <si>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</si>
  <si>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</si>
  <si>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</si>
  <si>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</si>
  <si>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</si>
  <si>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</si>
  <si>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</si>
  <si>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</si>
  <si>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</si>
  <si>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</si>
  <si>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</si>
  <si>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</si>
  <si>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</si>
  <si>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</si>
  <si>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</si>
  <si>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</si>
  <si>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</si>
  <si>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</si>
  <si>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</si>
  <si>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</si>
  <si>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</si>
  <si>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</si>
  <si>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</si>
  <si>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</si>
  <si>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</si>
  <si>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</si>
  <si>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</si>
  <si>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</si>
  <si>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</si>
  <si>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</si>
  <si>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</si>
  <si>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</si>
  <si>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</si>
  <si>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</si>
  <si>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</si>
  <si>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</si>
  <si>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</si>
  <si>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</si>
  <si>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</si>
  <si>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</si>
  <si>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</si>
  <si>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</si>
  <si>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</si>
  <si>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</si>
  <si>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</si>
  <si>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</si>
  <si>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</si>
  <si>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</si>
  <si>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</si>
  <si>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</si>
  <si>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</si>
  <si>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</si>
  <si>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</si>
  <si>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</si>
  <si>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</si>
  <si>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</si>
  <si>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</si>
  <si>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</si>
  <si>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</si>
  <si>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</si>
  <si>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</si>
  <si>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</si>
  <si>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</si>
  <si>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</si>
  <si>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</si>
  <si>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</si>
  <si>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</si>
  <si>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</si>
  <si>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</si>
  <si>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</si>
  <si>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</si>
  <si>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</si>
  <si>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</si>
  <si>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</si>
  <si>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</si>
  <si>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</si>
  <si>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</si>
  <si>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</si>
  <si>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</si>
  <si>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</si>
  <si>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</si>
  <si>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</si>
  <si>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</si>
  <si>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</si>
  <si>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</si>
  <si>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</si>
  <si>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</si>
  <si>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</si>
  <si>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</si>
  <si>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</si>
  <si>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</si>
  <si>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</si>
  <si>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</si>
  <si>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</si>
  <si>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</si>
  <si>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</si>
  <si>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</si>
  <si>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</si>
  <si>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</si>
  <si>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</si>
  <si>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</si>
  <si>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</si>
  <si>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</si>
  <si>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</si>
  <si>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</si>
  <si>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</si>
  <si>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</si>
  <si>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</si>
  <si>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</si>
  <si>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</si>
  <si>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</si>
  <si>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</si>
  <si>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</si>
  <si>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</si>
  <si>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</si>
  <si>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</si>
  <si>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</si>
  <si>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</si>
  <si>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</si>
  <si>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</si>
  <si>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</si>
  <si>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</si>
  <si>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</si>
  <si>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</si>
  <si>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</si>
  <si>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</si>
  <si>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</si>
  <si>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</si>
  <si>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</si>
  <si>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</si>
  <si>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</si>
  <si>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</si>
  <si>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</si>
  <si>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</si>
  <si>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</si>
  <si>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</si>
  <si>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</si>
  <si>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</si>
  <si>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</si>
  <si>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</si>
  <si>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</si>
  <si>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</si>
  <si>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</si>
  <si>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</si>
  <si>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</si>
  <si>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</si>
  <si>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</si>
  <si>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</si>
  <si>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</si>
  <si>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</si>
  <si>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</si>
  <si>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</si>
  <si>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</si>
  <si>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</si>
  <si>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</si>
  <si>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</si>
  <si>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</si>
  <si>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</si>
  <si>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</si>
  <si>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</si>
  <si>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</si>
  <si>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</si>
  <si>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</si>
  <si>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</si>
  <si>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</si>
  <si>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</si>
  <si>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</si>
  <si>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</si>
  <si>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</si>
  <si>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</si>
  <si>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</si>
  <si>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</si>
  <si>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</si>
  <si>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</si>
  <si>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</si>
  <si>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</si>
  <si>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</si>
  <si>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</si>
  <si>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</si>
  <si>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</si>
  <si>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</si>
  <si>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</si>
  <si>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</si>
  <si>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</si>
  <si>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</si>
  <si>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</si>
  <si>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</si>
  <si>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</si>
  <si>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</si>
  <si>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</si>
  <si>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</si>
  <si>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</si>
  <si>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</si>
  <si>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</si>
  <si>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</si>
  <si>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</si>
  <si>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</si>
  <si>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</si>
  <si>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</si>
  <si>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</si>
  <si>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</si>
  <si>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</si>
  <si>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</si>
  <si>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</si>
  <si>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</si>
  <si>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</si>
  <si>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</si>
  <si>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</si>
  <si>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</si>
  <si>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</si>
  <si>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</si>
  <si>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</si>
  <si>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</si>
  <si>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</si>
  <si>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</si>
  <si>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</si>
  <si>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</si>
  <si>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</si>
  <si>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</si>
  <si>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</si>
  <si>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</si>
  <si>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</si>
  <si>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</si>
  <si>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</si>
  <si>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</si>
  <si>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</si>
  <si>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</si>
  <si>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</si>
  <si>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</si>
  <si>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</si>
  <si>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</si>
  <si>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</si>
  <si>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</si>
  <si>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</si>
  <si>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</si>
  <si>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</si>
  <si>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</si>
  <si>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</si>
  <si>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</si>
  <si>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</si>
  <si>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</si>
  <si>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</si>
  <si>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</si>
  <si>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</si>
  <si>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</si>
  <si>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</si>
  <si>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</si>
  <si>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</si>
  <si>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</si>
  <si>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</si>
  <si>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</si>
  <si>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</si>
  <si>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</si>
  <si>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</si>
  <si>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</si>
  <si>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</si>
  <si>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</si>
  <si>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</si>
  <si>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</si>
  <si>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</si>
  <si>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</si>
  <si>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</si>
  <si>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</si>
  <si>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</si>
  <si>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</si>
  <si>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</si>
  <si>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</si>
  <si>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</si>
  <si>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</si>
  <si>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</si>
  <si>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</si>
  <si>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</si>
  <si>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</si>
  <si>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</si>
  <si>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</si>
  <si>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</si>
  <si>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</si>
  <si>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</si>
  <si>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</si>
  <si>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</si>
  <si>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</si>
  <si>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</si>
  <si>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</si>
  <si>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</si>
  <si>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</si>
  <si>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</si>
  <si>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</si>
  <si>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</si>
  <si>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</si>
  <si>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</si>
  <si>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</si>
  <si>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</si>
  <si>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</si>
  <si>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</si>
  <si>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</si>
  <si>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</si>
  <si>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</si>
  <si>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</si>
  <si>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</si>
  <si>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</si>
  <si>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</si>
  <si>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</si>
  <si>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</si>
  <si>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</si>
  <si>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</si>
  <si>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</si>
  <si>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</si>
  <si>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</si>
  <si>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</si>
  <si>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</si>
  <si>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</si>
  <si>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</si>
  <si>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</si>
  <si>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</si>
  <si>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</si>
  <si>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</si>
  <si>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</si>
  <si>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</si>
  <si>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</si>
  <si>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</si>
  <si>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</si>
  <si>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</si>
  <si>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</si>
  <si>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</si>
  <si>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</si>
  <si>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</si>
  <si>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</si>
  <si>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</si>
  <si>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</si>
  <si>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</si>
  <si>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</si>
  <si>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</si>
  <si>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</si>
  <si>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</si>
  <si>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</si>
  <si>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</si>
  <si>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</si>
  <si>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</si>
  <si>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</si>
  <si>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</si>
  <si>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</si>
  <si>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</si>
  <si>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</si>
  <si>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</si>
  <si>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</si>
  <si>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</si>
  <si>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</si>
  <si>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</si>
  <si>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</si>
  <si>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</si>
  <si>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</si>
  <si>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</si>
  <si>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</si>
  <si>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</si>
  <si>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</si>
  <si>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</si>
  <si>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</si>
  <si>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</si>
  <si>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</si>
  <si>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</si>
  <si>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</si>
  <si>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</si>
  <si>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</si>
  <si>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</si>
  <si>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</si>
  <si>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</si>
  <si>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</si>
  <si>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</si>
  <si>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</si>
  <si>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</si>
  <si>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</si>
  <si>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</si>
  <si>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</si>
  <si>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</si>
  <si>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</si>
  <si>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</si>
  <si>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</si>
  <si>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</si>
  <si>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</si>
  <si>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</si>
  <si>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</si>
  <si>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</si>
  <si>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</si>
  <si>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</si>
  <si>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</si>
  <si>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</si>
  <si>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</si>
  <si>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</si>
  <si>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</si>
  <si>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</si>
  <si>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</si>
  <si>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</si>
  <si>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</si>
  <si>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</si>
  <si>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</si>
  <si>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</si>
  <si>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</si>
  <si>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</si>
  <si>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</si>
  <si>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</si>
  <si>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</si>
  <si>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</si>
  <si>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</si>
  <si>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</si>
  <si>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</si>
  <si>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</si>
  <si>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</si>
  <si>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</si>
  <si>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</si>
  <si>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</si>
  <si>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</si>
  <si>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</si>
  <si>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</si>
  <si>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</si>
  <si>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</si>
  <si>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</si>
  <si>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</si>
  <si>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</si>
  <si>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</si>
  <si>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</si>
  <si>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</si>
  <si>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</si>
  <si>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</si>
  <si>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</si>
  <si>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</si>
  <si>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</si>
  <si>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</si>
  <si>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</si>
  <si>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</si>
  <si>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</si>
  <si>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</si>
  <si>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</si>
  <si>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</si>
  <si>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</si>
  <si>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</si>
  <si>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</si>
  <si>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</si>
  <si>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</si>
  <si>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</si>
  <si>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</si>
  <si>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</si>
  <si>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</si>
  <si>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</si>
  <si>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</si>
  <si>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</si>
  <si>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</si>
  <si>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</si>
  <si>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</si>
  <si>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</si>
  <si>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</si>
  <si>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</si>
  <si>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</si>
  <si>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</si>
  <si>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</si>
  <si>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</si>
  <si>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</si>
  <si>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</si>
  <si>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</si>
  <si>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</si>
  <si>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</si>
  <si>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</si>
  <si>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</si>
  <si>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</si>
  <si>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</si>
  <si>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</si>
  <si>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</si>
  <si>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</si>
  <si>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</si>
  <si>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</si>
  <si>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</si>
  <si>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</si>
  <si>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</si>
  <si>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</si>
  <si>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</si>
  <si>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</si>
  <si>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</si>
  <si>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</si>
  <si>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</si>
  <si>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</si>
  <si>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</si>
  <si>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</si>
  <si>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</si>
  <si>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</si>
  <si>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</si>
  <si>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</si>
  <si>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</si>
  <si>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</si>
  <si>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</si>
  <si>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</si>
  <si>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</si>
  <si>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</si>
  <si>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</si>
  <si>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</si>
  <si>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</si>
  <si>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</si>
  <si>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</si>
  <si>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</si>
  <si>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</si>
  <si>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</si>
  <si>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</si>
  <si>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</si>
  <si>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</si>
  <si>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</si>
  <si>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</si>
  <si>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</si>
  <si>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</si>
  <si>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</si>
  <si>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</si>
  <si>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</si>
  <si>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</si>
  <si>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</si>
  <si>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</si>
  <si>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</si>
  <si>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</si>
  <si>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</si>
  <si>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</si>
  <si>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</si>
  <si>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</si>
  <si>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</si>
  <si>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</si>
  <si>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</si>
  <si>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</si>
  <si>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</si>
  <si>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</si>
  <si>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</si>
  <si>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</si>
  <si>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</si>
  <si>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</si>
  <si>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</si>
  <si>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</si>
  <si>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</si>
  <si>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</si>
  <si>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</si>
  <si>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</si>
  <si>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</si>
  <si>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</si>
  <si>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</si>
  <si>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</si>
  <si>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</si>
  <si>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</si>
  <si>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</si>
  <si>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</si>
  <si>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</si>
  <si>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</si>
  <si>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</si>
  <si>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</si>
  <si>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</si>
  <si>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</si>
  <si>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</si>
  <si>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</si>
  <si>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</si>
  <si>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</si>
  <si>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</si>
  <si>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</si>
  <si>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</si>
  <si>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</si>
  <si>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</si>
  <si>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</si>
  <si>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</si>
  <si>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</si>
  <si>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</si>
  <si>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</si>
  <si>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</si>
  <si>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</si>
  <si>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</si>
  <si>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</si>
  <si>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</si>
  <si>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</si>
  <si>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</si>
  <si>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</si>
  <si>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</si>
  <si>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</si>
  <si>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</si>
  <si>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</si>
  <si>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</si>
  <si>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</si>
  <si>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</si>
  <si>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</si>
  <si>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</si>
  <si>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</si>
  <si>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</si>
  <si>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</si>
  <si>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</si>
  <si>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</si>
  <si>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</si>
  <si>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</si>
  <si>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</si>
  <si>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</si>
  <si>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</si>
  <si>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</si>
  <si>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</si>
  <si>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</si>
  <si>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</si>
  <si>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</si>
  <si>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</si>
  <si>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</si>
  <si>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</si>
  <si>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</si>
  <si>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</si>
  <si>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</si>
  <si>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</si>
  <si>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</si>
  <si>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</si>
  <si>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</si>
  <si>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</si>
  <si>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</si>
  <si>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</si>
  <si>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</si>
  <si>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</si>
  <si>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</si>
  <si>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</si>
  <si>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</si>
  <si>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</si>
  <si>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</si>
  <si>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</si>
  <si>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</si>
  <si>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</si>
  <si>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</si>
  <si>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</si>
  <si>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</si>
  <si>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</si>
  <si>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</si>
  <si>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</si>
  <si>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</si>
  <si>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</si>
  <si>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</si>
  <si>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</si>
  <si>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</si>
  <si>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</si>
  <si>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</si>
  <si>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</si>
  <si>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</si>
  <si>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</si>
  <si>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</si>
  <si>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</si>
  <si>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</si>
  <si>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</si>
  <si>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</si>
  <si>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</si>
  <si>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</si>
  <si>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</si>
  <si>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</si>
  <si>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</si>
  <si>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</si>
  <si>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</si>
  <si>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</si>
  <si>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</si>
  <si>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</si>
  <si>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</si>
  <si>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</si>
  <si>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</si>
  <si>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</si>
  <si>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</si>
  <si>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</si>
  <si>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</si>
  <si>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</si>
  <si>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</si>
  <si>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</si>
  <si>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</si>
  <si>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</si>
  <si>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</si>
  <si>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</si>
  <si>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</si>
  <si>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</si>
  <si>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</si>
  <si>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</si>
  <si>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</si>
  <si>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</si>
  <si>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</si>
  <si>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</si>
  <si>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</si>
  <si>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</si>
  <si>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</si>
  <si>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</si>
  <si>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</si>
  <si>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</si>
  <si>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</si>
  <si>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</si>
  <si>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</si>
  <si>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</si>
  <si>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</si>
  <si>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</si>
  <si>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</si>
  <si>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</si>
  <si>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</si>
  <si>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</si>
  <si>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</si>
  <si>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</si>
  <si>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</si>
  <si>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</si>
  <si>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</si>
  <si>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</si>
  <si>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</si>
  <si>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</si>
  <si>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</si>
  <si>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</si>
  <si>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</si>
  <si>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</si>
  <si>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</si>
  <si>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</si>
  <si>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</si>
  <si>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</si>
  <si>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</si>
  <si>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</si>
  <si>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</si>
  <si>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</si>
  <si>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</si>
  <si>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</si>
  <si>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</si>
  <si>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</si>
  <si>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</si>
  <si>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</si>
  <si>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</si>
  <si>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</si>
  <si>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</si>
  <si>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</si>
  <si>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</si>
  <si>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</si>
  <si>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</si>
  <si>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</si>
  <si>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</si>
  <si>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</si>
  <si>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</si>
  <si>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</si>
  <si>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</si>
  <si>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</si>
  <si>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</si>
  <si>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</si>
  <si>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</si>
  <si>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</si>
  <si>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</si>
  <si>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</si>
  <si>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</si>
  <si>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</si>
  <si>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</si>
  <si>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</si>
  <si>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</si>
  <si>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</si>
  <si>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</si>
  <si>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</si>
  <si>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</si>
  <si>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</si>
  <si>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</si>
  <si>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</si>
  <si>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</si>
  <si>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</si>
  <si>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</si>
  <si>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</si>
  <si>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</si>
  <si>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</si>
  <si>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</si>
  <si>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</si>
  <si>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</si>
  <si>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</si>
  <si>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</si>
  <si>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</si>
  <si>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</si>
  <si>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</si>
  <si>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</si>
  <si>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</si>
  <si>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</si>
  <si>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</si>
  <si>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</si>
  <si>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</si>
  <si>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</si>
  <si>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</si>
  <si>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</si>
  <si>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</si>
  <si>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</si>
  <si>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</si>
  <si>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</si>
  <si>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</si>
  <si>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</si>
  <si>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</si>
  <si>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</si>
  <si>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</si>
  <si>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</si>
  <si>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</si>
  <si>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</si>
  <si>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</si>
  <si>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</si>
  <si>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</si>
  <si>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</si>
  <si>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</si>
  <si>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</si>
  <si>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</si>
  <si>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</si>
  <si>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</si>
  <si>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</si>
  <si>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</si>
  <si>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</si>
  <si>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</si>
  <si>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</si>
  <si>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</si>
  <si>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</si>
  <si>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</si>
  <si>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</si>
  <si>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</si>
  <si>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</si>
  <si>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</si>
  <si>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</si>
  <si>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</si>
  <si>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</si>
  <si>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</si>
  <si>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</si>
  <si>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</si>
  <si>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</si>
  <si>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</si>
  <si>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</si>
  <si>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</si>
  <si>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</si>
  <si>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</si>
  <si>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</si>
  <si>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</si>
  <si>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</si>
  <si>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</si>
  <si>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</si>
  <si>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</si>
  <si>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</si>
  <si>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</si>
  <si>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</si>
  <si>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</si>
  <si>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</si>
  <si>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</si>
  <si>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</si>
  <si>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</si>
  <si>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</si>
  <si>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</si>
  <si>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</si>
  <si>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</si>
  <si>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</si>
  <si>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</si>
  <si>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</si>
  <si>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</si>
  <si>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</si>
  <si>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</si>
  <si>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</si>
  <si>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</si>
  <si>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</si>
  <si>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</si>
  <si>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</si>
  <si>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</si>
  <si>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</si>
  <si>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</si>
  <si>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</si>
  <si>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</si>
  <si>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</si>
  <si>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</si>
  <si>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</si>
  <si>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</si>
  <si>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</si>
  <si>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</si>
  <si>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</si>
  <si>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</si>
  <si>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</si>
  <si>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</si>
  <si>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</si>
  <si>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</si>
  <si>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</si>
  <si>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</si>
  <si>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</si>
  <si>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</si>
  <si>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</si>
  <si>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</si>
  <si>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</si>
  <si>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</si>
  <si>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</si>
  <si>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</si>
  <si>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</si>
  <si>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</si>
  <si>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</si>
  <si>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</si>
  <si>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</si>
  <si>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</si>
  <si>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</si>
  <si>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</si>
  <si>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</si>
  <si>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</si>
  <si>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</si>
  <si>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</si>
  <si>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</si>
  <si>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</si>
  <si>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</si>
  <si>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</si>
  <si>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</si>
  <si>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</si>
  <si>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</si>
  <si>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</si>
  <si>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</si>
  <si>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</si>
  <si>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</si>
  <si>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</si>
  <si>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</si>
  <si>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</si>
  <si>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</si>
  <si>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</si>
  <si>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</si>
  <si>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</si>
  <si>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</si>
  <si>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</si>
  <si>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</si>
  <si>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</si>
  <si>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</si>
  <si>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</si>
  <si>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</si>
  <si>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</si>
  <si>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</si>
  <si>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</si>
  <si>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</si>
  <si>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</si>
  <si>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</si>
  <si>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</si>
  <si>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</si>
  <si>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</si>
  <si>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</si>
  <si>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</si>
  <si>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</si>
  <si>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</si>
  <si>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</si>
  <si>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</si>
  <si>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</si>
  <si>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</si>
  <si>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</si>
  <si>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</si>
  <si>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</si>
  <si>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</si>
  <si>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</si>
  <si>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</si>
  <si>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</si>
  <si>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</si>
  <si>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</si>
  <si>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</si>
  <si>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</si>
  <si>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</si>
  <si>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</si>
  <si>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</si>
  <si>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</si>
  <si>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</si>
  <si>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</si>
  <si>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</si>
  <si>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</si>
  <si>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</si>
  <si>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</si>
  <si>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</si>
  <si>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</si>
  <si>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</si>
  <si>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</si>
  <si>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</si>
  <si>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</si>
  <si>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</si>
  <si>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</si>
  <si>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</si>
  <si>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</si>
  <si>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</si>
  <si>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</si>
  <si>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</si>
  <si>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</si>
  <si>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</si>
  <si>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</si>
  <si>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</si>
  <si>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</si>
  <si>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</si>
  <si>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</si>
  <si>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</si>
  <si>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</si>
  <si>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</si>
  <si>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</si>
  <si>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</si>
  <si>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</si>
  <si>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</si>
  <si>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</si>
  <si>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</si>
  <si>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</si>
  <si>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</si>
  <si>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</si>
  <si>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</si>
  <si>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</si>
  <si>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</si>
  <si>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</si>
  <si>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</si>
  <si>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</si>
  <si>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</si>
  <si>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</si>
  <si>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</si>
  <si>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</si>
  <si>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</si>
  <si>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</si>
  <si>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</si>
  <si>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</si>
  <si>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</si>
  <si>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</si>
  <si>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</si>
  <si>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</si>
  <si>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</si>
  <si>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</si>
  <si>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</si>
  <si>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</si>
  <si>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</si>
  <si>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</si>
  <si>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</si>
  <si>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</si>
  <si>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</si>
  <si>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</si>
  <si>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</si>
  <si>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</si>
  <si>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</si>
  <si>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</si>
  <si>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</si>
  <si>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</si>
  <si>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</si>
  <si>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</si>
  <si>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</si>
  <si>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</si>
  <si>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</si>
  <si>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</si>
  <si>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</si>
  <si>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</si>
  <si>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</si>
  <si>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</si>
  <si>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</si>
  <si>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</si>
  <si>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</si>
  <si>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</si>
  <si>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</si>
  <si>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</si>
  <si>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</si>
  <si>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</si>
  <si>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</si>
  <si>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</si>
  <si>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</si>
  <si>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</si>
  <si>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</si>
  <si>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</si>
  <si>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</si>
  <si>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</si>
  <si>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</si>
  <si>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</si>
  <si>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</si>
  <si>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</si>
  <si>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</si>
  <si>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</si>
  <si>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</si>
  <si>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</si>
  <si>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</si>
  <si>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</si>
  <si>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</si>
  <si>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</si>
  <si>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</si>
  <si>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</si>
  <si>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</si>
  <si>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</si>
  <si>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</si>
  <si>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</si>
  <si>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</si>
  <si>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</si>
  <si>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</si>
  <si>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</si>
  <si>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</si>
  <si>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</si>
  <si>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</si>
  <si>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</si>
  <si>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</si>
  <si>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</si>
  <si>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</si>
  <si>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</si>
  <si>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</si>
  <si>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</si>
  <si>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</si>
  <si>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</si>
  <si>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</si>
  <si>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</si>
  <si>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</si>
  <si>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</si>
  <si>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</si>
  <si>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</si>
  <si>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</si>
  <si>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</si>
  <si>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</si>
  <si>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</si>
  <si>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</si>
  <si>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</si>
  <si>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</si>
  <si>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</si>
  <si>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</si>
  <si>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</si>
  <si>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</si>
  <si>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</si>
  <si>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</si>
  <si>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</si>
  <si>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</si>
  <si>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</si>
  <si>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</si>
  <si>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</si>
  <si>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</si>
  <si>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</si>
  <si>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</si>
  <si>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</si>
  <si>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</si>
  <si>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</si>
  <si>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</si>
  <si>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</si>
  <si>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</si>
  <si>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</si>
  <si>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</si>
  <si>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</si>
  <si>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</si>
  <si>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</si>
  <si>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</si>
  <si>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</si>
  <si>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</si>
  <si>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</si>
  <si>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</si>
  <si>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</si>
  <si>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</si>
  <si>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</si>
  <si>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</si>
  <si>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</si>
  <si>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</si>
  <si>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</si>
  <si>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</si>
  <si>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</si>
  <si>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</si>
  <si>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</si>
  <si>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</si>
  <si>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</si>
  <si>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</si>
  <si>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</si>
  <si>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</si>
  <si>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</si>
  <si>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</si>
  <si>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</si>
  <si>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</si>
  <si>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</si>
  <si>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</si>
  <si>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</si>
  <si>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</si>
  <si>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</si>
  <si>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</si>
  <si>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</si>
  <si>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</si>
  <si>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</si>
  <si>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</si>
  <si>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</si>
  <si>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</si>
  <si>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</si>
  <si>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</si>
  <si>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</si>
  <si>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</si>
  <si>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</si>
  <si>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</si>
  <si>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</si>
  <si>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</si>
  <si>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</si>
  <si>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</si>
  <si>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</si>
  <si>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</si>
  <si>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</si>
  <si>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</si>
  <si>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</si>
  <si>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</si>
  <si>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</si>
  <si>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</si>
  <si>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</si>
  <si>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</si>
  <si>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</si>
  <si>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</si>
  <si>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</si>
  <si>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</si>
  <si>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</si>
  <si>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</si>
  <si>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</si>
  <si>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</si>
  <si>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</si>
  <si>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</si>
  <si>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</si>
  <si>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</si>
  <si>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</si>
  <si>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</si>
  <si>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</si>
  <si>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</si>
  <si>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</si>
  <si>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</si>
  <si>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</si>
  <si>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装修</t>
    <phoneticPr fontId="3" type="noConversion"/>
  </si>
  <si>
    <t>合计</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</si>
  <si>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</si>
  <si>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</si>
  <si>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</si>
  <si>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</si>
  <si>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</si>
  <si>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</si>
  <si>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</si>
  <si>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</si>
  <si>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</si>
  <si>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</si>
  <si>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</si>
  <si>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</si>
  <si>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</si>
  <si>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</si>
  <si>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</si>
  <si>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</si>
  <si>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</si>
  <si>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</si>
  <si>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</si>
  <si>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</si>
  <si>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</si>
  <si>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</si>
  <si>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</si>
  <si>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</si>
  <si>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</si>
  <si>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</si>
  <si>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</si>
  <si>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</si>
  <si>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</si>
  <si>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</si>
  <si>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</si>
  <si>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</si>
  <si>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</si>
  <si>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</si>
  <si>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</si>
  <si>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</si>
  <si>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</si>
  <si>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</si>
  <si>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</si>
  <si>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</si>
  <si>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</si>
  <si>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</si>
  <si>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</si>
  <si>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</si>
  <si>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</si>
  <si>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</si>
  <si>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</si>
  <si>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</si>
  <si>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</si>
  <si>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</si>
  <si>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</si>
  <si>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</si>
  <si>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</si>
  <si>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</si>
  <si>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</si>
  <si>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</si>
  <si>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</si>
  <si>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</si>
  <si>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</si>
  <si>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</si>
  <si>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</si>
  <si>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</si>
  <si>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</si>
  <si>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</si>
  <si>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</si>
  <si>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</si>
  <si>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</si>
  <si>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</si>
  <si>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</si>
  <si>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</si>
  <si>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</si>
  <si>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</si>
  <si>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</si>
  <si>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</si>
  <si>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</si>
  <si>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</si>
  <si>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</si>
  <si>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</si>
  <si>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</si>
  <si>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</si>
  <si>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</si>
  <si>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</si>
  <si>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</si>
  <si>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</si>
  <si>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</si>
  <si>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</si>
  <si>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</si>
  <si>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</si>
  <si>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</si>
  <si>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</si>
  <si>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</si>
  <si>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</si>
  <si>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</si>
  <si>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</si>
  <si>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</si>
  <si>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</si>
  <si>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</si>
  <si>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</si>
  <si>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</si>
  <si>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</si>
  <si>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</si>
  <si>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</si>
  <si>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</si>
  <si>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</si>
  <si>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</si>
  <si>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</si>
  <si>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</si>
  <si>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</si>
  <si>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</si>
  <si>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</si>
  <si>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</si>
  <si>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</si>
  <si>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</si>
  <si>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</si>
  <si>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</si>
  <si>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</si>
  <si>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</si>
  <si>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</si>
  <si>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</si>
  <si>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</si>
  <si>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</si>
  <si>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</si>
  <si>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</si>
  <si>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</si>
  <si>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</si>
  <si>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</si>
  <si>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</si>
  <si>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</si>
  <si>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</si>
  <si>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</si>
  <si>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</si>
  <si>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</si>
  <si>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</si>
  <si>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</si>
  <si>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</si>
  <si>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</si>
  <si>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</si>
  <si>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</si>
  <si>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</si>
  <si>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</si>
  <si>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</si>
  <si>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</si>
  <si>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</si>
  <si>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</si>
  <si>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</si>
  <si>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</si>
  <si>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</si>
  <si>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</si>
  <si>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</si>
  <si>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</si>
  <si>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</si>
  <si>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</si>
  <si>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</si>
  <si>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</si>
  <si>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</si>
  <si>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</si>
  <si>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</si>
  <si>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</si>
  <si>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</si>
  <si>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</si>
  <si>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</si>
  <si>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</si>
  <si>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</si>
  <si>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</si>
  <si>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</si>
  <si>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</si>
  <si>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</si>
  <si>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</si>
  <si>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</si>
  <si>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</si>
  <si>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</si>
  <si>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</si>
  <si>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</si>
  <si>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</si>
  <si>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</si>
  <si>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</si>
  <si>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</si>
  <si>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</si>
  <si>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</si>
  <si>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</si>
  <si>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</si>
  <si>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</si>
  <si>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</si>
  <si>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</si>
  <si>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</si>
  <si>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</si>
  <si>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</si>
  <si>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</si>
  <si>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</si>
  <si>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</si>
  <si>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</si>
  <si>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</si>
  <si>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</si>
  <si>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</si>
  <si>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</si>
  <si>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</si>
  <si>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</si>
  <si>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</si>
  <si>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</si>
  <si>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</si>
  <si>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</si>
  <si>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</si>
  <si>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</si>
  <si>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</si>
  <si>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</si>
  <si>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</si>
  <si>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</si>
  <si>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</si>
  <si>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</si>
  <si>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</si>
  <si>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</si>
  <si>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</si>
  <si>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</si>
  <si>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</si>
  <si>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</si>
  <si>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</si>
  <si>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</si>
  <si>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</si>
  <si>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</si>
  <si>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</si>
  <si>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</si>
  <si>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</si>
  <si>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</si>
  <si>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</si>
  <si>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</si>
  <si>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</si>
  <si>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</si>
  <si>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</si>
  <si>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</si>
  <si>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</si>
  <si>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</si>
  <si>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</si>
  <si>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</si>
  <si>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</si>
  <si>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</si>
  <si>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</si>
  <si>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</si>
  <si>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</si>
  <si>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</si>
  <si>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</si>
  <si>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</si>
  <si>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</si>
  <si>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</si>
  <si>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</si>
  <si>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</si>
  <si>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</si>
  <si>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</si>
  <si>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</si>
  <si>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</si>
  <si>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</si>
  <si>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</si>
  <si>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</si>
  <si>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</si>
  <si>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</si>
  <si>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</si>
  <si>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</si>
  <si>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</si>
  <si>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</si>
  <si>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</si>
  <si>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</si>
  <si>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</si>
  <si>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</si>
  <si>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</si>
  <si>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</si>
  <si>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</si>
  <si>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</si>
  <si>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</si>
  <si>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</si>
  <si>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</si>
  <si>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</si>
  <si>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</si>
  <si>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</si>
  <si>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</si>
  <si>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</si>
  <si>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</si>
  <si>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</si>
  <si>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</si>
  <si>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</si>
  <si>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</si>
  <si>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</si>
  <si>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</si>
  <si>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</si>
  <si>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</si>
  <si>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</si>
  <si>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</si>
  <si>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</si>
  <si>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</si>
  <si>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</si>
  <si>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</si>
  <si>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</si>
  <si>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</si>
  <si>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</si>
  <si>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</si>
  <si>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</si>
  <si>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</si>
  <si>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</si>
  <si>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</si>
  <si>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</si>
  <si>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</si>
  <si>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</si>
  <si>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</si>
  <si>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</si>
  <si>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</si>
  <si>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</si>
  <si>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</si>
  <si>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</si>
  <si>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</si>
  <si>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</si>
  <si>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</si>
  <si>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</si>
  <si>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</si>
  <si>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</si>
  <si>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</si>
  <si>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</si>
  <si>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</si>
  <si>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</si>
  <si>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</si>
  <si>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</si>
  <si>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</si>
  <si>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</si>
  <si>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</si>
  <si>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</si>
  <si>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</si>
  <si>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</si>
  <si>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</si>
  <si>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</si>
  <si>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</si>
  <si>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</si>
  <si>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</si>
  <si>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</si>
  <si>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</si>
  <si>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</si>
  <si>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</si>
  <si>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</si>
  <si>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</si>
  <si>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</si>
  <si>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</si>
  <si>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</si>
  <si>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</si>
  <si>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</si>
  <si>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</si>
  <si>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</si>
  <si>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</si>
  <si>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</si>
  <si>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</si>
  <si>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</si>
  <si>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</si>
  <si>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</si>
  <si>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</si>
  <si>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</si>
  <si>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</si>
  <si>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</si>
  <si>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</si>
  <si>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</si>
  <si>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</si>
  <si>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</si>
  <si>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</si>
  <si>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</si>
  <si>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</si>
  <si>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</si>
  <si>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</si>
  <si>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</si>
  <si>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</si>
  <si>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</si>
  <si>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</si>
  <si>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</si>
  <si>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</si>
  <si>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</si>
  <si>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</si>
  <si>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</si>
  <si>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</si>
  <si>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</si>
  <si>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</si>
  <si>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</si>
  <si>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</si>
  <si>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</si>
  <si>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</si>
  <si>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</si>
  <si>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</si>
  <si>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</si>
  <si>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</si>
  <si>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</si>
  <si>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</si>
  <si>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</si>
  <si>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</si>
  <si>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</si>
  <si>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</si>
  <si>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</si>
  <si>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</si>
  <si>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</si>
  <si>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</si>
  <si>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</si>
  <si>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</si>
  <si>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</si>
  <si>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</si>
  <si>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</si>
  <si>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</si>
  <si>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</si>
  <si>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</si>
  <si>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</si>
  <si>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</si>
  <si>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</si>
  <si>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</si>
  <si>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</si>
  <si>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</si>
  <si>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</si>
  <si>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</si>
  <si>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</si>
  <si>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</si>
  <si>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</si>
  <si>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</si>
  <si>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</si>
  <si>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</si>
  <si>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</si>
  <si>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</si>
  <si>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</si>
  <si>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</si>
  <si>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</si>
  <si>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</si>
  <si>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</si>
  <si>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</si>
  <si>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</si>
  <si>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</si>
  <si>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</si>
  <si>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</si>
  <si>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</si>
  <si>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</si>
  <si>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</si>
  <si>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</si>
  <si>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</si>
  <si>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</si>
  <si>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</si>
  <si>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</si>
  <si>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</si>
  <si>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</si>
  <si>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</si>
  <si>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</si>
  <si>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</si>
  <si>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</si>
  <si>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</si>
  <si>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</si>
  <si>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</si>
  <si>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</si>
  <si>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</si>
  <si>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</si>
  <si>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</si>
  <si>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</si>
  <si>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</si>
  <si>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</si>
  <si>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</si>
  <si>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</si>
  <si>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</si>
  <si>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</si>
  <si>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</si>
  <si>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</si>
  <si>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</si>
  <si>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</si>
  <si>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</si>
  <si>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</si>
  <si>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</si>
  <si>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</si>
  <si>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</si>
  <si>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</si>
  <si>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</si>
  <si>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</si>
  <si>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</si>
  <si>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</si>
  <si>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</si>
  <si>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</si>
  <si>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</si>
  <si>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</si>
  <si>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</si>
  <si>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</si>
  <si>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</si>
  <si>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</si>
  <si>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</si>
  <si>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</si>
  <si>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</si>
  <si>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</si>
  <si>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</si>
  <si>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</si>
  <si>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</si>
  <si>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</si>
  <si>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</si>
  <si>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</si>
  <si>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</si>
  <si>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</si>
  <si>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</si>
  <si>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</si>
  <si>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</si>
  <si>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</si>
  <si>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</si>
  <si>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</si>
  <si>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</si>
  <si>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</si>
  <si>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</si>
  <si>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</si>
  <si>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</si>
  <si>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</si>
  <si>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</si>
  <si>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</si>
  <si>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</si>
  <si>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</si>
  <si>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</si>
  <si>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</si>
  <si>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</si>
  <si>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</si>
  <si>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</si>
  <si>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</si>
  <si>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</si>
  <si>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</si>
  <si>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</si>
  <si>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畅茜园馥霞里</t>
    <phoneticPr fontId="224" type="noConversion"/>
  </si>
  <si>
    <t>低密度</t>
    <phoneticPr fontId="21" type="noConversion"/>
  </si>
  <si>
    <t>多层</t>
  </si>
  <si>
    <t>多层</t>
    <phoneticPr fontId="21"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</si>
  <si>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</si>
  <si>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</si>
  <si>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</si>
  <si>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</si>
  <si>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</si>
  <si>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</si>
  <si>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</si>
  <si>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</si>
  <si>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</si>
  <si>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</si>
  <si>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</si>
  <si>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</si>
  <si>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</si>
  <si>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t>七通</t>
    <phoneticPr fontId="26" type="noConversion"/>
  </si>
  <si>
    <t>七通</t>
    <phoneticPr fontId="3"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</si>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</sst>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56" fillId="17" borderId="9" xfId="0" applyFont="1" applyFill="1" applyBorder="1" applyAlignment="1" applyProtection="1">
      <alignment horizontal="center" vertical="center" wrapText="1"/>
      <protection locked="0"/>
    </xf>
    <xf numFmtId="0" fontId="256" fillId="17" borderId="5" xfId="0" applyFont="1" applyFill="1" applyBorder="1" applyAlignment="1" applyProtection="1">
      <alignment horizontal="center" vertical="center" wrapText="1"/>
      <protection locked="0"/>
    </xf>
    <xf numFmtId="0" fontId="256" fillId="17" borderId="11" xfId="0" applyFont="1" applyFill="1" applyBorder="1" applyAlignment="1" applyProtection="1">
      <alignment horizontal="center" vertical="center" wrapText="1"/>
      <protection locked="0"/>
    </xf>
    <xf numFmtId="0" fontId="256" fillId="17" borderId="12" xfId="0" applyFont="1" applyFill="1" applyBorder="1" applyAlignment="1" applyProtection="1">
      <alignment horizontal="center" vertical="center" wrapText="1"/>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102960</v>
      </c>
    </row>
    <row r="47" spans="1:2">
      <c r="A47" s="2349" t="s">
        <v>2002</v>
      </c>
      <c r="B47" s="2350">
        <f ca="1">'预评函-2'!Q5</f>
        <v>46091</v>
      </c>
    </row>
    <row r="48" spans="1:2">
      <c r="A48" s="2349" t="s">
        <v>2003</v>
      </c>
      <c r="B48" s="2350">
        <f ca="1">'预评函-2'!R5</f>
        <v>760745</v>
      </c>
    </row>
    <row r="49" spans="1:2">
      <c r="A49" s="2349" t="s">
        <v>2019</v>
      </c>
      <c r="B49" s="2350" t="str">
        <f>'预评函-2'!A6</f>
        <v>——</v>
      </c>
    </row>
    <row r="50" spans="1:2">
      <c r="A50" s="2349" t="s">
        <v>2004</v>
      </c>
      <c r="B50" s="2350">
        <f ca="1">'预评函-2'!R6</f>
        <v>738307</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t="str">
        <f>'预评函-2'!R8</f>
        <v>——</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B4" sqref="B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43" t="str">
        <f>IF(B10="北京市","北京市",C10)&amp;F10&amp;A17&amp;"国有建设用地使用权"&amp;B9&amp;"预评估"</f>
        <v>北京市北京市海淀区双新村棚户区改造项目2603-003-1地块R2二类居住用地出让国有建设用地使用权市场价格预评估</v>
      </c>
      <c r="C1" s="3744"/>
      <c r="D1" s="3744"/>
      <c r="E1" s="3744"/>
      <c r="F1" s="3744"/>
      <c r="G1" s="3744"/>
      <c r="H1" s="3744"/>
      <c r="I1" s="3745"/>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49"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50"/>
      <c r="E9" s="1471" t="s">
        <v>877</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46"/>
      <c r="C12" s="3747"/>
      <c r="D12" s="3748"/>
      <c r="E12" s="1488" t="s">
        <v>1577</v>
      </c>
      <c r="F12" s="3764" t="s">
        <v>2158</v>
      </c>
      <c r="G12" s="3765"/>
      <c r="H12" s="3765"/>
      <c r="I12" s="3766"/>
      <c r="J12" s="2808"/>
      <c r="K12" s="2791"/>
      <c r="L12" s="2787"/>
      <c r="M12" s="2787"/>
      <c r="N12" s="2788"/>
      <c r="O12" s="2789"/>
      <c r="P12" s="2788"/>
      <c r="Q12" s="2788"/>
      <c r="R12" s="2788"/>
      <c r="S12" s="2788"/>
      <c r="T12" s="2788"/>
      <c r="U12" s="2788"/>
    </row>
    <row r="13" spans="1:21">
      <c r="A13" s="1479" t="s">
        <v>1575</v>
      </c>
      <c r="B13" s="3746"/>
      <c r="C13" s="3747"/>
      <c r="D13" s="3748"/>
      <c r="E13" s="1488" t="s">
        <v>1577</v>
      </c>
      <c r="F13" s="3764" t="s">
        <v>2159</v>
      </c>
      <c r="G13" s="3765"/>
      <c r="H13" s="3765"/>
      <c r="I13" s="3766"/>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61"/>
      <c r="E20" s="3762"/>
      <c r="F20" s="3762"/>
      <c r="G20" s="3762"/>
      <c r="H20" s="3762"/>
      <c r="I20" s="3763"/>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51" t="s">
        <v>1514</v>
      </c>
      <c r="F21" s="3752"/>
      <c r="G21" s="3752"/>
      <c r="H21" s="3752"/>
      <c r="I21" s="3753"/>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51" t="s">
        <v>2160</v>
      </c>
      <c r="F22" s="3752"/>
      <c r="G22" s="3752"/>
      <c r="H22" s="3752"/>
      <c r="I22" s="3753"/>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54" t="s">
        <v>1484</v>
      </c>
      <c r="C24" s="3755"/>
      <c r="D24" s="3756" t="s">
        <v>1485</v>
      </c>
      <c r="E24" s="3757"/>
      <c r="F24" s="1496" t="s">
        <v>1486</v>
      </c>
      <c r="G24" s="2808"/>
      <c r="H24" s="2808"/>
      <c r="I24" s="2812"/>
      <c r="J24" s="2808"/>
      <c r="K24" s="3742"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42"/>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42"/>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69" t="s">
        <v>1517</v>
      </c>
      <c r="B31" s="1547" t="s">
        <v>1518</v>
      </c>
      <c r="C31" s="3767" t="s">
        <v>3734</v>
      </c>
      <c r="D31" s="3768"/>
      <c r="E31" s="2808"/>
      <c r="F31" s="2808"/>
      <c r="G31" s="2808"/>
      <c r="H31" s="2808"/>
      <c r="I31" s="2812"/>
      <c r="J31" s="2808"/>
      <c r="K31" s="2794"/>
      <c r="L31" s="2788"/>
      <c r="M31" s="2788"/>
      <c r="N31" s="2788"/>
      <c r="O31" s="2788"/>
      <c r="P31" s="2788"/>
      <c r="Q31" s="2788"/>
      <c r="R31" s="2788"/>
      <c r="S31" s="2788"/>
      <c r="T31" s="2788"/>
      <c r="U31" s="2788"/>
    </row>
    <row r="32" spans="1:21">
      <c r="A32" s="3769"/>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69"/>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70"/>
      <c r="B34" s="1459" t="s">
        <v>1521</v>
      </c>
      <c r="C34" s="3771"/>
      <c r="D34" s="3772"/>
      <c r="E34" s="2808"/>
      <c r="F34" s="2808"/>
      <c r="G34" s="2808"/>
      <c r="H34" s="2808"/>
      <c r="I34" s="2812"/>
      <c r="J34" s="2808"/>
      <c r="K34" s="2794"/>
      <c r="L34" s="2788"/>
      <c r="M34" s="2788"/>
      <c r="N34" s="2788"/>
      <c r="O34" s="2788"/>
      <c r="P34" s="2788"/>
      <c r="Q34" s="2788"/>
      <c r="R34" s="2788"/>
      <c r="S34" s="2788"/>
      <c r="T34" s="2788"/>
      <c r="U34" s="2788"/>
    </row>
    <row r="35" spans="1:28">
      <c r="A35" s="3773" t="s">
        <v>785</v>
      </c>
      <c r="B35" s="1510" t="s">
        <v>3257</v>
      </c>
      <c r="C35" s="1556" t="str">
        <f>IF(B35="场地平整","——","具体情况：")</f>
        <v>——</v>
      </c>
      <c r="D35" s="3775"/>
      <c r="E35" s="3776"/>
      <c r="F35" s="3776"/>
      <c r="G35" s="3776"/>
      <c r="H35" s="3776"/>
      <c r="I35" s="3777"/>
      <c r="J35" s="2808"/>
      <c r="K35" s="2795"/>
      <c r="L35" s="2787"/>
      <c r="M35" s="2787"/>
      <c r="N35" s="2788"/>
      <c r="O35" s="2789"/>
      <c r="P35" s="2788"/>
      <c r="Q35" s="2788"/>
      <c r="R35" s="2788"/>
      <c r="S35" s="2788"/>
      <c r="T35" s="2788"/>
      <c r="U35" s="2788"/>
    </row>
    <row r="36" spans="1:28">
      <c r="A36" s="3769"/>
      <c r="B36" s="3778" t="s">
        <v>1570</v>
      </c>
      <c r="C36" s="3779"/>
      <c r="D36" s="1572" t="s">
        <v>2760</v>
      </c>
      <c r="E36" s="3780"/>
      <c r="F36" s="3780"/>
      <c r="G36" s="1479" t="str">
        <f>IF(B35="场地未平整","估价结果处理","")</f>
        <v/>
      </c>
      <c r="H36" s="3781"/>
      <c r="I36" s="3781"/>
      <c r="J36" s="2808"/>
      <c r="K36" s="2795"/>
      <c r="L36" s="2787"/>
      <c r="M36" s="2787"/>
      <c r="N36" s="2788"/>
      <c r="O36" s="2789"/>
      <c r="P36" s="2788"/>
      <c r="Q36" s="2788"/>
      <c r="R36" s="2788"/>
      <c r="S36" s="2788"/>
      <c r="T36" s="2788"/>
      <c r="U36" s="2788"/>
    </row>
    <row r="37" spans="1:28" ht="28.5">
      <c r="A37" s="3769"/>
      <c r="B37" s="3758"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69"/>
      <c r="B38" s="3759"/>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70"/>
      <c r="B39" s="3760"/>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41" t="s">
        <v>1501</v>
      </c>
      <c r="T40" s="1519" t="str">
        <f>NUMBERSTRING(7-K40,1)&amp;"通"</f>
        <v>七通</v>
      </c>
      <c r="U40" s="2788"/>
    </row>
    <row r="41" spans="1:28">
      <c r="A41" s="1461"/>
      <c r="B41" s="3774" t="s">
        <v>1250</v>
      </c>
      <c r="C41" s="3774"/>
      <c r="D41" s="3774"/>
      <c r="E41" s="3774"/>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41"/>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B13" sqref="B1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3735</v>
      </c>
      <c r="J9" s="48"/>
      <c r="K9" s="2483" t="s">
        <v>3737</v>
      </c>
      <c r="L9" s="48"/>
      <c r="M9" s="2483" t="s">
        <v>3735</v>
      </c>
      <c r="N9" s="48"/>
      <c r="O9" s="56" t="s">
        <v>3737</v>
      </c>
      <c r="P9" s="48"/>
      <c r="Q9" s="56" t="s">
        <v>3737</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3736</v>
      </c>
      <c r="J11" s="68"/>
      <c r="K11" s="2484" t="s">
        <v>3736</v>
      </c>
      <c r="L11" s="68"/>
      <c r="M11" s="67" t="s">
        <v>3738</v>
      </c>
      <c r="N11" s="68"/>
      <c r="O11" s="67" t="s">
        <v>3739</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8" customWidth="1"/>
    <col min="2" max="2" width="50.375" style="3668" customWidth="1"/>
    <col min="3" max="16384" width="9.625" style="3668"/>
  </cols>
  <sheetData>
    <row r="1" spans="1:7" ht="18.75">
      <c r="A1" s="3782" t="s">
        <v>3785</v>
      </c>
      <c r="B1" s="3782"/>
    </row>
    <row r="2" spans="1:7" ht="18.75">
      <c r="A2" s="3669"/>
      <c r="B2" s="3669" t="s">
        <v>3600</v>
      </c>
    </row>
    <row r="3" spans="1:7" ht="37.5">
      <c r="A3" s="3670" t="s">
        <v>3601</v>
      </c>
      <c r="B3" s="3671" t="s">
        <v>3602</v>
      </c>
    </row>
    <row r="4" spans="1:7" ht="18.75">
      <c r="A4" s="3670" t="s">
        <v>3603</v>
      </c>
      <c r="B4" s="3672" t="s">
        <v>3598</v>
      </c>
    </row>
    <row r="5" spans="1:7" ht="18.75">
      <c r="A5" s="3670" t="s">
        <v>3604</v>
      </c>
      <c r="B5" s="3672">
        <v>73887.384999999995</v>
      </c>
    </row>
    <row r="6" spans="1:7" ht="18.75">
      <c r="A6" s="3670" t="s">
        <v>3605</v>
      </c>
      <c r="B6" s="3672">
        <v>127.93</v>
      </c>
    </row>
    <row r="7" spans="1:7" ht="18.75">
      <c r="A7" s="3673" t="s">
        <v>3606</v>
      </c>
      <c r="B7" s="3672">
        <v>73887.384999999995</v>
      </c>
    </row>
    <row r="8" spans="1:7" ht="18.75">
      <c r="A8" s="3670" t="s">
        <v>3607</v>
      </c>
      <c r="B8" s="3672">
        <v>165052.29999999999</v>
      </c>
    </row>
    <row r="9" spans="1:7" ht="18.75">
      <c r="A9" s="3674" t="s">
        <v>3608</v>
      </c>
      <c r="B9" s="3672">
        <v>89552.3</v>
      </c>
      <c r="C9" s="3668">
        <f>B12+B15</f>
        <v>89547.3</v>
      </c>
      <c r="D9" s="3668">
        <f>B9-C9</f>
        <v>5</v>
      </c>
    </row>
    <row r="10" spans="1:7" ht="18.75">
      <c r="A10" s="3674" t="s">
        <v>3609</v>
      </c>
      <c r="B10" s="3672">
        <v>75500</v>
      </c>
      <c r="C10" s="3668">
        <f>B13+B14+B16</f>
        <v>50259.32</v>
      </c>
      <c r="D10" s="3668">
        <f>B10-C10</f>
        <v>25240.68</v>
      </c>
    </row>
    <row r="11" spans="1:7" ht="18.75">
      <c r="A11" s="3675" t="s">
        <v>3610</v>
      </c>
      <c r="B11" s="3672">
        <f>B12+B14+B15+B16</f>
        <v>117502.62</v>
      </c>
      <c r="G11" s="3668" t="s">
        <v>3784</v>
      </c>
    </row>
    <row r="12" spans="1:7" ht="18.75">
      <c r="A12" s="3674" t="s">
        <v>3611</v>
      </c>
      <c r="B12" s="3672">
        <v>88647.3</v>
      </c>
    </row>
    <row r="13" spans="1:7" ht="18.75">
      <c r="A13" s="3674" t="s">
        <v>3612</v>
      </c>
      <c r="B13" s="3672">
        <v>22304</v>
      </c>
    </row>
    <row r="14" spans="1:7" s="3678" customFormat="1" ht="18.75">
      <c r="A14" s="3676" t="s">
        <v>3613</v>
      </c>
      <c r="B14" s="3677">
        <v>600</v>
      </c>
    </row>
    <row r="15" spans="1:7" s="3678" customFormat="1" ht="18.75">
      <c r="A15" s="3676" t="s">
        <v>2726</v>
      </c>
      <c r="B15" s="3677">
        <v>900</v>
      </c>
    </row>
    <row r="16" spans="1:7" ht="18.75">
      <c r="A16" s="3674" t="s">
        <v>3614</v>
      </c>
      <c r="B16" s="3672">
        <v>27355.32</v>
      </c>
    </row>
    <row r="17" spans="1:2" ht="18.75">
      <c r="A17" s="3675" t="s">
        <v>3615</v>
      </c>
      <c r="B17" s="3676">
        <v>840</v>
      </c>
    </row>
    <row r="18" spans="1:2" ht="18.75">
      <c r="A18" s="3673" t="s">
        <v>3616</v>
      </c>
      <c r="B18" s="3676">
        <v>657</v>
      </c>
    </row>
    <row r="19" spans="1:2" ht="18.75">
      <c r="A19" s="3675" t="s">
        <v>1548</v>
      </c>
      <c r="B19" s="3676">
        <v>1.05</v>
      </c>
    </row>
    <row r="20" spans="1:2" ht="18.75">
      <c r="A20" s="3675" t="s">
        <v>3617</v>
      </c>
      <c r="B20" s="3676" t="s">
        <v>3618</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2" t="s">
        <v>169</v>
      </c>
      <c r="B2" s="3792"/>
      <c r="C2" s="3792"/>
      <c r="D2" s="1723" t="s">
        <v>170</v>
      </c>
      <c r="E2" s="101" t="s">
        <v>171</v>
      </c>
      <c r="F2" s="2817"/>
      <c r="G2" s="1091"/>
      <c r="H2" s="1092"/>
      <c r="I2" s="1093" t="s">
        <v>795</v>
      </c>
      <c r="J2" s="2817"/>
      <c r="K2" s="2817"/>
      <c r="L2" s="2817"/>
      <c r="M2" s="2817"/>
      <c r="N2" s="2817"/>
      <c r="O2" s="2817"/>
      <c r="P2" s="2817"/>
    </row>
    <row r="3" spans="1:16" ht="15.75" thickBot="1">
      <c r="A3" s="3793" t="s">
        <v>172</v>
      </c>
      <c r="B3" s="3793"/>
      <c r="C3" s="3793"/>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4"/>
      <c r="B4" s="3795"/>
      <c r="C4" s="3796"/>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797" t="s">
        <v>196</v>
      </c>
      <c r="C5" s="3797"/>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797" t="s">
        <v>174</v>
      </c>
      <c r="C6" s="3797"/>
      <c r="D6" s="106">
        <f>ROUND($D$3*E6/$E$3,2)</f>
        <v>34203.5</v>
      </c>
      <c r="E6" s="107">
        <f>E3-E5</f>
        <v>76404.999999999985</v>
      </c>
      <c r="F6" s="2817"/>
      <c r="G6" s="1094"/>
      <c r="H6" s="265" t="s">
        <v>798</v>
      </c>
      <c r="I6" s="1724">
        <f>ROUND(F31/D31,2)</f>
        <v>1.21</v>
      </c>
      <c r="J6" s="2817"/>
      <c r="K6" s="2817"/>
      <c r="L6" s="2817"/>
      <c r="M6" s="2817"/>
      <c r="N6" s="2817"/>
      <c r="O6" s="2817"/>
      <c r="P6" s="2817"/>
    </row>
    <row r="7" spans="1:16" ht="15">
      <c r="A7" s="3789"/>
      <c r="B7" s="3790"/>
      <c r="C7" s="3791"/>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3" t="s">
        <v>1845</v>
      </c>
      <c r="L16" s="3784"/>
      <c r="M16" s="3784"/>
      <c r="N16" s="3784"/>
      <c r="O16" s="3784"/>
      <c r="P16" s="3785"/>
    </row>
    <row r="17" spans="1:19" ht="15">
      <c r="A17" s="116" t="s">
        <v>182</v>
      </c>
      <c r="B17" s="117" t="s">
        <v>183</v>
      </c>
      <c r="C17" s="2010" t="s">
        <v>1668</v>
      </c>
      <c r="D17" s="103" t="s">
        <v>170</v>
      </c>
      <c r="E17" s="119" t="s">
        <v>171</v>
      </c>
      <c r="F17" s="120"/>
      <c r="G17" s="1220"/>
      <c r="H17" s="927" t="s">
        <v>184</v>
      </c>
      <c r="I17" s="928" t="s">
        <v>1667</v>
      </c>
      <c r="J17" s="1732"/>
      <c r="K17" s="3786" t="s">
        <v>1846</v>
      </c>
      <c r="L17" s="3787"/>
      <c r="M17" s="3788"/>
      <c r="N17" s="3786" t="s">
        <v>1847</v>
      </c>
      <c r="O17" s="3787"/>
      <c r="P17" s="3788"/>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3740</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3751</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3741</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3743</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3742</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activeCell="Q54" sqref="Q54"/>
      <selection pane="topRight" activeCell="Q54" sqref="Q54"/>
      <selection pane="bottomLeft" activeCell="Q54" sqref="Q54"/>
      <selection pane="bottomRight" activeCell="L6" sqref="L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L21</f>
        <v>6000</v>
      </c>
      <c r="M6" s="169">
        <f t="shared" ref="M6:M14" si="1">ROUND(K6*L6/10000,0)</f>
        <v>53188</v>
      </c>
      <c r="N6" s="2492">
        <v>0</v>
      </c>
      <c r="O6" s="169">
        <f>IF($N$5="成新度","——",ROUND(M6*N6,0))</f>
        <v>0</v>
      </c>
      <c r="P6" s="170">
        <f>IF($N$5="成新度","——",M6-O6)</f>
        <v>53188</v>
      </c>
      <c r="Q6" s="2493">
        <v>0.2</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6000</v>
      </c>
      <c r="M7" s="169">
        <f t="shared" si="1"/>
        <v>13382</v>
      </c>
      <c r="N7" s="2492">
        <f>N6</f>
        <v>0</v>
      </c>
      <c r="O7" s="169">
        <f t="shared" ref="O7:O14" si="3">IF($N$5="成新度","——",ROUND(M7*N7,0))</f>
        <v>0</v>
      </c>
      <c r="P7" s="170">
        <f t="shared" ref="P7:P14" si="4">IF($N$5="成新度","——",M7-O7)</f>
        <v>13382</v>
      </c>
      <c r="Q7" s="2493">
        <v>0.15</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0.05</v>
      </c>
      <c r="I8" s="2490">
        <v>5.5E-2</v>
      </c>
      <c r="J8" s="168">
        <f>J7</f>
        <v>7.0000000000000007E-2</v>
      </c>
      <c r="K8" s="171">
        <f>SUMIF('数据-汇总表'!C$19:C$33,'数据-取费表'!A8,'数据-汇总表'!E$19:E$33)</f>
        <v>900</v>
      </c>
      <c r="L8" s="2491">
        <f>L6</f>
        <v>6000</v>
      </c>
      <c r="M8" s="169">
        <f>ROUND(K8*L8/10000,0)</f>
        <v>540</v>
      </c>
      <c r="N8" s="2492">
        <f>N6</f>
        <v>0</v>
      </c>
      <c r="O8" s="169">
        <f t="shared" si="3"/>
        <v>0</v>
      </c>
      <c r="P8" s="170">
        <f t="shared" si="4"/>
        <v>540</v>
      </c>
      <c r="Q8" s="2493">
        <v>0.15</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0.85699999999999998</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4.4999999999999998E-2</v>
      </c>
      <c r="I9" s="168">
        <v>0.05</v>
      </c>
      <c r="J9" s="168">
        <f>J8</f>
        <v>7.0000000000000007E-2</v>
      </c>
      <c r="K9" s="171">
        <f>SUMIF('数据-汇总表'!C$19:C$33,'数据-取费表'!A9,'数据-汇总表'!E$19:E$33)</f>
        <v>27355.32</v>
      </c>
      <c r="L9" s="2491">
        <f>L6</f>
        <v>6000</v>
      </c>
      <c r="M9" s="169">
        <f t="shared" si="1"/>
        <v>16413</v>
      </c>
      <c r="N9" s="2492">
        <f>N6</f>
        <v>0</v>
      </c>
      <c r="O9" s="169">
        <f t="shared" si="3"/>
        <v>0</v>
      </c>
      <c r="P9" s="170">
        <f t="shared" si="4"/>
        <v>16413</v>
      </c>
      <c r="Q9" s="184">
        <v>0.1</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0.88900000000000001</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4.4999999999999998E-2</v>
      </c>
      <c r="I10" s="168">
        <f>I9</f>
        <v>0.05</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0.1</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0.88900000000000001</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L6</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4.2000000000000003E-2</v>
      </c>
      <c r="I16" s="194"/>
      <c r="J16" s="194"/>
      <c r="K16" s="195">
        <f>SUM(K6:K15)</f>
        <v>165052.29999999999</v>
      </c>
      <c r="L16" s="196">
        <f>ROUND(M16*10000/SUM(K6:K14),0)</f>
        <v>6000</v>
      </c>
      <c r="M16" s="196">
        <f>SUM(M6:M14)</f>
        <v>99030</v>
      </c>
      <c r="N16" s="197">
        <f>ROUND(SUMPRODUCT(M6:M14,N6:N14)/M16,3)</f>
        <v>0</v>
      </c>
      <c r="O16" s="196">
        <f>SUM(O6:O14)</f>
        <v>0</v>
      </c>
      <c r="P16" s="196">
        <f>SUM(P6:P14)</f>
        <v>99030</v>
      </c>
      <c r="Q16" s="198">
        <f>ROUND(SUMPRODUCT(Q6:Q13,K6:K13)/SUMPRODUCT((Q6:Q13&gt;0)*(K6:K13)),2)</f>
        <v>0.17</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0.91900000000000004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4000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3260</v>
      </c>
      <c r="L20" s="2826">
        <v>2000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3261</v>
      </c>
      <c r="L21" s="2826">
        <f>L20+L19</f>
        <v>6000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2826"/>
      <c r="L22" s="2826"/>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3592</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2" t="s">
        <v>2249</v>
      </c>
      <c r="D33" s="2831"/>
      <c r="E33" s="2832"/>
      <c r="F33" s="2832"/>
      <c r="G33" s="2827"/>
      <c r="H33" s="2827"/>
      <c r="I33" s="2827"/>
      <c r="J33" s="2827"/>
      <c r="K33" s="2826"/>
      <c r="L33" s="2826">
        <f ca="1">'剩余法-待开发'!C14</f>
        <v>4952</v>
      </c>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0.1</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798" t="s">
        <v>1198</v>
      </c>
      <c r="B1" s="3799"/>
      <c r="C1" s="3799"/>
      <c r="D1" s="3799"/>
      <c r="E1" s="3799"/>
      <c r="F1" s="3799"/>
      <c r="G1" s="3799"/>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3263</v>
      </c>
      <c r="D3" s="2861"/>
      <c r="E3" s="2862" t="s">
        <v>1201</v>
      </c>
      <c r="F3" s="2863" t="s">
        <v>1189</v>
      </c>
      <c r="G3" s="3654" t="s">
        <v>3263</v>
      </c>
      <c r="H3" s="2858"/>
      <c r="I3" s="2858"/>
      <c r="J3" s="2858"/>
      <c r="K3" s="2858"/>
      <c r="L3" s="2858"/>
      <c r="M3" s="2858"/>
      <c r="N3" s="2858"/>
      <c r="O3" s="2858"/>
      <c r="P3" s="2858"/>
      <c r="Q3" s="2858"/>
      <c r="R3" s="2858"/>
    </row>
    <row r="4" spans="1:18">
      <c r="A4" s="2862"/>
      <c r="B4" s="2864" t="s">
        <v>1202</v>
      </c>
      <c r="C4" s="3652" t="s">
        <v>3265</v>
      </c>
      <c r="D4" s="2861"/>
      <c r="E4" s="2865"/>
      <c r="F4" s="2866" t="s">
        <v>1203</v>
      </c>
      <c r="G4" s="3653" t="s">
        <v>3266</v>
      </c>
      <c r="H4" s="2858"/>
      <c r="I4" s="2858"/>
      <c r="J4" s="2858"/>
      <c r="K4" s="2858"/>
      <c r="L4" s="2858"/>
      <c r="M4" s="2858"/>
      <c r="N4" s="2858"/>
      <c r="O4" s="2858"/>
      <c r="P4" s="2858"/>
      <c r="Q4" s="2858"/>
      <c r="R4" s="2858"/>
    </row>
    <row r="5" spans="1:18">
      <c r="A5" s="2862"/>
      <c r="B5" s="2864" t="s">
        <v>1204</v>
      </c>
      <c r="C5" s="3652" t="s">
        <v>3265</v>
      </c>
      <c r="D5" s="2861"/>
      <c r="E5" s="2865"/>
      <c r="F5" s="2864" t="s">
        <v>1825</v>
      </c>
      <c r="G5" s="3653" t="s">
        <v>3265</v>
      </c>
      <c r="H5" s="2858"/>
      <c r="I5" s="2858"/>
      <c r="J5" s="2858"/>
      <c r="K5" s="2858"/>
      <c r="L5" s="2858"/>
      <c r="M5" s="2858"/>
      <c r="N5" s="2858"/>
      <c r="O5" s="2858"/>
      <c r="P5" s="2858"/>
      <c r="Q5" s="2858"/>
      <c r="R5" s="2858"/>
    </row>
    <row r="6" spans="1:18">
      <c r="A6" s="2862"/>
      <c r="B6" s="2864" t="s">
        <v>1190</v>
      </c>
      <c r="C6" s="3653" t="s">
        <v>3265</v>
      </c>
      <c r="D6" s="2861"/>
      <c r="E6" s="2865"/>
      <c r="F6" s="2864" t="s">
        <v>1826</v>
      </c>
      <c r="G6" s="3653" t="s">
        <v>3268</v>
      </c>
      <c r="H6" s="2858"/>
      <c r="I6" s="2858"/>
      <c r="J6" s="2858"/>
      <c r="K6" s="2858"/>
      <c r="L6" s="2858"/>
      <c r="M6" s="2858"/>
      <c r="N6" s="2858"/>
      <c r="O6" s="2858"/>
      <c r="P6" s="2858"/>
      <c r="Q6" s="2858"/>
      <c r="R6" s="2858"/>
    </row>
    <row r="7" spans="1:18" ht="14.25" thickBot="1">
      <c r="A7" s="2862"/>
      <c r="B7" s="2864" t="s">
        <v>1825</v>
      </c>
      <c r="C7" s="3653" t="s">
        <v>3265</v>
      </c>
      <c r="D7" s="2867"/>
      <c r="E7" s="2868"/>
      <c r="F7" s="2869" t="s">
        <v>1205</v>
      </c>
      <c r="G7" s="3655" t="s">
        <v>3266</v>
      </c>
      <c r="H7" s="2858"/>
      <c r="I7" s="2858"/>
      <c r="J7" s="2858"/>
      <c r="K7" s="2858"/>
      <c r="L7" s="2858"/>
      <c r="M7" s="2858"/>
      <c r="N7" s="2858"/>
      <c r="O7" s="2858"/>
      <c r="P7" s="2858"/>
      <c r="Q7" s="2858"/>
      <c r="R7" s="2858"/>
    </row>
    <row r="8" spans="1:18">
      <c r="A8" s="2862"/>
      <c r="B8" s="2864" t="s">
        <v>1826</v>
      </c>
      <c r="C8" s="3653" t="s">
        <v>3792</v>
      </c>
      <c r="D8" s="2867"/>
      <c r="E8" s="2867"/>
      <c r="F8" s="2870"/>
      <c r="G8" s="2870"/>
      <c r="H8" s="2858"/>
      <c r="I8" s="2858"/>
      <c r="J8" s="2858"/>
      <c r="K8" s="2858"/>
      <c r="L8" s="2858"/>
      <c r="M8" s="2858"/>
      <c r="N8" s="2858"/>
      <c r="O8" s="2858"/>
      <c r="P8" s="2858"/>
      <c r="Q8" s="2858"/>
      <c r="R8" s="2858"/>
    </row>
    <row r="9" spans="1:18">
      <c r="A9" s="2862"/>
      <c r="B9" s="2864" t="s">
        <v>1191</v>
      </c>
      <c r="C9" s="3652" t="s">
        <v>3266</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3269</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七通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760745</v>
      </c>
      <c r="C5" s="2915">
        <f ca="1">ROUND(B5*10000/$B$1,0)</f>
        <v>46091</v>
      </c>
      <c r="D5" s="2915">
        <f ca="1">ROUND(B5*10000/$B$2,0)</f>
        <v>102960</v>
      </c>
      <c r="E5" s="2924"/>
      <c r="F5" s="2924"/>
      <c r="G5" s="2925"/>
      <c r="H5" s="2925"/>
      <c r="I5" s="2925"/>
      <c r="J5" s="2925"/>
    </row>
    <row r="6" spans="1:10" ht="16.5">
      <c r="A6" s="2915" t="s">
        <v>2122</v>
      </c>
      <c r="B6" s="2915">
        <f ca="1">SUM(G14:G23)</f>
        <v>738307</v>
      </c>
      <c r="C6" s="2915">
        <f ca="1">ROUND(B6*10000/$B$1,0)</f>
        <v>44732</v>
      </c>
      <c r="D6" s="2915">
        <f ca="1">ROUND(B6*10000/$B$2,0)</f>
        <v>99923</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SUM(I14:I23)</f>
        <v>0</v>
      </c>
      <c r="C8" s="2915">
        <f>ROUND(B8*10000/$B$1,0)</f>
        <v>0</v>
      </c>
      <c r="D8" s="2915">
        <f>ROUND(B8*10000/$B$2,0)</f>
        <v>0</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760745</v>
      </c>
      <c r="E14" s="2921">
        <f ca="1">ROUND(D14*10000/B14,0)</f>
        <v>46091</v>
      </c>
      <c r="F14" s="2921">
        <f ca="1">ROUND(D14*10000/C14,0)</f>
        <v>102960</v>
      </c>
      <c r="G14" s="2921">
        <f ca="1">结果表!O39</f>
        <v>738307</v>
      </c>
      <c r="H14" s="2921"/>
      <c r="I14" s="2921"/>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G24" sqref="G24"/>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4" t="str">
        <f>项目基本情况!K2</f>
        <v>北京市北京市海淀区双新村棚户区改造项目2603-003-1地块R2二类居住用地出让国有建设用地使用权</v>
      </c>
      <c r="B2" s="3845"/>
      <c r="C2" s="3846"/>
      <c r="D2" s="3846"/>
      <c r="E2" s="3846"/>
      <c r="F2" s="3846"/>
      <c r="G2" s="3845"/>
      <c r="H2" s="3845"/>
      <c r="I2" s="3847"/>
      <c r="J2" s="1747"/>
      <c r="K2" s="1746"/>
      <c r="L2" s="1746"/>
      <c r="M2" s="1746"/>
      <c r="N2" s="1746"/>
      <c r="O2" s="1746"/>
      <c r="P2" s="1746"/>
      <c r="Q2" s="1746"/>
      <c r="R2" s="1746"/>
      <c r="S2" s="1746"/>
      <c r="T2" s="1746"/>
      <c r="U2" s="1746"/>
      <c r="V2" s="1746"/>
    </row>
    <row r="3" spans="1:22" ht="14.25">
      <c r="A3" s="3855" t="s">
        <v>264</v>
      </c>
      <c r="B3" s="3856"/>
      <c r="C3" s="3856"/>
      <c r="D3" s="3856"/>
      <c r="E3" s="3856"/>
      <c r="F3" s="3856"/>
      <c r="G3" s="3856"/>
      <c r="H3" s="3856"/>
      <c r="I3" s="3856"/>
      <c r="J3" s="1747"/>
      <c r="K3" s="1746"/>
      <c r="L3" s="1746"/>
      <c r="M3" s="1746"/>
      <c r="N3" s="1746"/>
      <c r="O3" s="1746"/>
      <c r="P3" s="1746"/>
      <c r="Q3" s="1746"/>
      <c r="R3" s="1746"/>
      <c r="S3" s="1746"/>
      <c r="T3" s="1746"/>
      <c r="U3" s="1746"/>
      <c r="V3" s="1746"/>
    </row>
    <row r="4" spans="1:22" ht="14.25">
      <c r="A4" s="248" t="s">
        <v>265</v>
      </c>
      <c r="B4" s="249" t="s">
        <v>266</v>
      </c>
      <c r="C4" s="250" t="s">
        <v>3744</v>
      </c>
      <c r="D4" s="250" t="s">
        <v>3745</v>
      </c>
      <c r="E4" s="3819" t="s">
        <v>267</v>
      </c>
      <c r="F4" s="3861"/>
      <c r="G4" s="3861"/>
      <c r="H4" s="3861"/>
      <c r="I4" s="3820"/>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48" t="s">
        <v>268</v>
      </c>
      <c r="B5" s="3849">
        <v>25</v>
      </c>
      <c r="C5" s="3857"/>
      <c r="D5" s="3860"/>
      <c r="E5" s="251" t="s">
        <v>269</v>
      </c>
      <c r="F5" s="252"/>
      <c r="G5" s="252"/>
      <c r="H5" s="252"/>
      <c r="I5" s="253"/>
      <c r="J5" s="1747"/>
      <c r="K5" s="1746"/>
      <c r="L5" s="1746"/>
      <c r="M5" s="1746"/>
      <c r="N5" s="1746"/>
      <c r="O5" s="1746"/>
      <c r="P5" s="1746"/>
      <c r="Q5" s="1746"/>
      <c r="R5" s="1746"/>
      <c r="S5" s="1746"/>
      <c r="T5" s="1746"/>
      <c r="U5" s="1746"/>
      <c r="V5" s="1746"/>
    </row>
    <row r="6" spans="1:22" ht="14.25">
      <c r="A6" s="3848"/>
      <c r="B6" s="3849"/>
      <c r="C6" s="3858"/>
      <c r="D6" s="3860"/>
      <c r="E6" s="251" t="s">
        <v>270</v>
      </c>
      <c r="F6" s="252"/>
      <c r="G6" s="252"/>
      <c r="H6" s="252"/>
      <c r="I6" s="253"/>
      <c r="J6" s="1747"/>
      <c r="K6" s="1746"/>
      <c r="L6" s="1746"/>
      <c r="M6" s="1746"/>
      <c r="N6" s="1746"/>
      <c r="O6" s="1746"/>
      <c r="P6" s="1746"/>
      <c r="Q6" s="1746"/>
      <c r="R6" s="1746"/>
      <c r="S6" s="1746"/>
      <c r="T6" s="1746"/>
      <c r="U6" s="1746"/>
      <c r="V6" s="1746"/>
    </row>
    <row r="7" spans="1:22" ht="14.25">
      <c r="A7" s="3848"/>
      <c r="B7" s="3849"/>
      <c r="C7" s="3859"/>
      <c r="D7" s="3860"/>
      <c r="E7" s="251" t="s">
        <v>271</v>
      </c>
      <c r="F7" s="252"/>
      <c r="G7" s="252"/>
      <c r="H7" s="252"/>
      <c r="I7" s="253"/>
      <c r="J7" s="1747"/>
      <c r="K7" s="1746"/>
      <c r="L7" s="1746"/>
      <c r="M7" s="1746"/>
      <c r="N7" s="1746"/>
      <c r="O7" s="1746"/>
      <c r="P7" s="1746"/>
      <c r="Q7" s="1746"/>
      <c r="R7" s="1746"/>
      <c r="S7" s="1746"/>
      <c r="T7" s="1746"/>
      <c r="U7" s="1746"/>
      <c r="V7" s="1746"/>
    </row>
    <row r="8" spans="1:22" ht="14.25">
      <c r="A8" s="3848" t="s">
        <v>272</v>
      </c>
      <c r="B8" s="3849">
        <v>15</v>
      </c>
      <c r="C8" s="3857"/>
      <c r="D8" s="3860"/>
      <c r="E8" s="251" t="s">
        <v>273</v>
      </c>
      <c r="F8" s="252"/>
      <c r="G8" s="252"/>
      <c r="H8" s="252"/>
      <c r="I8" s="253"/>
      <c r="J8" s="1747"/>
      <c r="K8" s="1746"/>
      <c r="L8" s="1746"/>
      <c r="M8" s="1746"/>
      <c r="N8" s="1746"/>
      <c r="O8" s="1746"/>
      <c r="P8" s="1746"/>
      <c r="Q8" s="1746"/>
      <c r="R8" s="1746"/>
      <c r="S8" s="1746"/>
      <c r="T8" s="1746"/>
      <c r="U8" s="1746"/>
      <c r="V8" s="1746"/>
    </row>
    <row r="9" spans="1:22" ht="14.25">
      <c r="A9" s="3848"/>
      <c r="B9" s="3849"/>
      <c r="C9" s="3859"/>
      <c r="D9" s="3860"/>
      <c r="E9" s="251" t="s">
        <v>274</v>
      </c>
      <c r="F9" s="252"/>
      <c r="G9" s="252"/>
      <c r="H9" s="252"/>
      <c r="I9" s="253"/>
      <c r="J9" s="1747"/>
      <c r="K9" s="1746"/>
      <c r="L9" s="1746"/>
      <c r="M9" s="1746"/>
      <c r="N9" s="1746"/>
      <c r="O9" s="1746"/>
      <c r="P9" s="1746"/>
      <c r="Q9" s="1746"/>
      <c r="R9" s="1746"/>
      <c r="S9" s="1746"/>
      <c r="T9" s="1746"/>
      <c r="U9" s="1746"/>
      <c r="V9" s="1746"/>
    </row>
    <row r="10" spans="1:22" ht="14.25">
      <c r="A10" s="3848" t="s">
        <v>275</v>
      </c>
      <c r="B10" s="3849">
        <v>15</v>
      </c>
      <c r="C10" s="3857"/>
      <c r="D10" s="3860"/>
      <c r="E10" s="251" t="s">
        <v>276</v>
      </c>
      <c r="F10" s="252"/>
      <c r="G10" s="252"/>
      <c r="H10" s="252"/>
      <c r="I10" s="253"/>
      <c r="J10" s="1747"/>
      <c r="K10" s="1746"/>
      <c r="L10" s="1746"/>
      <c r="M10" s="1746"/>
      <c r="N10" s="1746"/>
      <c r="O10" s="1746"/>
      <c r="P10" s="1746"/>
      <c r="Q10" s="1746"/>
      <c r="R10" s="1746"/>
      <c r="S10" s="1746"/>
      <c r="T10" s="1746"/>
      <c r="U10" s="1746"/>
      <c r="V10" s="1746"/>
    </row>
    <row r="11" spans="1:22" ht="14.25">
      <c r="A11" s="3848"/>
      <c r="B11" s="3849"/>
      <c r="C11" s="3859"/>
      <c r="D11" s="3860"/>
      <c r="E11" s="251" t="s">
        <v>277</v>
      </c>
      <c r="F11" s="252"/>
      <c r="G11" s="252"/>
      <c r="H11" s="252"/>
      <c r="I11" s="253"/>
      <c r="J11" s="1747"/>
      <c r="K11" s="1746"/>
      <c r="L11" s="1746"/>
      <c r="M11" s="1746"/>
      <c r="N11" s="1746"/>
      <c r="O11" s="1746"/>
      <c r="P11" s="1746"/>
      <c r="Q11" s="1746"/>
      <c r="R11" s="1746"/>
      <c r="S11" s="1746"/>
      <c r="T11" s="1746"/>
      <c r="U11" s="1746"/>
      <c r="V11" s="1746"/>
    </row>
    <row r="12" spans="1:22" ht="14.25">
      <c r="A12" s="3848" t="s">
        <v>278</v>
      </c>
      <c r="B12" s="3849">
        <v>15</v>
      </c>
      <c r="C12" s="3857"/>
      <c r="D12" s="3860"/>
      <c r="E12" s="251" t="s">
        <v>279</v>
      </c>
      <c r="F12" s="252"/>
      <c r="G12" s="252"/>
      <c r="H12" s="252"/>
      <c r="I12" s="253"/>
      <c r="J12" s="1747"/>
      <c r="K12" s="1746"/>
      <c r="L12" s="1746"/>
      <c r="M12" s="1746"/>
      <c r="N12" s="1746"/>
      <c r="O12" s="1746"/>
      <c r="P12" s="1746"/>
      <c r="Q12" s="1746"/>
      <c r="R12" s="1746"/>
      <c r="S12" s="1746"/>
      <c r="T12" s="1746"/>
      <c r="U12" s="1746"/>
      <c r="V12" s="1746"/>
    </row>
    <row r="13" spans="1:22" ht="14.25">
      <c r="A13" s="3848"/>
      <c r="B13" s="3849"/>
      <c r="C13" s="3859"/>
      <c r="D13" s="3860"/>
      <c r="E13" s="251" t="s">
        <v>280</v>
      </c>
      <c r="F13" s="252"/>
      <c r="G13" s="252"/>
      <c r="H13" s="252"/>
      <c r="I13" s="253"/>
      <c r="J13" s="1747"/>
      <c r="K13" s="1746"/>
      <c r="L13" s="1746"/>
      <c r="M13" s="1746"/>
      <c r="N13" s="1746"/>
      <c r="O13" s="1746"/>
      <c r="P13" s="1746"/>
      <c r="Q13" s="1746"/>
      <c r="R13" s="1746"/>
      <c r="S13" s="1746"/>
      <c r="T13" s="1746"/>
      <c r="U13" s="1746"/>
      <c r="V13" s="1746"/>
    </row>
    <row r="14" spans="1:22" ht="14.25">
      <c r="A14" s="3848" t="s">
        <v>281</v>
      </c>
      <c r="B14" s="3849">
        <v>30</v>
      </c>
      <c r="C14" s="3857">
        <v>5</v>
      </c>
      <c r="D14" s="3860">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48"/>
      <c r="B15" s="3849"/>
      <c r="C15" s="3858"/>
      <c r="D15" s="3860"/>
      <c r="E15" s="251" t="s">
        <v>283</v>
      </c>
      <c r="F15" s="252"/>
      <c r="G15" s="252"/>
      <c r="H15" s="252"/>
      <c r="I15" s="253"/>
      <c r="J15" s="1747"/>
      <c r="K15" s="1746"/>
      <c r="L15" s="1746"/>
      <c r="M15" s="1746"/>
      <c r="N15" s="1746"/>
      <c r="O15" s="1746"/>
      <c r="P15" s="1746"/>
      <c r="Q15" s="1746"/>
      <c r="R15" s="1746"/>
      <c r="S15" s="1746"/>
      <c r="T15" s="1746"/>
      <c r="U15" s="1746"/>
      <c r="V15" s="1746"/>
    </row>
    <row r="16" spans="1:22" ht="14.25">
      <c r="A16" s="3848"/>
      <c r="B16" s="3849"/>
      <c r="C16" s="3859"/>
      <c r="D16" s="3860"/>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62" t="s">
        <v>2239</v>
      </c>
      <c r="F18" s="3863"/>
      <c r="G18" s="3863"/>
      <c r="H18" s="3863"/>
      <c r="I18" s="3863"/>
      <c r="J18" s="1746"/>
      <c r="K18" s="3686" t="s">
        <v>3749</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774302</v>
      </c>
      <c r="D19" s="261">
        <f ca="1">SUMIF(INDIRECT("'"&amp;D4&amp;"'"&amp;"!A:A"),结果表!B19,INDIRECT("'"&amp;D4&amp;"'"&amp;"!B:B"))</f>
        <v>747187</v>
      </c>
      <c r="E19" s="258" t="s">
        <v>289</v>
      </c>
      <c r="F19" s="259" t="s">
        <v>288</v>
      </c>
      <c r="G19" s="262">
        <f ca="1">ROUND(C19*$C$18+D19*$D$18,0)</f>
        <v>760745</v>
      </c>
      <c r="H19" s="263" t="s">
        <v>290</v>
      </c>
      <c r="I19" s="300"/>
      <c r="J19" s="1746"/>
      <c r="K19" s="1746">
        <f>资料!$B$9</f>
        <v>793500</v>
      </c>
      <c r="L19" s="1746"/>
      <c r="M19" s="1746"/>
      <c r="N19" s="1746"/>
      <c r="O19" s="1746"/>
      <c r="P19" s="1746"/>
      <c r="Q19" s="1746"/>
      <c r="R19" s="1746"/>
      <c r="S19" s="1746"/>
      <c r="T19" s="1746"/>
      <c r="U19" s="1746"/>
      <c r="V19" s="1746"/>
    </row>
    <row r="20" spans="1:26" ht="15">
      <c r="A20" s="264"/>
      <c r="B20" s="265" t="s">
        <v>291</v>
      </c>
      <c r="C20" s="266">
        <f ca="1">SUMIF(INDIRECT("'"&amp;C4&amp;"'"&amp;"!A:A"),结果表!B20,INDIRECT("'"&amp;C4&amp;"'"&amp;"!B:B"))</f>
        <v>46913</v>
      </c>
      <c r="D20" s="267">
        <f ca="1">SUMIF(INDIRECT("'"&amp;D4&amp;"'"&amp;"!A:A"),结果表!B20,INDIRECT("'"&amp;D4&amp;"'"&amp;"!B:B"))</f>
        <v>45270</v>
      </c>
      <c r="E20" s="264"/>
      <c r="F20" s="265" t="s">
        <v>291</v>
      </c>
      <c r="G20" s="268">
        <f ca="1">ROUND(C20*$C$18+D20*$D$18,0)</f>
        <v>46092</v>
      </c>
      <c r="H20" s="269" t="s">
        <v>292</v>
      </c>
      <c r="I20" s="300"/>
      <c r="J20" s="1746"/>
      <c r="K20" s="1746">
        <f ca="1">K19-G19</f>
        <v>32755</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104795</v>
      </c>
      <c r="D21" s="143">
        <f ca="1">SUMIF(INDIRECT("'"&amp;D4&amp;"'"&amp;"!A:A"),结果表!B21,INDIRECT("'"&amp;D4&amp;"'"&amp;"!B:B"))</f>
        <v>101125</v>
      </c>
      <c r="E21" s="264"/>
      <c r="F21" s="270" t="s">
        <v>293</v>
      </c>
      <c r="G21" s="272">
        <f ca="1">ROUND(C21*$C$18+D21*$D$18,0)</f>
        <v>102960</v>
      </c>
      <c r="H21" s="1115" t="s">
        <v>292</v>
      </c>
      <c r="I21" s="300"/>
      <c r="J21" s="1746"/>
      <c r="K21" s="1746">
        <f ca="1">K20/K19</f>
        <v>4.1279143037177064E-2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3.6289442937310179E-2</v>
      </c>
      <c r="E22" s="274"/>
      <c r="F22" s="275"/>
      <c r="G22" s="276">
        <f ca="1">ROUND(G19/('数据-汇总表'!D3/666.67),0)</f>
        <v>6864</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21"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68"/>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出让国有建设用地使用权价格：760745万元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大写金额：人民币柒拾陆亿零柒佰肆拾伍万元整</v>
      </c>
      <c r="L26" s="1116"/>
      <c r="M26" s="1116"/>
      <c r="N26" s="1116"/>
      <c r="O26" s="1115"/>
      <c r="P26" s="1746"/>
      <c r="Q26" s="1746"/>
      <c r="R26" s="1746"/>
      <c r="S26" s="1746"/>
      <c r="T26" s="1746"/>
      <c r="U26" s="1746"/>
      <c r="V26" s="1746"/>
      <c r="W26" s="282"/>
      <c r="X26" s="282"/>
      <c r="Y26" s="282"/>
      <c r="Z26" s="282"/>
    </row>
    <row r="27" spans="1:26" ht="18">
      <c r="A27" s="283"/>
      <c r="B27" s="284"/>
      <c r="C27" s="284"/>
      <c r="D27" s="285">
        <f ca="1">G19/'数据-汇总表'!F31</f>
        <v>8.4949800284303141</v>
      </c>
      <c r="E27" s="300"/>
      <c r="F27" s="300"/>
      <c r="G27" s="300"/>
      <c r="H27" s="300"/>
      <c r="I27" s="300"/>
      <c r="J27" s="1746"/>
      <c r="K27" s="1122" t="str">
        <f ca="1">"单位面积地价："&amp;M38&amp;"元/平方米"</f>
        <v>单位面积地价：102960元/平方米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楼面地价：46091元/平方米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抵押价格：738307万元</v>
      </c>
      <c r="L29" s="1116"/>
      <c r="M29" s="1116"/>
      <c r="N29" s="1116"/>
      <c r="O29" s="1115"/>
      <c r="P29" s="1746"/>
      <c r="V29" s="1746"/>
    </row>
    <row r="30" spans="1:26" ht="18.75" thickBot="1">
      <c r="A30" s="2547" t="s">
        <v>302</v>
      </c>
      <c r="B30" s="298"/>
      <c r="C30" s="298"/>
      <c r="D30" s="299"/>
      <c r="E30" s="2738" t="s">
        <v>2240</v>
      </c>
      <c r="F30" s="300"/>
      <c r="G30" s="300"/>
      <c r="H30" s="300"/>
      <c r="I30" s="300"/>
      <c r="J30" s="1746"/>
      <c r="K30" s="1122" t="str">
        <f ca="1">IF(K29="——","——","大写金额：人民币"&amp;NUMBERSTRING(INT(O39*10000),2)&amp;"元整")</f>
        <v>大写金额：人民币柒拾叁亿捌仟叁佰零柒万元整</v>
      </c>
      <c r="L30" s="1116"/>
      <c r="M30" s="1116"/>
      <c r="N30" s="1116"/>
      <c r="O30" s="1115"/>
      <c r="P30" s="1746"/>
      <c r="V30" s="1746"/>
    </row>
    <row r="31" spans="1:26" ht="24" customHeight="1" thickBot="1">
      <c r="A31" s="3864" t="s">
        <v>2241</v>
      </c>
      <c r="B31" s="3864"/>
      <c r="C31" s="3864"/>
      <c r="D31" s="3864"/>
      <c r="E31" s="3864"/>
      <c r="F31" s="3864"/>
      <c r="G31" s="3864"/>
      <c r="H31" s="3864"/>
      <c r="I31" s="3864"/>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760745</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46091</v>
      </c>
      <c r="D33" s="1235" t="s">
        <v>1224</v>
      </c>
      <c r="E33" s="3821"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1225</v>
      </c>
      <c r="C34" s="254">
        <f ca="1">ROUND(C32*10000/'数据-汇总表'!D3,0)</f>
        <v>102960</v>
      </c>
      <c r="D34" s="1237" t="s">
        <v>1224</v>
      </c>
      <c r="E34" s="382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6864</v>
      </c>
      <c r="D35" s="1240" t="s">
        <v>1226</v>
      </c>
      <c r="E35" s="3823"/>
      <c r="F35" s="291" t="s">
        <v>308</v>
      </c>
      <c r="G35" s="939">
        <f>E39</f>
        <v>22438</v>
      </c>
      <c r="H35" s="938" t="s">
        <v>309</v>
      </c>
      <c r="I35" s="300"/>
      <c r="J35" s="1746"/>
      <c r="K35" s="3827" t="s">
        <v>316</v>
      </c>
      <c r="L35" s="3827" t="s">
        <v>317</v>
      </c>
      <c r="M35" s="1128" t="s">
        <v>318</v>
      </c>
      <c r="N35" s="3827" t="s">
        <v>319</v>
      </c>
      <c r="O35" s="3827" t="s">
        <v>320</v>
      </c>
      <c r="P35" s="1746"/>
      <c r="V35" s="1746"/>
    </row>
    <row r="36" spans="1:26" ht="16.5" customHeight="1">
      <c r="A36" s="293" t="s">
        <v>310</v>
      </c>
      <c r="B36" s="294" t="s">
        <v>299</v>
      </c>
      <c r="C36" s="295" t="s">
        <v>311</v>
      </c>
      <c r="D36" s="295" t="s">
        <v>312</v>
      </c>
      <c r="E36" s="296" t="s">
        <v>313</v>
      </c>
      <c r="F36" s="300"/>
      <c r="G36" s="300"/>
      <c r="H36" s="300"/>
      <c r="I36" s="300"/>
      <c r="J36" s="1748"/>
      <c r="K36" s="3828"/>
      <c r="L36" s="3828"/>
      <c r="M36" s="1130" t="s">
        <v>321</v>
      </c>
      <c r="N36" s="3828"/>
      <c r="O36" s="3828"/>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29"/>
      <c r="L37" s="3829"/>
      <c r="M37" s="1131"/>
      <c r="N37" s="3829"/>
      <c r="O37" s="3829"/>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102960</v>
      </c>
      <c r="N38" s="1133">
        <f ca="1">C33</f>
        <v>46091</v>
      </c>
      <c r="O38" s="1134">
        <f ca="1">C32</f>
        <v>760745</v>
      </c>
      <c r="P38" s="1746"/>
      <c r="V38" s="1746"/>
    </row>
    <row r="39" spans="1:26" ht="16.5" customHeight="1" thickBot="1">
      <c r="A39" s="1129"/>
      <c r="B39" s="297">
        <f>B38+B37</f>
        <v>50259.32</v>
      </c>
      <c r="C39" s="298"/>
      <c r="D39" s="298"/>
      <c r="E39" s="299">
        <f>E38+E37</f>
        <v>22438</v>
      </c>
      <c r="F39" s="300"/>
      <c r="G39" s="300"/>
      <c r="H39" s="300"/>
      <c r="I39" s="300"/>
      <c r="J39" s="1748"/>
      <c r="K39" s="3840" t="str">
        <f>MID(A44,3,LEN(A44)-2)</f>
        <v>抵押价格</v>
      </c>
      <c r="L39" s="3841"/>
      <c r="M39" s="3841"/>
      <c r="N39" s="3842"/>
      <c r="O39" s="1242">
        <f ca="1">C44</f>
        <v>738307</v>
      </c>
      <c r="P39" s="1746"/>
      <c r="V39" s="1746"/>
    </row>
    <row r="40" spans="1:26" ht="19.5" thickBot="1">
      <c r="A40" s="99" t="s">
        <v>810</v>
      </c>
      <c r="B40" s="300"/>
      <c r="C40" s="300"/>
      <c r="D40" s="300"/>
      <c r="E40" s="300"/>
      <c r="F40" s="300"/>
      <c r="G40" s="300"/>
      <c r="H40" s="300"/>
      <c r="I40" s="300"/>
      <c r="J40" s="1748"/>
      <c r="K40" s="3840" t="str">
        <f>MID(A45,3,LEN(A45)-2)</f>
        <v/>
      </c>
      <c r="L40" s="3841"/>
      <c r="M40" s="3841"/>
      <c r="N40" s="3842"/>
      <c r="O40" s="1242" t="str">
        <f>C45</f>
        <v>——</v>
      </c>
      <c r="P40" s="1746"/>
      <c r="V40" s="1746"/>
    </row>
    <row r="41" spans="1:26" ht="16.5" thickBot="1">
      <c r="A41" s="301" t="s">
        <v>322</v>
      </c>
      <c r="B41" s="302"/>
      <c r="C41" s="303" t="s">
        <v>323</v>
      </c>
      <c r="D41" s="304" t="s">
        <v>324</v>
      </c>
      <c r="E41" s="304" t="s">
        <v>325</v>
      </c>
      <c r="F41" s="305" t="s">
        <v>326</v>
      </c>
      <c r="G41" s="300"/>
      <c r="H41" s="300"/>
      <c r="I41" s="300"/>
      <c r="J41" s="1748"/>
      <c r="K41" s="3840" t="str">
        <f>MID(A46,3,LEN(A46)-2)</f>
        <v/>
      </c>
      <c r="L41" s="3841"/>
      <c r="M41" s="3841"/>
      <c r="N41" s="3842"/>
      <c r="O41" s="1242" t="str">
        <f>C46</f>
        <v>——</v>
      </c>
      <c r="P41" s="1746"/>
      <c r="V41" s="1746"/>
    </row>
    <row r="42" spans="1:26" ht="29.25">
      <c r="A42" s="3869" t="s">
        <v>1583</v>
      </c>
      <c r="B42" s="3870"/>
      <c r="C42" s="254">
        <f ca="1">C32</f>
        <v>760745</v>
      </c>
      <c r="D42" s="306">
        <f ca="1">C33</f>
        <v>46091</v>
      </c>
      <c r="E42" s="306">
        <f ca="1">C34</f>
        <v>102960</v>
      </c>
      <c r="F42" s="307">
        <f ca="1">C35</f>
        <v>6864</v>
      </c>
      <c r="G42" s="300"/>
      <c r="H42" s="300"/>
      <c r="I42" s="308"/>
      <c r="J42" s="1748"/>
      <c r="K42" s="1135" t="s">
        <v>327</v>
      </c>
      <c r="L42" s="1765" t="s">
        <v>328</v>
      </c>
      <c r="M42" s="1136" t="s">
        <v>329</v>
      </c>
      <c r="N42" s="1766" t="s">
        <v>330</v>
      </c>
      <c r="O42" s="1767" t="s">
        <v>331</v>
      </c>
      <c r="P42" s="1746"/>
      <c r="V42" s="1746"/>
    </row>
    <row r="43" spans="1:26" ht="30">
      <c r="A43" s="3879" t="s">
        <v>2008</v>
      </c>
      <c r="B43" s="3880"/>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774302</v>
      </c>
      <c r="M43" s="1139">
        <f>C18</f>
        <v>0.5</v>
      </c>
      <c r="N43" s="1140">
        <f ca="1">IF(N42="测算结果/万元",G19,G20)</f>
        <v>760745</v>
      </c>
      <c r="O43" s="1141">
        <f ca="1">IF(O42="最终结果/万元",C32,C33)</f>
        <v>760745</v>
      </c>
      <c r="P43" s="1746"/>
      <c r="V43" s="1746"/>
    </row>
    <row r="44" spans="1:26" ht="30.75" thickBot="1">
      <c r="A44" s="3869" t="str">
        <f>IF(OR(项目基本情况!E8="抵押价格",项目基本情况!E8="已注销及未注销"),"3.抵押价格","——")</f>
        <v>3.抵押价格</v>
      </c>
      <c r="B44" s="3870"/>
      <c r="C44" s="254">
        <f ca="1">IF(A44="——","——",C42-C43)</f>
        <v>738307</v>
      </c>
      <c r="D44" s="306">
        <f ca="1">ROUND(C44*10000/'数据-汇总表'!E3,0)</f>
        <v>44732</v>
      </c>
      <c r="E44" s="306">
        <f ca="1">ROUND(C44*10000/'数据-汇总表'!D3,0)</f>
        <v>99923</v>
      </c>
      <c r="F44" s="307">
        <f ca="1">ROUND(C44/('数据-汇总表'!D3/666.67),0)</f>
        <v>6662</v>
      </c>
      <c r="G44" s="300"/>
      <c r="H44" s="300"/>
      <c r="I44" s="308"/>
      <c r="J44" s="1748"/>
      <c r="K44" s="1142" t="str">
        <f>D4</f>
        <v>剩余法-待开发</v>
      </c>
      <c r="L44" s="1143">
        <f ca="1">IF(L42="估价结果/万元",D19,D20)</f>
        <v>747187</v>
      </c>
      <c r="M44" s="1144">
        <f>D18</f>
        <v>0.5</v>
      </c>
      <c r="N44" s="1145"/>
      <c r="O44" s="1146"/>
      <c r="P44" s="1746"/>
      <c r="V44" s="1746"/>
    </row>
    <row r="45" spans="1:26" ht="15">
      <c r="A45" s="3874" t="str">
        <f>IF(项目基本情况!E8="已注销及未注销","4.抵押担保权已注销时的抵押价格",IF(项目基本情况!E8="已注销","3.抵押担保权已注销时的抵押价格","——"))</f>
        <v>——</v>
      </c>
      <c r="B45" s="3875"/>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71" t="str">
        <f>IF(项目基本情况!E9="抵押净值",IF(A45="——","4.抵押净值","5.抵押净值"),"——")</f>
        <v>——</v>
      </c>
      <c r="B46" s="3872"/>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32" t="s">
        <v>340</v>
      </c>
      <c r="B63" s="3833"/>
      <c r="C63" s="3834"/>
      <c r="D63" s="330">
        <f ca="1">ROUND(C42*F63,0)</f>
        <v>760745</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76" t="s">
        <v>344</v>
      </c>
      <c r="B64" s="3877"/>
      <c r="C64" s="3877"/>
      <c r="D64" s="3877"/>
      <c r="E64" s="3877"/>
      <c r="F64" s="3877"/>
      <c r="G64" s="3878"/>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73" t="s">
        <v>352</v>
      </c>
      <c r="B66" s="3839"/>
      <c r="C66" s="3839"/>
      <c r="D66" s="251"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3"/>
      <c r="I66" s="1152"/>
      <c r="J66" s="1752"/>
      <c r="K66" s="1155">
        <v>1</v>
      </c>
      <c r="L66" s="3800" t="s">
        <v>351</v>
      </c>
      <c r="M66" s="3801"/>
      <c r="N66" s="2104"/>
      <c r="O66" s="2105"/>
      <c r="P66" s="2106"/>
      <c r="Q66" s="1746"/>
      <c r="R66" s="1746"/>
      <c r="S66" s="1746"/>
      <c r="T66" s="1746"/>
      <c r="U66" s="1746"/>
      <c r="V66" s="1746"/>
    </row>
    <row r="67" spans="1:22" ht="25.5" customHeight="1">
      <c r="A67" s="341" t="s">
        <v>355</v>
      </c>
      <c r="B67" s="3851" t="s">
        <v>356</v>
      </c>
      <c r="C67" s="3851"/>
      <c r="D67" s="342">
        <v>0</v>
      </c>
      <c r="E67" s="38" t="s">
        <v>357</v>
      </c>
      <c r="F67" s="59" t="s">
        <v>15</v>
      </c>
      <c r="G67" s="3835"/>
      <c r="H67" s="2741" t="s">
        <v>2242</v>
      </c>
      <c r="I67" s="2743"/>
      <c r="J67" s="1753"/>
      <c r="K67" s="1725">
        <v>2</v>
      </c>
      <c r="L67" s="3805" t="s">
        <v>354</v>
      </c>
      <c r="M67" s="3805"/>
      <c r="N67" s="1189">
        <f>'数据-取费表'!B2</f>
        <v>45141</v>
      </c>
      <c r="O67" s="1189"/>
      <c r="P67" s="1189"/>
      <c r="Q67" s="1746"/>
      <c r="R67" s="1746"/>
      <c r="S67" s="1746"/>
      <c r="T67" s="1746"/>
      <c r="U67" s="1746"/>
      <c r="V67" s="1746"/>
    </row>
    <row r="68" spans="1:22" ht="25.5" customHeight="1">
      <c r="A68" s="343"/>
      <c r="B68" s="3851" t="s">
        <v>359</v>
      </c>
      <c r="C68" s="3851"/>
      <c r="D68" s="344"/>
      <c r="E68" s="74"/>
      <c r="F68" s="345"/>
      <c r="G68" s="3836"/>
      <c r="H68" s="2742" t="s">
        <v>2243</v>
      </c>
      <c r="I68" s="2743"/>
      <c r="J68" s="1753"/>
      <c r="K68" s="1725">
        <v>3</v>
      </c>
      <c r="L68" s="3805" t="s">
        <v>358</v>
      </c>
      <c r="M68" s="3805"/>
      <c r="N68" s="1157">
        <f ca="1">C42</f>
        <v>760745</v>
      </c>
      <c r="O68" s="1157"/>
      <c r="P68" s="1157"/>
      <c r="Q68" s="1746"/>
      <c r="R68" s="1746"/>
      <c r="S68" s="1746"/>
      <c r="T68" s="1746"/>
      <c r="U68" s="1746"/>
      <c r="V68" s="1746"/>
    </row>
    <row r="69" spans="1:22" ht="23.45" customHeight="1">
      <c r="A69" s="346"/>
      <c r="B69" s="3851" t="s">
        <v>360</v>
      </c>
      <c r="C69" s="3851"/>
      <c r="D69" s="347"/>
      <c r="E69" s="70"/>
      <c r="F69" s="345"/>
      <c r="G69" s="3837"/>
      <c r="H69" s="2742" t="s">
        <v>2244</v>
      </c>
      <c r="I69" s="2743"/>
      <c r="J69" s="1753"/>
      <c r="K69" s="1158">
        <v>4</v>
      </c>
      <c r="L69" s="3806" t="s">
        <v>2153</v>
      </c>
      <c r="M69" s="3807"/>
      <c r="N69" s="1159">
        <f ca="1">C44</f>
        <v>738307</v>
      </c>
      <c r="O69" s="1159"/>
      <c r="P69" s="1159"/>
      <c r="Q69" s="1746"/>
      <c r="R69" s="1746"/>
      <c r="S69" s="1746"/>
      <c r="T69" s="1746"/>
      <c r="U69" s="1746"/>
      <c r="V69" s="1746"/>
    </row>
    <row r="70" spans="1:22" ht="24" customHeight="1">
      <c r="A70" s="348" t="s">
        <v>361</v>
      </c>
      <c r="B70" s="3851" t="s">
        <v>362</v>
      </c>
      <c r="C70" s="3851"/>
      <c r="D70" s="347">
        <f ca="1">ROUND(D63*'数据-取费表'!B41/(1+'数据-取费表'!C42),0)</f>
        <v>40573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50" t="s">
        <v>2270</v>
      </c>
      <c r="C71" s="3867"/>
      <c r="D71" s="347">
        <f ca="1">ROUND(D63*'数据-取费表'!B41/(1+'数据-取费表'!C42),0)</f>
        <v>40573</v>
      </c>
      <c r="E71" s="15" t="s">
        <v>363</v>
      </c>
      <c r="F71" s="349">
        <f>'数据-取费表'!B41</f>
        <v>5.6000000000000001E-2</v>
      </c>
      <c r="G71" s="350"/>
      <c r="H71" s="300"/>
      <c r="I71" s="1156"/>
      <c r="J71" s="1753"/>
      <c r="K71" s="2513" t="s">
        <v>364</v>
      </c>
      <c r="L71" s="3808" t="s">
        <v>365</v>
      </c>
      <c r="M71" s="3808"/>
      <c r="N71" s="2513" t="s">
        <v>366</v>
      </c>
      <c r="O71" s="2513" t="s">
        <v>367</v>
      </c>
      <c r="P71" s="2513" t="s">
        <v>368</v>
      </c>
      <c r="Q71" s="1746"/>
      <c r="R71" s="1746"/>
      <c r="S71" s="1746"/>
      <c r="T71" s="1746"/>
      <c r="U71" s="1746"/>
      <c r="V71" s="1746"/>
    </row>
    <row r="72" spans="1:22" ht="12" customHeight="1">
      <c r="A72" s="348" t="s">
        <v>371</v>
      </c>
      <c r="B72" s="3850" t="s">
        <v>2271</v>
      </c>
      <c r="C72" s="3867"/>
      <c r="D72" s="347">
        <f ca="1">C86</f>
        <v>40573</v>
      </c>
      <c r="E72" s="70" t="s">
        <v>372</v>
      </c>
      <c r="F72" s="349">
        <f>'数据-取费表'!B41</f>
        <v>5.6000000000000001E-2</v>
      </c>
      <c r="G72" s="350"/>
      <c r="H72" s="1162"/>
      <c r="I72" s="1156"/>
      <c r="J72" s="1753"/>
      <c r="K72" s="1725">
        <v>1</v>
      </c>
      <c r="L72" s="3804" t="s">
        <v>370</v>
      </c>
      <c r="M72" s="3804"/>
      <c r="N72" s="1160" t="b">
        <f>D66</f>
        <v>0</v>
      </c>
      <c r="O72" s="1630" t="str">
        <f>E66</f>
        <v>销售额×税（费）率</v>
      </c>
      <c r="P72" s="1161">
        <f>F66</f>
        <v>5.6000000000000001E-2</v>
      </c>
      <c r="Q72" s="1746"/>
      <c r="R72" s="1746"/>
      <c r="S72" s="1746"/>
      <c r="T72" s="1746"/>
      <c r="U72" s="1746"/>
      <c r="V72" s="1746"/>
    </row>
    <row r="73" spans="1:22" ht="24" customHeight="1">
      <c r="A73" s="3838" t="s">
        <v>374</v>
      </c>
      <c r="B73" s="3839"/>
      <c r="C73" s="3839"/>
      <c r="D73" s="351">
        <f ca="1">IF(H73="个人住宅",0,ROUND(D63*I73,0))</f>
        <v>380</v>
      </c>
      <c r="E73" s="15" t="s">
        <v>375</v>
      </c>
      <c r="F73" s="349" t="str">
        <f>IF(H73="正常",I73,"免征")</f>
        <v>免征</v>
      </c>
      <c r="G73" s="350"/>
      <c r="H73" s="183"/>
      <c r="I73" s="349">
        <f>'数据-取费表'!B49</f>
        <v>5.0000000000000001E-4</v>
      </c>
      <c r="J73" s="1753"/>
      <c r="K73" s="1725">
        <v>2</v>
      </c>
      <c r="L73" s="3804" t="s">
        <v>373</v>
      </c>
      <c r="M73" s="3804"/>
      <c r="N73" s="1160">
        <f t="shared" ref="N73:P74" ca="1" si="0">D73</f>
        <v>380</v>
      </c>
      <c r="O73" s="1630" t="str">
        <f t="shared" si="0"/>
        <v>销售额×税（费）率</v>
      </c>
      <c r="P73" s="1161" t="str">
        <f t="shared" si="0"/>
        <v>免征</v>
      </c>
      <c r="Q73" s="1746"/>
      <c r="R73" s="1746"/>
      <c r="S73" s="1746"/>
      <c r="T73" s="1746"/>
      <c r="U73" s="1746"/>
      <c r="V73" s="1746"/>
    </row>
    <row r="74" spans="1:22" ht="24.75">
      <c r="A74" s="3838" t="s">
        <v>377</v>
      </c>
      <c r="B74" s="3839"/>
      <c r="C74" s="3839"/>
      <c r="D74" s="351">
        <f ca="1">IF(H74="个人住宅",D75,D76)</f>
        <v>430582</v>
      </c>
      <c r="E74" s="15" t="s">
        <v>378</v>
      </c>
      <c r="F74" s="349" t="str">
        <f>IF(H74="正常",F76,"免征")</f>
        <v>免征</v>
      </c>
      <c r="G74" s="940" t="s">
        <v>379</v>
      </c>
      <c r="H74" s="352"/>
      <c r="I74" s="39"/>
      <c r="J74" s="1753"/>
      <c r="K74" s="1725">
        <v>3</v>
      </c>
      <c r="L74" s="3804" t="s">
        <v>376</v>
      </c>
      <c r="M74" s="3804"/>
      <c r="N74" s="1160">
        <f t="shared" ca="1" si="0"/>
        <v>430582</v>
      </c>
      <c r="O74" s="1630" t="str">
        <f t="shared" si="0"/>
        <v>增值额×税（费）率</v>
      </c>
      <c r="P74" s="1163" t="str">
        <f t="shared" si="0"/>
        <v>免征</v>
      </c>
      <c r="Q74" s="1746"/>
      <c r="R74" s="1746"/>
      <c r="S74" s="1746"/>
      <c r="T74" s="1746"/>
      <c r="U74" s="1746"/>
      <c r="V74" s="1746"/>
    </row>
    <row r="75" spans="1:22" ht="12.75">
      <c r="A75" s="348" t="s">
        <v>380</v>
      </c>
      <c r="B75" s="3819" t="s">
        <v>381</v>
      </c>
      <c r="C75" s="3820"/>
      <c r="D75" s="353">
        <v>0</v>
      </c>
      <c r="E75" s="38" t="s">
        <v>382</v>
      </c>
      <c r="F75" s="354"/>
      <c r="G75" s="350"/>
      <c r="H75" s="39"/>
      <c r="I75" s="39"/>
      <c r="J75" s="1753"/>
      <c r="K75" s="2507">
        <f>IF(H77="非个人房产","",4)</f>
        <v>4</v>
      </c>
      <c r="L75" s="3804" t="str">
        <f>IF(H77="非个人房产","——","个人所得税")</f>
        <v>个人所得税</v>
      </c>
      <c r="M75" s="3804"/>
      <c r="N75" s="1164">
        <f>D77</f>
        <v>0</v>
      </c>
      <c r="O75" s="1631" t="str">
        <f>E77</f>
        <v>差额计税</v>
      </c>
      <c r="P75" s="1165">
        <f>F77</f>
        <v>0.01</v>
      </c>
      <c r="Q75" s="1746"/>
      <c r="R75" s="1746"/>
      <c r="S75" s="1746"/>
      <c r="T75" s="1746"/>
      <c r="U75" s="1746"/>
      <c r="V75" s="1746"/>
    </row>
    <row r="76" spans="1:22" ht="24.75">
      <c r="A76" s="348" t="s">
        <v>361</v>
      </c>
      <c r="B76" s="3819" t="s">
        <v>384</v>
      </c>
      <c r="C76" s="3861"/>
      <c r="D76" s="351">
        <f ca="1">IF(H76="转让取得",C99,C115)</f>
        <v>430582</v>
      </c>
      <c r="E76" s="15" t="s">
        <v>385</v>
      </c>
      <c r="F76" s="50" t="s">
        <v>15</v>
      </c>
      <c r="G76" s="350"/>
      <c r="H76" s="352"/>
      <c r="I76" s="39"/>
      <c r="J76" s="1753"/>
      <c r="K76" s="2507" t="str">
        <f>IF(项目基本情况!K6="上海银行",IF(K75="",4,K75+1),"")</f>
        <v/>
      </c>
      <c r="L76" s="3815" t="str">
        <f>IF(项目基本情况!K6="上海银行","其他处置费用","")</f>
        <v/>
      </c>
      <c r="M76" s="3816"/>
      <c r="N76" s="1160" t="str">
        <f>IF(项目基本情况!K6="上海银行",N89,"")</f>
        <v/>
      </c>
      <c r="O76" s="3817" t="str">
        <f>IF(项目基本情况!K6="上海银行","包含处置中涉及的律师、诉讼、拍卖、评估等费用","")</f>
        <v/>
      </c>
      <c r="P76" s="3818"/>
      <c r="Q76" s="1746"/>
      <c r="R76" s="1746"/>
      <c r="S76" s="1746"/>
      <c r="T76" s="1746"/>
      <c r="U76" s="1746"/>
      <c r="V76" s="1746"/>
    </row>
    <row r="77" spans="1:22" ht="24.75" thickBot="1">
      <c r="A77" s="3830" t="s">
        <v>387</v>
      </c>
      <c r="B77" s="3831"/>
      <c r="C77" s="3831"/>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379</v>
      </c>
      <c r="H77" s="2745"/>
      <c r="I77" s="2744" t="s">
        <v>2245</v>
      </c>
      <c r="J77" s="1753"/>
      <c r="K77" s="3826">
        <f>IF(AND(K75="",K76=""),4,IF(项目基本情况!K6="上海银行",K76+1,K75+1))</f>
        <v>5</v>
      </c>
      <c r="L77" s="3804" t="s">
        <v>2154</v>
      </c>
      <c r="M77" s="2512" t="s">
        <v>383</v>
      </c>
      <c r="N77" s="1166"/>
      <c r="O77" s="1167">
        <f ca="1">SUMIF(N72:N76,"&lt;9e307")</f>
        <v>430962</v>
      </c>
      <c r="P77" s="1168"/>
      <c r="Q77" s="2510">
        <f ca="1">O77/N69</f>
        <v>0.58371652984463107</v>
      </c>
      <c r="R77" s="1746"/>
      <c r="S77" s="1746"/>
      <c r="T77" s="1746"/>
      <c r="U77" s="1746"/>
      <c r="V77" s="1746"/>
    </row>
    <row r="78" spans="1:22" ht="12" customHeight="1">
      <c r="A78" s="1169"/>
      <c r="B78" s="300"/>
      <c r="C78" s="300"/>
      <c r="D78" s="300"/>
      <c r="E78" s="39"/>
      <c r="F78" s="39"/>
      <c r="G78" s="39"/>
      <c r="H78" s="960"/>
      <c r="I78" s="300"/>
      <c r="J78" s="1753"/>
      <c r="K78" s="3826"/>
      <c r="L78" s="3804"/>
      <c r="M78" s="2512" t="s">
        <v>386</v>
      </c>
      <c r="N78" s="1166"/>
      <c r="O78" s="1167" t="str">
        <f ca="1">NUMBERSTRING(INT(O77*10000),2)&amp;"元整"</f>
        <v>肆拾叁亿零玖佰陆拾贰万元整</v>
      </c>
      <c r="P78" s="1168"/>
      <c r="Q78" s="1746"/>
      <c r="R78" s="1746"/>
      <c r="S78" s="1746"/>
      <c r="T78" s="1746"/>
      <c r="U78" s="1746"/>
      <c r="V78" s="1746"/>
    </row>
    <row r="79" spans="1:22" ht="13.5" thickBot="1">
      <c r="A79" s="3881" t="s">
        <v>388</v>
      </c>
      <c r="B79" s="3881"/>
      <c r="C79" s="3881"/>
      <c r="D79" s="3881"/>
      <c r="E79" s="3881"/>
      <c r="F79" s="39"/>
      <c r="G79" s="39"/>
      <c r="H79" s="960"/>
      <c r="I79" s="300"/>
      <c r="J79" s="1753"/>
      <c r="K79" s="3802">
        <f>K77+1</f>
        <v>6</v>
      </c>
      <c r="L79" s="3804" t="s">
        <v>2155</v>
      </c>
      <c r="M79" s="2512" t="s">
        <v>383</v>
      </c>
      <c r="N79" s="1166"/>
      <c r="O79" s="1167">
        <f ca="1">N69-O77</f>
        <v>307345</v>
      </c>
      <c r="P79" s="1168"/>
      <c r="Q79" s="1746"/>
      <c r="R79" s="1746"/>
      <c r="S79" s="1746"/>
      <c r="T79" s="1746"/>
      <c r="U79" s="1746"/>
      <c r="V79" s="1746"/>
    </row>
    <row r="80" spans="1:22" ht="25.5">
      <c r="A80" s="3812" t="s">
        <v>389</v>
      </c>
      <c r="B80" s="3813"/>
      <c r="C80" s="951"/>
      <c r="D80" s="951" t="s">
        <v>390</v>
      </c>
      <c r="E80" s="355" t="s">
        <v>391</v>
      </c>
      <c r="F80" s="39"/>
      <c r="G80" s="39"/>
      <c r="H80" s="960"/>
      <c r="I80" s="300"/>
      <c r="J80" s="1746"/>
      <c r="K80" s="3803"/>
      <c r="L80" s="3804"/>
      <c r="M80" s="2512" t="s">
        <v>386</v>
      </c>
      <c r="N80" s="1166"/>
      <c r="O80" s="1167" t="str">
        <f ca="1">NUMBERSTRING(INT(O79*10000),2)&amp;"元整"</f>
        <v>叁拾亿柒仟叁佰肆拾伍万元整</v>
      </c>
      <c r="P80" s="1168"/>
      <c r="Q80" s="1746"/>
      <c r="R80" s="1746"/>
      <c r="S80" s="1746"/>
      <c r="T80" s="1746"/>
      <c r="U80" s="1746"/>
      <c r="V80" s="1746"/>
    </row>
    <row r="81" spans="1:26" ht="13.5" thickBot="1">
      <c r="A81" s="366" t="s">
        <v>1352</v>
      </c>
      <c r="B81" s="356" t="s">
        <v>392</v>
      </c>
      <c r="C81" s="357">
        <f ca="1">ROUND((C82+C83)/(1+'数据-取费表'!C42),0)</f>
        <v>724519</v>
      </c>
      <c r="D81" s="358"/>
      <c r="E81" s="359"/>
      <c r="F81" s="39"/>
      <c r="G81" s="39"/>
      <c r="H81" s="960"/>
      <c r="I81" s="300"/>
      <c r="J81" s="1746"/>
      <c r="K81" s="2507">
        <f>K79+1</f>
        <v>7</v>
      </c>
      <c r="L81" s="3824" t="s">
        <v>2156</v>
      </c>
      <c r="M81" s="3825"/>
      <c r="N81" s="1170"/>
      <c r="O81" s="1171">
        <f ca="1">ROUND(O79*10000/'数据-汇总表'!E3,0)</f>
        <v>18621</v>
      </c>
      <c r="P81" s="1172"/>
      <c r="Q81" s="1746"/>
      <c r="R81" s="1746"/>
      <c r="S81" s="1746"/>
      <c r="T81" s="1746"/>
      <c r="U81" s="1746"/>
      <c r="V81" s="1746"/>
    </row>
    <row r="82" spans="1:26" ht="13.5" thickTop="1">
      <c r="A82" s="360" t="s">
        <v>1353</v>
      </c>
      <c r="B82" s="361" t="s">
        <v>393</v>
      </c>
      <c r="C82" s="362">
        <f ca="1">D63</f>
        <v>760745</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14" t="s">
        <v>2144</v>
      </c>
      <c r="L83" s="2518" t="s">
        <v>2145</v>
      </c>
      <c r="M83" s="2508">
        <f ca="1">IF(N69&gt;10000,N69*0.5%,IF(AND(N69&gt;1000,N69&lt;=10000),N69*1%,IF(AND(N69&gt;100,N69&lt;=1000),N69*3%,IF(AND(N69&gt;10,N69&lt;=100),N69*5%,N69*8%))))</f>
        <v>3691.5349999999999</v>
      </c>
      <c r="N83" s="50">
        <f ca="1">ROUND(M83,1)</f>
        <v>3691.5</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14"/>
      <c r="L84" s="2518" t="s">
        <v>2146</v>
      </c>
      <c r="M84" s="2508">
        <f ca="1">IF(N69&gt;2000,N69*0.5%,IF(AND(N69&gt;1000,N69&lt;=2000),N69*0.6%,IF(AND(N69&gt;500,N69&lt;=1000),N69*0.7%,IF(AND(N69&gt;200,N69&lt;=500),N69*0.8%,IF(AND(N69&gt;100,N69&lt;=200),N69*0.9%,IF(AND(N69&gt;50,N69&lt;=100),N69*1%,IF(AND(N69&gt;20,N69&lt;=50),N69*1.5%,IF(AND(N69&gt;10,N69&lt;=20),N69*2%,IF(AND(N69&gt;1,N69&lt;=10),N69*2.5%)))))))))</f>
        <v>3691.5349999999999</v>
      </c>
      <c r="N84" s="50">
        <f ca="1">ROUND(M84,1)</f>
        <v>3691.5</v>
      </c>
      <c r="O84" s="1746" t="s">
        <v>2147</v>
      </c>
      <c r="P84" s="1746"/>
      <c r="Q84" s="1746"/>
      <c r="R84" s="1746"/>
      <c r="S84" s="1746"/>
      <c r="T84" s="1746"/>
      <c r="U84" s="1746"/>
      <c r="V84" s="1746"/>
    </row>
    <row r="85" spans="1:26" ht="12.75">
      <c r="A85" s="366" t="s">
        <v>1356</v>
      </c>
      <c r="B85" s="367" t="s">
        <v>396</v>
      </c>
      <c r="C85" s="370">
        <f ca="1">C81-C84</f>
        <v>724519</v>
      </c>
      <c r="D85" s="363" t="s">
        <v>13</v>
      </c>
      <c r="E85" s="364"/>
      <c r="F85" s="39"/>
      <c r="G85" s="39"/>
      <c r="H85" s="960"/>
      <c r="I85" s="300"/>
      <c r="J85" s="1746"/>
      <c r="K85" s="3814"/>
      <c r="L85" s="2518" t="s">
        <v>2148</v>
      </c>
      <c r="M85" s="2508">
        <f ca="1">IF(N69&gt;1000,N69*0.1%,IF(AND(N69&gt;500,N69&lt;=1000),N69*0.5%,IF(AND(N69&gt;50,N69&lt;=500),N69*1%,IF(AND(N69&gt;1,N69&lt;=50),N69*1.5%))))</f>
        <v>738.30700000000002</v>
      </c>
      <c r="N85" s="50">
        <f ca="1">ROUND(M85,1)</f>
        <v>738.3</v>
      </c>
      <c r="O85" s="1746" t="s">
        <v>2147</v>
      </c>
      <c r="P85" s="1746"/>
      <c r="Q85" s="1746"/>
      <c r="R85" s="1746"/>
      <c r="S85" s="1746"/>
      <c r="T85" s="1746"/>
      <c r="U85" s="1746"/>
      <c r="V85" s="1746"/>
    </row>
    <row r="86" spans="1:26" ht="13.5" thickBot="1">
      <c r="A86" s="371" t="s">
        <v>1357</v>
      </c>
      <c r="B86" s="372" t="s">
        <v>397</v>
      </c>
      <c r="C86" s="373">
        <f ca="1">IF(C85&lt;=0,0,ROUND(C85*D86,0))</f>
        <v>40573</v>
      </c>
      <c r="D86" s="374">
        <f>'数据-取费表'!B41</f>
        <v>5.6000000000000001E-2</v>
      </c>
      <c r="E86" s="375"/>
      <c r="F86" s="39"/>
      <c r="G86" s="39"/>
      <c r="H86" s="960"/>
      <c r="I86" s="300"/>
      <c r="J86" s="1746"/>
      <c r="K86" s="3814"/>
      <c r="L86" s="2518" t="s">
        <v>2149</v>
      </c>
      <c r="M86" s="2508">
        <f ca="1">N69*0.5%</f>
        <v>3691.5349999999999</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14"/>
      <c r="L87" s="2518" t="s">
        <v>2151</v>
      </c>
      <c r="M87" s="2508">
        <f ca="1">IF(N69&gt;=10000,(8.25+(N69-10000)*0.01%),IF(AND(N69&gt;=8000,N69&lt;10000),(7.85+(N69-8000)*0.02%),IF(AND(N69&gt;=5000,N69&lt;8000),(6.65+(N69-5000)*0.04%),IF(AND(N69&gt;=2000,N69&lt;5000),(4.25+(PN69-2000)*0.08%),IF(AND(N69&gt;=1000,N69&lt;2000),(2.75+(N69-1000)*0.15%),IF(AND(N69&gt;=100,N69&lt;1000),(0.5+(N69-100)*0.25%),IF(AND(N69&gt;0,N69&lt;100),N69*0.5%)))))))</f>
        <v>81.080700000000007</v>
      </c>
      <c r="N87" s="50">
        <f ca="1">ROUND(M87*0.9,1)</f>
        <v>73</v>
      </c>
      <c r="O87" s="2511"/>
      <c r="P87" s="1746"/>
      <c r="Q87" s="1746"/>
      <c r="R87" s="1746"/>
      <c r="S87" s="1746"/>
      <c r="T87" s="1746"/>
      <c r="U87" s="1746"/>
      <c r="V87" s="1746"/>
      <c r="W87" s="282"/>
      <c r="X87" s="282"/>
      <c r="Y87" s="282"/>
      <c r="Z87" s="282"/>
    </row>
    <row r="88" spans="1:26" s="1178" customFormat="1" ht="15" thickBot="1">
      <c r="A88" s="3853" t="s">
        <v>398</v>
      </c>
      <c r="B88" s="3854"/>
      <c r="C88" s="3854"/>
      <c r="D88" s="3854"/>
      <c r="E88" s="3854"/>
      <c r="F88" s="3854"/>
      <c r="G88" s="3854"/>
      <c r="H88" s="3854"/>
      <c r="I88" s="1179"/>
      <c r="J88" s="1754"/>
      <c r="K88" s="3814"/>
      <c r="L88" s="2518" t="s">
        <v>2152</v>
      </c>
      <c r="M88" s="2508">
        <f ca="1">IF(N69&gt;10000,N69*0.5%,IF(AND(N69&gt;5000,N69&lt;=10000),N69*1%,IF(AND(N69&gt;1000,N69&lt;=5000),N69*2%,IF(AND(N69&gt;200,N69&lt;=1000),N69*3%,N69*5%))))</f>
        <v>3691.5349999999999</v>
      </c>
      <c r="N88" s="50">
        <f ca="1">ROUND(M88,1)</f>
        <v>3691.5</v>
      </c>
      <c r="O88" s="2511"/>
      <c r="P88" s="1751"/>
      <c r="Q88" s="1751"/>
      <c r="R88" s="1751"/>
      <c r="S88" s="1751"/>
      <c r="T88" s="1751"/>
      <c r="U88" s="1751"/>
      <c r="V88" s="1751"/>
      <c r="W88" s="1755"/>
      <c r="X88" s="1755"/>
      <c r="Y88" s="1755"/>
      <c r="Z88" s="1755"/>
    </row>
    <row r="89" spans="1:26" s="1178" customFormat="1" ht="14.25">
      <c r="A89" s="3812" t="s">
        <v>389</v>
      </c>
      <c r="B89" s="3813"/>
      <c r="C89" s="951"/>
      <c r="D89" s="951" t="s">
        <v>390</v>
      </c>
      <c r="E89" s="376" t="s">
        <v>399</v>
      </c>
      <c r="F89" s="377"/>
      <c r="G89" s="377"/>
      <c r="H89" s="378"/>
      <c r="I89" s="1180"/>
      <c r="J89" s="1756"/>
      <c r="K89" s="3814"/>
      <c r="L89" s="2518" t="s">
        <v>16</v>
      </c>
      <c r="M89" s="2509"/>
      <c r="N89" s="50">
        <f ca="1">ROUND(SUM(N83:N88),0)</f>
        <v>11886</v>
      </c>
      <c r="O89" s="2519">
        <f ca="1">N89/N69</f>
        <v>1.6098994049900651E-2</v>
      </c>
      <c r="P89" s="1751"/>
      <c r="Q89" s="1751"/>
      <c r="R89" s="1751"/>
      <c r="S89" s="1751"/>
      <c r="T89" s="1751"/>
      <c r="U89" s="1751"/>
      <c r="V89" s="1751"/>
      <c r="W89" s="1755"/>
      <c r="X89" s="1755"/>
      <c r="Y89" s="1755"/>
      <c r="Z89" s="1755"/>
    </row>
    <row r="90" spans="1:26" s="1178" customFormat="1" ht="14.25">
      <c r="A90" s="366" t="s">
        <v>1352</v>
      </c>
      <c r="B90" s="367" t="s">
        <v>400</v>
      </c>
      <c r="C90" s="370">
        <f ca="1">ROUND(D63/(1+'数据-取费表'!C42),0)</f>
        <v>724519</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1358</v>
      </c>
      <c r="B91" s="337" t="s">
        <v>401</v>
      </c>
      <c r="C91" s="370">
        <f ca="1">C92+C96</f>
        <v>4347</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1361</v>
      </c>
      <c r="B94" s="385" t="s">
        <v>406</v>
      </c>
      <c r="C94" s="363">
        <f>IF(F93="购房发票",ROUND(C93*H93*5%,0),0)</f>
        <v>0</v>
      </c>
      <c r="D94" s="386">
        <v>0.05</v>
      </c>
      <c r="E94" s="3850" t="s">
        <v>407</v>
      </c>
      <c r="F94" s="3851"/>
      <c r="G94" s="3851"/>
      <c r="H94" s="3852"/>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1363</v>
      </c>
      <c r="B96" s="361" t="s">
        <v>410</v>
      </c>
      <c r="C96" s="390">
        <f ca="1">ROUND(D63*D96/(1+'数据-取费表'!C42),0)</f>
        <v>4347</v>
      </c>
      <c r="D96" s="391">
        <f>'数据-取费表'!B43</f>
        <v>6.000000000000001E-3</v>
      </c>
      <c r="E96" s="3809" t="s">
        <v>1776</v>
      </c>
      <c r="F96" s="3810"/>
      <c r="G96" s="3810"/>
      <c r="H96" s="3811"/>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1364</v>
      </c>
      <c r="B97" s="367" t="s">
        <v>411</v>
      </c>
      <c r="C97" s="370">
        <f ca="1">C90-C91</f>
        <v>720172</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1365</v>
      </c>
      <c r="B98" s="367" t="s">
        <v>412</v>
      </c>
      <c r="C98" s="392">
        <f ca="1">IF(C97&lt;=0,0,C97/C91)</f>
        <v>165.67103749712444</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1366</v>
      </c>
      <c r="B99" s="372" t="s">
        <v>413</v>
      </c>
      <c r="C99" s="393">
        <f ca="1">ROUND(IF(C97&lt;=0,0,IF(C98&gt;=200%,C97*60%-C91*35%,IF(C98&gt;=100%,C97*50%-C91*15%,IF(C98&gt;=50%,C97*40%-C91*5%,IF(C98&lt;50%,C97*30%,0))))),0)</f>
        <v>430582</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53" t="s">
        <v>414</v>
      </c>
      <c r="B101" s="3854"/>
      <c r="C101" s="3854"/>
      <c r="D101" s="3854"/>
      <c r="E101" s="3854"/>
      <c r="F101" s="3854"/>
      <c r="G101" s="3854"/>
      <c r="H101" s="3854"/>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12" t="s">
        <v>389</v>
      </c>
      <c r="B102" s="3813"/>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724519</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4347</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c r="D106" s="391"/>
      <c r="E106" s="402" t="s">
        <v>417</v>
      </c>
      <c r="F106" s="943"/>
      <c r="G106" s="403" t="s">
        <v>418</v>
      </c>
      <c r="H106" s="404"/>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65" t="s">
        <v>2237</v>
      </c>
      <c r="H108" s="3866"/>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3" t="s">
        <v>422</v>
      </c>
      <c r="F109" s="3810"/>
      <c r="G109" s="3810"/>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3" t="s">
        <v>424</v>
      </c>
      <c r="F110" s="3810"/>
      <c r="G110" s="3810"/>
      <c r="H110" s="3811"/>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4347</v>
      </c>
      <c r="D111" s="391">
        <f>'数据-取费表'!B43</f>
        <v>6.000000000000001E-3</v>
      </c>
      <c r="E111" s="3809" t="s">
        <v>1776</v>
      </c>
      <c r="F111" s="3810"/>
      <c r="G111" s="3810"/>
      <c r="H111" s="3811"/>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3" t="s">
        <v>1795</v>
      </c>
      <c r="F112" s="3810"/>
      <c r="G112" s="3810"/>
      <c r="H112" s="3811"/>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720172</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165.67103749712444</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430582</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7" zoomScale="80" zoomScaleNormal="95" zoomScaleSheetLayoutView="80" workbookViewId="0">
      <selection activeCell="L41" sqref="L41"/>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774302</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46913</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104795</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6986</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905" t="s">
        <v>471</v>
      </c>
      <c r="D6" s="3906"/>
      <c r="E6" s="3905" t="s">
        <v>472</v>
      </c>
      <c r="F6" s="3906"/>
      <c r="G6" s="3905" t="s">
        <v>473</v>
      </c>
      <c r="H6" s="3906"/>
      <c r="I6" s="3905" t="s">
        <v>474</v>
      </c>
      <c r="J6" s="3906"/>
      <c r="K6" s="482" t="s">
        <v>475</v>
      </c>
      <c r="L6" s="1850"/>
      <c r="M6" s="1849"/>
      <c r="N6" s="1849"/>
      <c r="O6" s="1851"/>
      <c r="P6" s="3907" t="s">
        <v>476</v>
      </c>
      <c r="Q6" s="3908"/>
      <c r="R6" s="3891" t="s">
        <v>472</v>
      </c>
      <c r="S6" s="3892"/>
      <c r="T6" s="3891" t="s">
        <v>473</v>
      </c>
      <c r="U6" s="3892"/>
      <c r="V6" s="3913" t="s">
        <v>474</v>
      </c>
      <c r="W6" s="3913"/>
      <c r="X6" s="1375"/>
      <c r="Y6" s="3891" t="s">
        <v>476</v>
      </c>
      <c r="Z6" s="3892"/>
      <c r="AA6" s="3886" t="s">
        <v>472</v>
      </c>
      <c r="AB6" s="3887" t="s">
        <v>473</v>
      </c>
      <c r="AC6" s="3886" t="s">
        <v>474</v>
      </c>
    </row>
    <row r="7" spans="1:30" ht="43.5" customHeight="1">
      <c r="A7" s="483"/>
      <c r="B7" s="484"/>
      <c r="C7" s="3918" t="str">
        <f>项目基本情况!F10</f>
        <v>北京市海淀区双新村棚户区改造项目2603-003-1地块R2二类居住用地</v>
      </c>
      <c r="D7" s="3917"/>
      <c r="E7" s="3916" t="str">
        <f>土地案例!A2</f>
        <v>北京市海淀区双新村棚户区改造项目2603-004-1地块R2二类居住用地</v>
      </c>
      <c r="F7" s="3917"/>
      <c r="G7" s="3916" t="str">
        <f>土地案例!A3</f>
        <v>北京市海淀区四季青镇中坞重点村资金平衡用地南地块R2二类居住用地</v>
      </c>
      <c r="H7" s="3917"/>
      <c r="I7" s="3916" t="str">
        <f>土地案例!A4</f>
        <v>北京市海淀区四季青镇中坞重点村资金平衡用地北地块R2二类居住用地</v>
      </c>
      <c r="J7" s="3917"/>
      <c r="K7" s="482"/>
      <c r="L7" s="1850"/>
      <c r="M7" s="1849"/>
      <c r="N7" s="1849"/>
      <c r="O7" s="1851"/>
      <c r="P7" s="3909"/>
      <c r="Q7" s="3910"/>
      <c r="R7" s="3893"/>
      <c r="S7" s="3894"/>
      <c r="T7" s="3893"/>
      <c r="U7" s="3894"/>
      <c r="V7" s="3913"/>
      <c r="W7" s="3913"/>
      <c r="X7" s="1375"/>
      <c r="Y7" s="3893"/>
      <c r="Z7" s="3894"/>
      <c r="AA7" s="3887"/>
      <c r="AB7" s="3887"/>
      <c r="AC7" s="3887"/>
    </row>
    <row r="8" spans="1:30" ht="21" thickBot="1">
      <c r="A8" s="483"/>
      <c r="B8" s="484"/>
      <c r="C8" s="3919" t="s">
        <v>2182</v>
      </c>
      <c r="D8" s="3920"/>
      <c r="E8" s="3919" t="s">
        <v>2182</v>
      </c>
      <c r="F8" s="3920"/>
      <c r="G8" s="3914" t="s">
        <v>2182</v>
      </c>
      <c r="H8" s="3915"/>
      <c r="I8" s="3914" t="s">
        <v>2182</v>
      </c>
      <c r="J8" s="3915"/>
      <c r="K8" s="482" t="s">
        <v>477</v>
      </c>
      <c r="L8" s="1850"/>
      <c r="M8" s="1849"/>
      <c r="N8" s="1849"/>
      <c r="O8" s="1851"/>
      <c r="P8" s="3911"/>
      <c r="Q8" s="3912"/>
      <c r="R8" s="3893"/>
      <c r="S8" s="3894"/>
      <c r="T8" s="3895"/>
      <c r="U8" s="3896"/>
      <c r="V8" s="3913"/>
      <c r="W8" s="3913"/>
      <c r="X8" s="1375"/>
      <c r="Y8" s="3895"/>
      <c r="Z8" s="3896"/>
      <c r="AA8" s="3888"/>
      <c r="AB8" s="3888"/>
      <c r="AC8" s="3888"/>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889" t="s">
        <v>479</v>
      </c>
      <c r="Q9" s="3898"/>
      <c r="R9" s="1376" t="s">
        <v>5</v>
      </c>
      <c r="S9" s="1377">
        <f t="shared" ref="S9:S17" si="0">F9</f>
        <v>99.5</v>
      </c>
      <c r="T9" s="1376" t="s">
        <v>5</v>
      </c>
      <c r="U9" s="1377">
        <f t="shared" ref="U9:U17" si="1">H9</f>
        <v>93</v>
      </c>
      <c r="V9" s="1376" t="s">
        <v>5</v>
      </c>
      <c r="W9" s="1377">
        <f t="shared" ref="W9:W17" si="2">J9</f>
        <v>93</v>
      </c>
      <c r="X9" s="1378"/>
      <c r="Y9" s="3889" t="s">
        <v>479</v>
      </c>
      <c r="Z9" s="3890"/>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3475</v>
      </c>
      <c r="F10" s="490">
        <f>SUMIF(74:74,E10,75:75)-SUMIF(74:74,C10,75:75)+100</f>
        <v>100</v>
      </c>
      <c r="G10" s="493" t="s">
        <v>3475</v>
      </c>
      <c r="H10" s="488">
        <f>SUMIF(74:74,G10,75:75)-SUMIF(74:74,C10,75:75)+100</f>
        <v>100</v>
      </c>
      <c r="I10" s="493" t="s">
        <v>3475</v>
      </c>
      <c r="J10" s="488">
        <f>SUMIF(74:74,I10,75:75)-SUMIF(74:74,C10,75:75)+100</f>
        <v>100</v>
      </c>
      <c r="K10" s="492"/>
      <c r="L10" s="1852"/>
      <c r="M10" s="1849"/>
      <c r="N10" s="1849"/>
      <c r="O10" s="1853"/>
      <c r="P10" s="3889" t="s">
        <v>482</v>
      </c>
      <c r="Q10" s="3890"/>
      <c r="R10" s="1376" t="s">
        <v>5</v>
      </c>
      <c r="S10" s="1377">
        <f t="shared" si="0"/>
        <v>100</v>
      </c>
      <c r="T10" s="1376" t="s">
        <v>5</v>
      </c>
      <c r="U10" s="1377">
        <f t="shared" si="1"/>
        <v>100</v>
      </c>
      <c r="V10" s="1376" t="s">
        <v>5</v>
      </c>
      <c r="W10" s="1377">
        <f t="shared" si="2"/>
        <v>100</v>
      </c>
      <c r="X10" s="1378"/>
      <c r="Y10" s="3889" t="s">
        <v>482</v>
      </c>
      <c r="Z10" s="3890"/>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97" t="s">
        <v>484</v>
      </c>
      <c r="Q11" s="1045" t="str">
        <f t="shared" ref="Q11:Q17" si="6">B11</f>
        <v>用途</v>
      </c>
      <c r="R11" s="1376" t="s">
        <v>5</v>
      </c>
      <c r="S11" s="1377">
        <f t="shared" si="0"/>
        <v>100</v>
      </c>
      <c r="T11" s="1376" t="s">
        <v>5</v>
      </c>
      <c r="U11" s="1377">
        <f t="shared" si="1"/>
        <v>100</v>
      </c>
      <c r="V11" s="1376" t="s">
        <v>5</v>
      </c>
      <c r="W11" s="1377">
        <f t="shared" si="2"/>
        <v>100</v>
      </c>
      <c r="X11" s="1378"/>
      <c r="Y11" s="3849"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3502</v>
      </c>
      <c r="F12" s="245">
        <f>ROUND(100/'数据-取费表'!G16,0)</f>
        <v>100</v>
      </c>
      <c r="G12" s="497" t="s">
        <v>3502</v>
      </c>
      <c r="H12" s="245">
        <f>ROUND(100/'数据-取费表'!G16,0)</f>
        <v>100</v>
      </c>
      <c r="I12" s="497" t="s">
        <v>3502</v>
      </c>
      <c r="J12" s="245">
        <f>ROUND(100/'数据-取费表'!G16,0)</f>
        <v>100</v>
      </c>
      <c r="K12" s="499"/>
      <c r="L12" s="1855"/>
      <c r="M12" s="1849"/>
      <c r="N12" s="1849"/>
      <c r="O12" s="1856"/>
      <c r="P12" s="3897"/>
      <c r="Q12" s="1045" t="str">
        <f t="shared" si="6"/>
        <v>土地使用年限（年）</v>
      </c>
      <c r="R12" s="1376" t="s">
        <v>5</v>
      </c>
      <c r="S12" s="1377">
        <f t="shared" si="0"/>
        <v>100</v>
      </c>
      <c r="T12" s="1376" t="s">
        <v>5</v>
      </c>
      <c r="U12" s="1377">
        <f t="shared" si="1"/>
        <v>100</v>
      </c>
      <c r="V12" s="1376" t="s">
        <v>5</v>
      </c>
      <c r="W12" s="1377">
        <f t="shared" si="2"/>
        <v>100</v>
      </c>
      <c r="X12" s="1378"/>
      <c r="Y12" s="3849"/>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97"/>
      <c r="Q13" s="1045" t="str">
        <f t="shared" si="6"/>
        <v>容积率</v>
      </c>
      <c r="R13" s="1376" t="s">
        <v>5</v>
      </c>
      <c r="S13" s="1377">
        <f t="shared" si="0"/>
        <v>100</v>
      </c>
      <c r="T13" s="1376" t="s">
        <v>5</v>
      </c>
      <c r="U13" s="1377">
        <f t="shared" si="1"/>
        <v>95</v>
      </c>
      <c r="V13" s="1376" t="s">
        <v>5</v>
      </c>
      <c r="W13" s="1377">
        <f t="shared" si="2"/>
        <v>95</v>
      </c>
      <c r="X13" s="1378"/>
      <c r="Y13" s="3849"/>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97"/>
      <c r="Q14" s="1045" t="str">
        <f t="shared" si="6"/>
        <v>配建</v>
      </c>
      <c r="R14" s="1376" t="s">
        <v>5</v>
      </c>
      <c r="S14" s="1377">
        <f t="shared" si="0"/>
        <v>100</v>
      </c>
      <c r="T14" s="1376" t="s">
        <v>5</v>
      </c>
      <c r="U14" s="1377">
        <f t="shared" si="1"/>
        <v>100</v>
      </c>
      <c r="V14" s="1376" t="s">
        <v>5</v>
      </c>
      <c r="W14" s="1377">
        <f t="shared" si="2"/>
        <v>100</v>
      </c>
      <c r="X14" s="1378"/>
      <c r="Y14" s="3849"/>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97"/>
      <c r="Q15" s="1045">
        <f t="shared" si="6"/>
        <v>111</v>
      </c>
      <c r="R15" s="1376" t="s">
        <v>5</v>
      </c>
      <c r="S15" s="1377">
        <f t="shared" si="0"/>
        <v>100</v>
      </c>
      <c r="T15" s="1376" t="s">
        <v>5</v>
      </c>
      <c r="U15" s="1377">
        <f t="shared" si="1"/>
        <v>100</v>
      </c>
      <c r="V15" s="1376" t="s">
        <v>5</v>
      </c>
      <c r="W15" s="1377">
        <f t="shared" si="2"/>
        <v>100</v>
      </c>
      <c r="X15" s="1378"/>
      <c r="Y15" s="3849"/>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97"/>
      <c r="Q16" s="1045">
        <f t="shared" si="6"/>
        <v>111</v>
      </c>
      <c r="R16" s="1376" t="s">
        <v>5</v>
      </c>
      <c r="S16" s="1377">
        <f t="shared" si="0"/>
        <v>100</v>
      </c>
      <c r="T16" s="1376" t="s">
        <v>5</v>
      </c>
      <c r="U16" s="1377">
        <f t="shared" si="1"/>
        <v>100</v>
      </c>
      <c r="V16" s="1376" t="s">
        <v>5</v>
      </c>
      <c r="W16" s="1377">
        <f t="shared" si="2"/>
        <v>100</v>
      </c>
      <c r="X16" s="1378"/>
      <c r="Y16" s="3849"/>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3262</v>
      </c>
      <c r="F17" s="517">
        <f>SUMIF(89:89,E18,90:90)-SUMIF(89:89,C18,90:90)+100</f>
        <v>100</v>
      </c>
      <c r="G17" s="520" t="s">
        <v>3262</v>
      </c>
      <c r="H17" s="517">
        <f>SUMIF(89:89,G18,90:90)-SUMIF(89:89,C18,90:90)+100</f>
        <v>100</v>
      </c>
      <c r="I17" s="520" t="s">
        <v>3262</v>
      </c>
      <c r="J17" s="517">
        <f>SUMIF(89:89,I18,90:90)-SUMIF(89:89,C18,90:90)+100</f>
        <v>100</v>
      </c>
      <c r="K17" s="503">
        <v>2</v>
      </c>
      <c r="L17" s="1859"/>
      <c r="M17" s="1849"/>
      <c r="N17" s="1849"/>
      <c r="O17" s="1858"/>
      <c r="P17" s="3899" t="s">
        <v>489</v>
      </c>
      <c r="Q17" s="1380" t="str">
        <f t="shared" si="6"/>
        <v>居住社区成熟度</v>
      </c>
      <c r="R17" s="1381" t="s">
        <v>5</v>
      </c>
      <c r="S17" s="1382">
        <f t="shared" si="0"/>
        <v>100</v>
      </c>
      <c r="T17" s="1381" t="s">
        <v>5</v>
      </c>
      <c r="U17" s="1382">
        <f t="shared" si="1"/>
        <v>100</v>
      </c>
      <c r="V17" s="1381" t="s">
        <v>5</v>
      </c>
      <c r="W17" s="1382">
        <f t="shared" si="2"/>
        <v>100</v>
      </c>
      <c r="X17" s="1375"/>
      <c r="Y17" s="3899" t="s">
        <v>489</v>
      </c>
      <c r="Z17" s="1383" t="str">
        <f t="shared" si="7"/>
        <v>居住社区成熟度</v>
      </c>
      <c r="AA17" s="1384">
        <f t="shared" si="3"/>
        <v>1</v>
      </c>
      <c r="AB17" s="1384">
        <f t="shared" si="4"/>
        <v>1</v>
      </c>
      <c r="AC17" s="1384">
        <f t="shared" si="5"/>
        <v>1</v>
      </c>
    </row>
    <row r="18" spans="1:29" ht="20.25">
      <c r="A18" s="500"/>
      <c r="B18" s="521"/>
      <c r="C18" s="522" t="s">
        <v>3262</v>
      </c>
      <c r="D18" s="525"/>
      <c r="E18" s="526" t="s">
        <v>3262</v>
      </c>
      <c r="F18" s="523"/>
      <c r="G18" s="526" t="s">
        <v>3262</v>
      </c>
      <c r="H18" s="527"/>
      <c r="I18" s="526" t="s">
        <v>3262</v>
      </c>
      <c r="J18" s="523"/>
      <c r="K18" s="499"/>
      <c r="L18" s="1859"/>
      <c r="M18" s="1849"/>
      <c r="N18" s="1849"/>
      <c r="O18" s="1858"/>
      <c r="P18" s="3900"/>
      <c r="Q18" s="1380"/>
      <c r="R18" s="1381"/>
      <c r="S18" s="1382"/>
      <c r="T18" s="1381"/>
      <c r="U18" s="1382"/>
      <c r="V18" s="1381"/>
      <c r="W18" s="1382"/>
      <c r="X18" s="1375"/>
      <c r="Y18" s="3900"/>
      <c r="Z18" s="1383"/>
      <c r="AA18" s="1384">
        <v>1</v>
      </c>
      <c r="AB18" s="1384">
        <v>1</v>
      </c>
      <c r="AC18" s="1384">
        <v>1</v>
      </c>
    </row>
    <row r="19" spans="1:29" ht="20.25" hidden="1">
      <c r="A19" s="500"/>
      <c r="B19" s="528" t="s">
        <v>490</v>
      </c>
      <c r="C19" s="529" t="str">
        <f>估价对象房地状况!C16</f>
        <v>一般</v>
      </c>
      <c r="D19" s="531">
        <v>100</v>
      </c>
      <c r="E19" s="532" t="s">
        <v>3264</v>
      </c>
      <c r="F19" s="527">
        <f>SUMIF(91:91,E20,92:92)-SUMIF(91:91,C20,92:92)+100</f>
        <v>100</v>
      </c>
      <c r="G19" s="532" t="s">
        <v>3264</v>
      </c>
      <c r="H19" s="533">
        <f>SUMIF(91:91,G20,92:92)-SUMIF(91:91,C20,92:92)+100</f>
        <v>100</v>
      </c>
      <c r="I19" s="532" t="s">
        <v>3264</v>
      </c>
      <c r="J19" s="533">
        <f>SUMIF(91:91,I20,92:92)-SUMIF(91:91,C20,92:92)+100</f>
        <v>100</v>
      </c>
      <c r="K19" s="503"/>
      <c r="L19" s="1859"/>
      <c r="M19" s="1849"/>
      <c r="N19" s="1849"/>
      <c r="O19" s="1858"/>
      <c r="P19" s="3900"/>
      <c r="Q19" s="1380" t="str">
        <f>B19</f>
        <v>商业繁华度</v>
      </c>
      <c r="R19" s="1381" t="s">
        <v>5</v>
      </c>
      <c r="S19" s="1382">
        <f>F19</f>
        <v>100</v>
      </c>
      <c r="T19" s="1381" t="s">
        <v>5</v>
      </c>
      <c r="U19" s="1382">
        <f>H19</f>
        <v>100</v>
      </c>
      <c r="V19" s="1381" t="s">
        <v>5</v>
      </c>
      <c r="W19" s="1382">
        <f>J19</f>
        <v>100</v>
      </c>
      <c r="X19" s="1375"/>
      <c r="Y19" s="3900"/>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00"/>
      <c r="Q20" s="1380"/>
      <c r="R20" s="1381"/>
      <c r="S20" s="1382"/>
      <c r="T20" s="1381"/>
      <c r="U20" s="1382"/>
      <c r="V20" s="1381"/>
      <c r="W20" s="1382"/>
      <c r="X20" s="1375"/>
      <c r="Y20" s="3900"/>
      <c r="Z20" s="1383"/>
      <c r="AA20" s="1384">
        <v>1</v>
      </c>
      <c r="AB20" s="1384">
        <v>1</v>
      </c>
      <c r="AC20" s="1384">
        <v>1</v>
      </c>
    </row>
    <row r="21" spans="1:29" ht="20.25" hidden="1">
      <c r="A21" s="500"/>
      <c r="B21" s="528" t="s">
        <v>491</v>
      </c>
      <c r="C21" s="529" t="str">
        <f>估价对象房地状况!C17</f>
        <v>一般</v>
      </c>
      <c r="D21" s="539">
        <v>100</v>
      </c>
      <c r="E21" s="540" t="s">
        <v>3264</v>
      </c>
      <c r="F21" s="533">
        <f>SUMIF(93:93,E22,94:94)-SUMIF(93:93,C22,94:94)+100</f>
        <v>100</v>
      </c>
      <c r="G21" s="540" t="s">
        <v>3264</v>
      </c>
      <c r="H21" s="527">
        <f>SUMIF(93:93,G22,94:94)-SUMIF(93:93,C22,94:94)+100</f>
        <v>100</v>
      </c>
      <c r="I21" s="540" t="s">
        <v>3264</v>
      </c>
      <c r="J21" s="527">
        <f>SUMIF(93:93,I22,94:94)-SUMIF(93:93,C22,94:94)+100</f>
        <v>100</v>
      </c>
      <c r="K21" s="503"/>
      <c r="L21" s="1859"/>
      <c r="M21" s="1849"/>
      <c r="N21" s="1849"/>
      <c r="O21" s="1858"/>
      <c r="P21" s="3900"/>
      <c r="Q21" s="1380" t="str">
        <f>B21</f>
        <v>办公集聚程度</v>
      </c>
      <c r="R21" s="1381" t="s">
        <v>5</v>
      </c>
      <c r="S21" s="1382">
        <f>F21</f>
        <v>100</v>
      </c>
      <c r="T21" s="1381" t="s">
        <v>5</v>
      </c>
      <c r="U21" s="1382">
        <f>H21</f>
        <v>100</v>
      </c>
      <c r="V21" s="1381" t="s">
        <v>5</v>
      </c>
      <c r="W21" s="1382">
        <f>J21</f>
        <v>100</v>
      </c>
      <c r="X21" s="1375"/>
      <c r="Y21" s="3900"/>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00"/>
      <c r="Q22" s="1380"/>
      <c r="R22" s="1381"/>
      <c r="S22" s="1382"/>
      <c r="T22" s="1381"/>
      <c r="U22" s="1382"/>
      <c r="V22" s="1381"/>
      <c r="W22" s="1382"/>
      <c r="X22" s="1375"/>
      <c r="Y22" s="3900"/>
      <c r="Z22" s="1383"/>
      <c r="AA22" s="1384">
        <v>1</v>
      </c>
      <c r="AB22" s="1384">
        <v>1</v>
      </c>
      <c r="AC22" s="1384">
        <v>1</v>
      </c>
    </row>
    <row r="23" spans="1:29" ht="20.25">
      <c r="A23" s="500"/>
      <c r="B23" s="528" t="s">
        <v>492</v>
      </c>
      <c r="C23" s="541" t="str">
        <f>估价对象房地状况!C18</f>
        <v>一般</v>
      </c>
      <c r="D23" s="531">
        <v>100</v>
      </c>
      <c r="E23" s="532" t="s">
        <v>3264</v>
      </c>
      <c r="F23" s="533">
        <f>SUMIF(95:95,E24,96:96)-SUMIF(95:95,C24,96:96)+100</f>
        <v>100</v>
      </c>
      <c r="G23" s="532" t="s">
        <v>3264</v>
      </c>
      <c r="H23" s="527">
        <f>SUMIF(95:95,G24,96:96)-SUMIF(95:95,C24,96:96)+100</f>
        <v>100</v>
      </c>
      <c r="I23" s="532" t="s">
        <v>3264</v>
      </c>
      <c r="J23" s="527">
        <f>SUMIF(95:95,I24,96:96)-SUMIF(95:95,C24,96:96)+100</f>
        <v>100</v>
      </c>
      <c r="K23" s="503">
        <v>2</v>
      </c>
      <c r="L23" s="1859"/>
      <c r="M23" s="1849"/>
      <c r="N23" s="1849"/>
      <c r="O23" s="1858"/>
      <c r="P23" s="3900"/>
      <c r="Q23" s="1380" t="str">
        <f>B23</f>
        <v>交通便捷度</v>
      </c>
      <c r="R23" s="1381" t="s">
        <v>5</v>
      </c>
      <c r="S23" s="1382">
        <f>F23</f>
        <v>100</v>
      </c>
      <c r="T23" s="1381" t="s">
        <v>5</v>
      </c>
      <c r="U23" s="1382">
        <f>H23</f>
        <v>100</v>
      </c>
      <c r="V23" s="1381" t="s">
        <v>5</v>
      </c>
      <c r="W23" s="1382">
        <f>J23</f>
        <v>100</v>
      </c>
      <c r="X23" s="1375"/>
      <c r="Y23" s="3900"/>
      <c r="Z23" s="1383" t="str">
        <f>Q23</f>
        <v>交通便捷度</v>
      </c>
      <c r="AA23" s="1384">
        <f t="shared" si="3"/>
        <v>1</v>
      </c>
      <c r="AB23" s="1384">
        <f t="shared" si="4"/>
        <v>1</v>
      </c>
      <c r="AC23" s="1384">
        <f t="shared" si="5"/>
        <v>1</v>
      </c>
    </row>
    <row r="24" spans="1:29" ht="20.25">
      <c r="A24" s="500"/>
      <c r="B24" s="546"/>
      <c r="C24" s="522" t="s">
        <v>3264</v>
      </c>
      <c r="D24" s="525"/>
      <c r="E24" s="526" t="s">
        <v>3264</v>
      </c>
      <c r="F24" s="523"/>
      <c r="G24" s="526" t="s">
        <v>3264</v>
      </c>
      <c r="H24" s="523"/>
      <c r="I24" s="526" t="s">
        <v>3264</v>
      </c>
      <c r="J24" s="523"/>
      <c r="K24" s="499"/>
      <c r="L24" s="1859"/>
      <c r="M24" s="1849"/>
      <c r="N24" s="1849"/>
      <c r="O24" s="1858"/>
      <c r="P24" s="3900"/>
      <c r="Q24" s="1380"/>
      <c r="R24" s="1381"/>
      <c r="S24" s="1382"/>
      <c r="T24" s="1381"/>
      <c r="U24" s="1382"/>
      <c r="V24" s="1381"/>
      <c r="W24" s="1382"/>
      <c r="X24" s="1375"/>
      <c r="Y24" s="3900"/>
      <c r="Z24" s="1383"/>
      <c r="AA24" s="1384">
        <v>1</v>
      </c>
      <c r="AB24" s="1384">
        <v>1</v>
      </c>
      <c r="AC24" s="1384">
        <v>1</v>
      </c>
    </row>
    <row r="25" spans="1:29" ht="27">
      <c r="A25" s="483"/>
      <c r="B25" s="249" t="s">
        <v>493</v>
      </c>
      <c r="C25" s="541" t="str">
        <f>估价对象房地状况!C19</f>
        <v>较好</v>
      </c>
      <c r="D25" s="531">
        <v>100</v>
      </c>
      <c r="E25" s="532" t="s">
        <v>3262</v>
      </c>
      <c r="F25" s="533">
        <f>SUMIF(97:97,E26,98:98)-SUMIF(97:97,C26,98:98)+100</f>
        <v>100</v>
      </c>
      <c r="G25" s="532" t="s">
        <v>3262</v>
      </c>
      <c r="H25" s="527">
        <f>SUMIF(97:97,G26,98:98)-SUMIF(97:97,C26,98:98)+100</f>
        <v>100</v>
      </c>
      <c r="I25" s="532" t="s">
        <v>3262</v>
      </c>
      <c r="J25" s="527">
        <f>SUMIF(97:97,I26,98:98)-SUMIF(97:97,C26,98:98)+100</f>
        <v>100</v>
      </c>
      <c r="K25" s="503">
        <v>2</v>
      </c>
      <c r="L25" s="1859"/>
      <c r="M25" s="1849"/>
      <c r="N25" s="1849"/>
      <c r="O25" s="1858"/>
      <c r="P25" s="3900"/>
      <c r="Q25" s="1380" t="str">
        <f t="shared" ref="Q25:Q39" si="8">B25</f>
        <v>区域土地利用方向</v>
      </c>
      <c r="R25" s="1381" t="s">
        <v>5</v>
      </c>
      <c r="S25" s="1382">
        <f>F25</f>
        <v>100</v>
      </c>
      <c r="T25" s="1381" t="s">
        <v>5</v>
      </c>
      <c r="U25" s="1382">
        <f>H25</f>
        <v>100</v>
      </c>
      <c r="V25" s="1381" t="s">
        <v>5</v>
      </c>
      <c r="W25" s="1382">
        <f>J25</f>
        <v>100</v>
      </c>
      <c r="X25" s="1375"/>
      <c r="Y25" s="3900"/>
      <c r="Z25" s="1383" t="str">
        <f>Q25</f>
        <v>区域土地利用方向</v>
      </c>
      <c r="AA25" s="1384">
        <f t="shared" si="3"/>
        <v>1</v>
      </c>
      <c r="AB25" s="1384">
        <f t="shared" si="4"/>
        <v>1</v>
      </c>
      <c r="AC25" s="1384">
        <f t="shared" si="5"/>
        <v>1</v>
      </c>
    </row>
    <row r="26" spans="1:29" ht="20.25">
      <c r="A26" s="483"/>
      <c r="B26" s="963"/>
      <c r="C26" s="522" t="s">
        <v>3262</v>
      </c>
      <c r="D26" s="525"/>
      <c r="E26" s="526" t="s">
        <v>3262</v>
      </c>
      <c r="F26" s="523"/>
      <c r="G26" s="526" t="s">
        <v>3262</v>
      </c>
      <c r="H26" s="523"/>
      <c r="I26" s="526" t="s">
        <v>3262</v>
      </c>
      <c r="J26" s="523"/>
      <c r="K26" s="499"/>
      <c r="L26" s="1859"/>
      <c r="M26" s="1849"/>
      <c r="N26" s="1849"/>
      <c r="O26" s="1858"/>
      <c r="P26" s="3900"/>
      <c r="Q26" s="1380"/>
      <c r="R26" s="1381"/>
      <c r="S26" s="1382"/>
      <c r="T26" s="1381"/>
      <c r="U26" s="1382"/>
      <c r="V26" s="1381"/>
      <c r="W26" s="1382"/>
      <c r="X26" s="1375"/>
      <c r="Y26" s="3900"/>
      <c r="Z26" s="1383"/>
      <c r="AA26" s="1384"/>
      <c r="AB26" s="1384"/>
      <c r="AC26" s="1384"/>
    </row>
    <row r="27" spans="1:29" ht="27">
      <c r="A27" s="483"/>
      <c r="B27" s="546" t="s">
        <v>494</v>
      </c>
      <c r="C27" s="529" t="str">
        <f>估价对象房地状况!C20</f>
        <v>较好</v>
      </c>
      <c r="D27" s="531">
        <v>100</v>
      </c>
      <c r="E27" s="532" t="s">
        <v>3262</v>
      </c>
      <c r="F27" s="527">
        <f>SUMIF(99:99,E28,100:100)-SUMIF(99:99,C28,100:100)+100</f>
        <v>100</v>
      </c>
      <c r="G27" s="532" t="s">
        <v>3262</v>
      </c>
      <c r="H27" s="527">
        <f>SUMIF(99:99,G28,100:100)-SUMIF(99:99,C28,100:100)+100</f>
        <v>100</v>
      </c>
      <c r="I27" s="532" t="s">
        <v>3262</v>
      </c>
      <c r="J27" s="527">
        <f>SUMIF(99:99,I28,100:100)-SUMIF(99:99,C28,100:100)+100</f>
        <v>100</v>
      </c>
      <c r="K27" s="503">
        <v>2</v>
      </c>
      <c r="L27" s="1859"/>
      <c r="M27" s="1849"/>
      <c r="N27" s="1849"/>
      <c r="O27" s="1858"/>
      <c r="P27" s="3900"/>
      <c r="Q27" s="1380" t="str">
        <f t="shared" si="8"/>
        <v>自然及人文环境状况</v>
      </c>
      <c r="R27" s="1381" t="s">
        <v>5</v>
      </c>
      <c r="S27" s="1382">
        <f>F27</f>
        <v>100</v>
      </c>
      <c r="T27" s="1381" t="s">
        <v>5</v>
      </c>
      <c r="U27" s="1382">
        <f>H27</f>
        <v>100</v>
      </c>
      <c r="V27" s="1381" t="s">
        <v>5</v>
      </c>
      <c r="W27" s="1382">
        <f>J27</f>
        <v>100</v>
      </c>
      <c r="X27" s="1375"/>
      <c r="Y27" s="3900"/>
      <c r="Z27" s="1383" t="str">
        <f>Q27</f>
        <v>自然及人文环境状况</v>
      </c>
      <c r="AA27" s="1384">
        <f t="shared" si="3"/>
        <v>1</v>
      </c>
      <c r="AB27" s="1384">
        <f t="shared" si="4"/>
        <v>1</v>
      </c>
      <c r="AC27" s="1384">
        <f t="shared" si="5"/>
        <v>1</v>
      </c>
    </row>
    <row r="28" spans="1:29" ht="20.25">
      <c r="A28" s="483"/>
      <c r="B28" s="534"/>
      <c r="C28" s="522" t="s">
        <v>3262</v>
      </c>
      <c r="D28" s="525"/>
      <c r="E28" s="544" t="s">
        <v>3262</v>
      </c>
      <c r="F28" s="523"/>
      <c r="G28" s="544" t="s">
        <v>3262</v>
      </c>
      <c r="H28" s="523"/>
      <c r="I28" s="544" t="s">
        <v>3262</v>
      </c>
      <c r="J28" s="523"/>
      <c r="K28" s="499"/>
      <c r="L28" s="1859"/>
      <c r="M28" s="1849"/>
      <c r="N28" s="1849"/>
      <c r="O28" s="1858"/>
      <c r="P28" s="3900"/>
      <c r="Q28" s="1380"/>
      <c r="R28" s="1381"/>
      <c r="S28" s="1382"/>
      <c r="T28" s="1381"/>
      <c r="U28" s="1382"/>
      <c r="V28" s="1381"/>
      <c r="W28" s="1382"/>
      <c r="X28" s="1375"/>
      <c r="Y28" s="3900"/>
      <c r="Z28" s="1383"/>
      <c r="AA28" s="1384">
        <v>1</v>
      </c>
      <c r="AB28" s="1384">
        <v>1</v>
      </c>
      <c r="AC28" s="1384">
        <v>1</v>
      </c>
    </row>
    <row r="29" spans="1:29" s="1113" customFormat="1" ht="20.25">
      <c r="A29" s="545"/>
      <c r="B29" s="2193" t="s">
        <v>1827</v>
      </c>
      <c r="C29" s="541" t="str">
        <f>估价对象房地状况!C21</f>
        <v>一般</v>
      </c>
      <c r="D29" s="531">
        <v>100</v>
      </c>
      <c r="E29" s="532" t="s">
        <v>3264</v>
      </c>
      <c r="F29" s="527">
        <f>SUMIF(101:101,E30,102:102)-SUMIF(101:101,C30,102:102)+100</f>
        <v>100</v>
      </c>
      <c r="G29" s="532" t="s">
        <v>3264</v>
      </c>
      <c r="H29" s="527">
        <f>SUMIF(101:101,G30,102:102)-SUMIF(101:101,C30,102:102)+100</f>
        <v>100</v>
      </c>
      <c r="I29" s="532" t="s">
        <v>3264</v>
      </c>
      <c r="J29" s="527">
        <f>SUMIF(101:101,I30,102:102)-SUMIF(101:101,C30,102:102)+100</f>
        <v>100</v>
      </c>
      <c r="K29" s="503">
        <v>2</v>
      </c>
      <c r="L29" s="1852"/>
      <c r="M29" s="1849"/>
      <c r="N29" s="1849"/>
      <c r="O29" s="1854"/>
      <c r="P29" s="3900"/>
      <c r="Q29" s="1045" t="str">
        <f t="shared" si="8"/>
        <v>公共配套设施</v>
      </c>
      <c r="R29" s="1376" t="s">
        <v>5</v>
      </c>
      <c r="S29" s="1377">
        <f>F29</f>
        <v>100</v>
      </c>
      <c r="T29" s="1376" t="s">
        <v>5</v>
      </c>
      <c r="U29" s="1377">
        <f>H29</f>
        <v>100</v>
      </c>
      <c r="V29" s="1376" t="s">
        <v>5</v>
      </c>
      <c r="W29" s="1377">
        <f>J29</f>
        <v>100</v>
      </c>
      <c r="X29" s="1378"/>
      <c r="Y29" s="3900"/>
      <c r="Z29" s="1044" t="str">
        <f>Q29</f>
        <v>公共配套设施</v>
      </c>
      <c r="AA29" s="1384">
        <f>D29/F29</f>
        <v>1</v>
      </c>
      <c r="AB29" s="1384">
        <f>D29/H29</f>
        <v>1</v>
      </c>
      <c r="AC29" s="1384">
        <f>D29/J29</f>
        <v>1</v>
      </c>
    </row>
    <row r="30" spans="1:29" s="1113" customFormat="1" ht="20.25">
      <c r="A30" s="545"/>
      <c r="B30" s="534"/>
      <c r="C30" s="547" t="s">
        <v>3264</v>
      </c>
      <c r="D30" s="525"/>
      <c r="E30" s="544" t="s">
        <v>3264</v>
      </c>
      <c r="F30" s="523"/>
      <c r="G30" s="544" t="s">
        <v>3264</v>
      </c>
      <c r="H30" s="523"/>
      <c r="I30" s="544" t="s">
        <v>3264</v>
      </c>
      <c r="J30" s="523"/>
      <c r="K30" s="499"/>
      <c r="L30" s="1852"/>
      <c r="M30" s="1849"/>
      <c r="N30" s="1849"/>
      <c r="O30" s="1854"/>
      <c r="P30" s="3900"/>
      <c r="Q30" s="1045"/>
      <c r="R30" s="1376"/>
      <c r="S30" s="1377"/>
      <c r="T30" s="1376"/>
      <c r="U30" s="1377"/>
      <c r="V30" s="1376"/>
      <c r="W30" s="1377"/>
      <c r="X30" s="1378"/>
      <c r="Y30" s="3900"/>
      <c r="Z30" s="1044"/>
      <c r="AA30" s="1384">
        <v>1</v>
      </c>
      <c r="AB30" s="1384">
        <v>1</v>
      </c>
      <c r="AC30" s="1384">
        <v>1</v>
      </c>
    </row>
    <row r="31" spans="1:29" s="1113" customFormat="1" ht="20.25">
      <c r="A31" s="545"/>
      <c r="B31" s="2193" t="s">
        <v>1828</v>
      </c>
      <c r="C31" s="541" t="str">
        <f>估价对象房地状况!C22</f>
        <v>七通</v>
      </c>
      <c r="D31" s="531">
        <v>100</v>
      </c>
      <c r="E31" s="3709" t="s">
        <v>3791</v>
      </c>
      <c r="F31" s="527">
        <f>SUMIF(103:103,E32,104:104)-SUMIF(103:103,C32,104:104)+100</f>
        <v>100</v>
      </c>
      <c r="G31" s="3709" t="s">
        <v>3789</v>
      </c>
      <c r="H31" s="527">
        <f>SUMIF(103:103,G32,104:104)-SUMIF(103:103,C32,104:104)+100</f>
        <v>100</v>
      </c>
      <c r="I31" s="3709" t="s">
        <v>3789</v>
      </c>
      <c r="J31" s="527">
        <f>SUMIF(103:103,I32,104:104)-SUMIF(103:103,C32,104:104)+100</f>
        <v>100</v>
      </c>
      <c r="K31" s="503">
        <v>1</v>
      </c>
      <c r="L31" s="1852"/>
      <c r="M31" s="1849"/>
      <c r="N31" s="1849"/>
      <c r="O31" s="1854"/>
      <c r="P31" s="3900"/>
      <c r="Q31" s="2186" t="str">
        <f>B31</f>
        <v>基础设施水平</v>
      </c>
      <c r="R31" s="1376" t="s">
        <v>5</v>
      </c>
      <c r="S31" s="1377">
        <f>F31</f>
        <v>100</v>
      </c>
      <c r="T31" s="1376" t="s">
        <v>5</v>
      </c>
      <c r="U31" s="1377">
        <f>H31</f>
        <v>100</v>
      </c>
      <c r="V31" s="1376" t="s">
        <v>5</v>
      </c>
      <c r="W31" s="1377">
        <f>J31</f>
        <v>100</v>
      </c>
      <c r="X31" s="1378"/>
      <c r="Y31" s="3900"/>
      <c r="Z31" s="2185" t="str">
        <f>Q31</f>
        <v>基础设施水平</v>
      </c>
      <c r="AA31" s="1384">
        <f>D31/F31</f>
        <v>1</v>
      </c>
      <c r="AB31" s="1384">
        <f>D31/H31</f>
        <v>1</v>
      </c>
      <c r="AC31" s="1384">
        <f>D31/J31</f>
        <v>1</v>
      </c>
    </row>
    <row r="32" spans="1:29" s="1113" customFormat="1" ht="20.25">
      <c r="A32" s="545"/>
      <c r="B32" s="534"/>
      <c r="C32" s="547" t="s">
        <v>3267</v>
      </c>
      <c r="D32" s="525"/>
      <c r="E32" s="2194" t="s">
        <v>3267</v>
      </c>
      <c r="F32" s="523"/>
      <c r="G32" s="2194" t="s">
        <v>3267</v>
      </c>
      <c r="H32" s="523"/>
      <c r="I32" s="2194" t="s">
        <v>3267</v>
      </c>
      <c r="J32" s="523"/>
      <c r="K32" s="499"/>
      <c r="L32" s="1852"/>
      <c r="M32" s="1849"/>
      <c r="N32" s="1849"/>
      <c r="O32" s="1854"/>
      <c r="P32" s="3900"/>
      <c r="Q32" s="2186"/>
      <c r="R32" s="1376"/>
      <c r="S32" s="1377"/>
      <c r="T32" s="1376"/>
      <c r="U32" s="1377"/>
      <c r="V32" s="1376"/>
      <c r="W32" s="1377"/>
      <c r="X32" s="1378"/>
      <c r="Y32" s="3900"/>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00"/>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00"/>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00"/>
      <c r="Q34" s="1380" t="str">
        <f t="shared" si="8"/>
        <v>毗邻道路的类型与等级</v>
      </c>
      <c r="R34" s="1381" t="s">
        <v>5</v>
      </c>
      <c r="S34" s="1382">
        <f t="shared" si="9"/>
        <v>100</v>
      </c>
      <c r="T34" s="1381" t="s">
        <v>5</v>
      </c>
      <c r="U34" s="1382">
        <f t="shared" si="10"/>
        <v>100</v>
      </c>
      <c r="V34" s="1381" t="s">
        <v>5</v>
      </c>
      <c r="W34" s="1382">
        <f t="shared" si="11"/>
        <v>100</v>
      </c>
      <c r="X34" s="1375"/>
      <c r="Y34" s="3900"/>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00"/>
      <c r="Q35" s="1380"/>
      <c r="R35" s="1381"/>
      <c r="S35" s="1382"/>
      <c r="T35" s="1381"/>
      <c r="U35" s="1382"/>
      <c r="V35" s="1381"/>
      <c r="W35" s="1382"/>
      <c r="X35" s="1375"/>
      <c r="Y35" s="3900"/>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00"/>
      <c r="Q36" s="1380" t="str">
        <f t="shared" si="8"/>
        <v>土地级别</v>
      </c>
      <c r="R36" s="1381" t="s">
        <v>5</v>
      </c>
      <c r="S36" s="1382">
        <f t="shared" si="9"/>
        <v>100</v>
      </c>
      <c r="T36" s="1381" t="s">
        <v>5</v>
      </c>
      <c r="U36" s="1382">
        <f t="shared" si="10"/>
        <v>100</v>
      </c>
      <c r="V36" s="1381" t="s">
        <v>5</v>
      </c>
      <c r="W36" s="1382">
        <f t="shared" si="11"/>
        <v>100</v>
      </c>
      <c r="X36" s="1375"/>
      <c r="Y36" s="3900"/>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00"/>
      <c r="Q37" s="1380">
        <f t="shared" si="8"/>
        <v>111</v>
      </c>
      <c r="R37" s="1381" t="s">
        <v>5</v>
      </c>
      <c r="S37" s="1382">
        <f t="shared" si="9"/>
        <v>100</v>
      </c>
      <c r="T37" s="1381" t="s">
        <v>5</v>
      </c>
      <c r="U37" s="1382">
        <f t="shared" si="10"/>
        <v>100</v>
      </c>
      <c r="V37" s="1381" t="s">
        <v>5</v>
      </c>
      <c r="W37" s="1382">
        <f t="shared" si="11"/>
        <v>100</v>
      </c>
      <c r="X37" s="1375"/>
      <c r="Y37" s="3900"/>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01" t="s">
        <v>499</v>
      </c>
      <c r="Q38" s="1380">
        <f t="shared" si="8"/>
        <v>111</v>
      </c>
      <c r="R38" s="1381" t="s">
        <v>5</v>
      </c>
      <c r="S38" s="1382">
        <f t="shared" si="9"/>
        <v>100</v>
      </c>
      <c r="T38" s="1381" t="s">
        <v>5</v>
      </c>
      <c r="U38" s="1382">
        <f t="shared" si="10"/>
        <v>100</v>
      </c>
      <c r="V38" s="1381" t="s">
        <v>5</v>
      </c>
      <c r="W38" s="1382">
        <f t="shared" si="11"/>
        <v>100</v>
      </c>
      <c r="X38" s="1375"/>
      <c r="Y38" s="3902"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02"/>
      <c r="Q39" s="1380">
        <f t="shared" si="8"/>
        <v>111</v>
      </c>
      <c r="R39" s="1385" t="s">
        <v>5</v>
      </c>
      <c r="S39" s="1386">
        <f t="shared" si="9"/>
        <v>100</v>
      </c>
      <c r="T39" s="1385" t="s">
        <v>5</v>
      </c>
      <c r="U39" s="1386">
        <f t="shared" si="10"/>
        <v>100</v>
      </c>
      <c r="V39" s="1385" t="s">
        <v>5</v>
      </c>
      <c r="W39" s="1386">
        <f t="shared" si="11"/>
        <v>100</v>
      </c>
      <c r="X39" s="1387"/>
      <c r="Y39" s="3902"/>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02"/>
      <c r="Q40" s="1380" t="str">
        <f>B40</f>
        <v>宗地面积</v>
      </c>
      <c r="R40" s="1381" t="s">
        <v>5</v>
      </c>
      <c r="S40" s="1382">
        <f t="shared" si="9"/>
        <v>96</v>
      </c>
      <c r="T40" s="1381" t="s">
        <v>5</v>
      </c>
      <c r="U40" s="1382">
        <f t="shared" si="10"/>
        <v>100</v>
      </c>
      <c r="V40" s="1381" t="s">
        <v>5</v>
      </c>
      <c r="W40" s="1382">
        <f t="shared" si="11"/>
        <v>98</v>
      </c>
      <c r="X40" s="1375"/>
      <c r="Y40" s="3902"/>
      <c r="Z40" s="1383" t="str">
        <f t="shared" si="12"/>
        <v>宗地面积</v>
      </c>
      <c r="AA40" s="1384">
        <f t="shared" si="3"/>
        <v>1.0416666666666667</v>
      </c>
      <c r="AB40" s="1384">
        <f t="shared" si="4"/>
        <v>1</v>
      </c>
      <c r="AC40" s="1384">
        <f t="shared" si="5"/>
        <v>1.0204081632653061</v>
      </c>
    </row>
    <row r="41" spans="1:29" ht="20.25">
      <c r="A41" s="562"/>
      <c r="B41" s="495" t="s">
        <v>502</v>
      </c>
      <c r="C41" s="567" t="s">
        <v>3264</v>
      </c>
      <c r="D41" s="508">
        <v>100</v>
      </c>
      <c r="E41" s="567" t="s">
        <v>3264</v>
      </c>
      <c r="F41" s="508">
        <f>SUMIF(120:120,E41,121:121)-SUMIF(120:120,C41,121:121)+100</f>
        <v>100</v>
      </c>
      <c r="G41" s="567" t="s">
        <v>3491</v>
      </c>
      <c r="H41" s="508">
        <f>SUMIF(120:120,G41,121:121)-SUMIF(120:120,C41,121:121)+100</f>
        <v>102</v>
      </c>
      <c r="I41" s="567" t="s">
        <v>3491</v>
      </c>
      <c r="J41" s="508">
        <f>SUMIF(120:120,I41,121:121)-SUMIF(120:120,C41,121:121)+100</f>
        <v>102</v>
      </c>
      <c r="K41" s="552">
        <v>2</v>
      </c>
      <c r="L41" s="1859"/>
      <c r="M41" s="1849"/>
      <c r="N41" s="1849"/>
      <c r="O41" s="1858"/>
      <c r="P41" s="3902"/>
      <c r="Q41" s="1380" t="str">
        <f t="shared" ref="Q41:Q47" si="13">B41</f>
        <v>宗地形状</v>
      </c>
      <c r="R41" s="1381" t="s">
        <v>5</v>
      </c>
      <c r="S41" s="1382">
        <f t="shared" si="9"/>
        <v>100</v>
      </c>
      <c r="T41" s="1381" t="s">
        <v>5</v>
      </c>
      <c r="U41" s="1382">
        <f t="shared" si="10"/>
        <v>102</v>
      </c>
      <c r="V41" s="1381" t="s">
        <v>5</v>
      </c>
      <c r="W41" s="1382">
        <f t="shared" si="11"/>
        <v>102</v>
      </c>
      <c r="X41" s="1375"/>
      <c r="Y41" s="3902"/>
      <c r="Z41" s="1383" t="str">
        <f t="shared" si="12"/>
        <v>宗地形状</v>
      </c>
      <c r="AA41" s="1384">
        <f t="shared" si="3"/>
        <v>1</v>
      </c>
      <c r="AB41" s="1384">
        <f t="shared" si="4"/>
        <v>0.98039215686274506</v>
      </c>
      <c r="AC41" s="1384">
        <f t="shared" si="5"/>
        <v>0.98039215686274506</v>
      </c>
    </row>
    <row r="42" spans="1:29" ht="20.25">
      <c r="A42" s="562"/>
      <c r="B42" s="495" t="s">
        <v>503</v>
      </c>
      <c r="C42" s="567" t="s">
        <v>3497</v>
      </c>
      <c r="D42" s="508">
        <v>100</v>
      </c>
      <c r="E42" s="567" t="s">
        <v>3497</v>
      </c>
      <c r="F42" s="508">
        <f>SUMIF(122:122,E42,123:123)-SUMIF(122:122,C42,123:123)+100</f>
        <v>100</v>
      </c>
      <c r="G42" s="567" t="s">
        <v>3497</v>
      </c>
      <c r="H42" s="508">
        <f>SUMIF(122:122,G42,123:123)-SUMIF(122:122,C42,123:123)+100</f>
        <v>100</v>
      </c>
      <c r="I42" s="567" t="s">
        <v>3497</v>
      </c>
      <c r="J42" s="508">
        <f>SUMIF(122:122,I42,123:123)-SUMIF(122:122,C42,123:123)+100</f>
        <v>100</v>
      </c>
      <c r="K42" s="552">
        <v>2</v>
      </c>
      <c r="L42" s="1859"/>
      <c r="M42" s="1849"/>
      <c r="N42" s="1849"/>
      <c r="O42" s="1858"/>
      <c r="P42" s="3902"/>
      <c r="Q42" s="1380" t="str">
        <f t="shared" si="13"/>
        <v>临街宽度及深度</v>
      </c>
      <c r="R42" s="1381" t="s">
        <v>5</v>
      </c>
      <c r="S42" s="1382">
        <f t="shared" si="9"/>
        <v>100</v>
      </c>
      <c r="T42" s="1381" t="s">
        <v>5</v>
      </c>
      <c r="U42" s="1382">
        <f t="shared" si="10"/>
        <v>100</v>
      </c>
      <c r="V42" s="1381" t="s">
        <v>5</v>
      </c>
      <c r="W42" s="1382">
        <f t="shared" si="11"/>
        <v>100</v>
      </c>
      <c r="X42" s="1375"/>
      <c r="Y42" s="3902"/>
      <c r="Z42" s="1383" t="str">
        <f t="shared" si="12"/>
        <v>临街宽度及深度</v>
      </c>
      <c r="AA42" s="1384">
        <f t="shared" si="3"/>
        <v>1</v>
      </c>
      <c r="AB42" s="1384">
        <f t="shared" si="4"/>
        <v>1</v>
      </c>
      <c r="AC42" s="1384">
        <f t="shared" si="5"/>
        <v>1</v>
      </c>
    </row>
    <row r="43" spans="1:29" s="1113" customFormat="1" ht="20.25">
      <c r="A43" s="568"/>
      <c r="B43" s="1645" t="s">
        <v>1772</v>
      </c>
      <c r="C43" s="569" t="s">
        <v>3505</v>
      </c>
      <c r="D43" s="245">
        <v>100</v>
      </c>
      <c r="E43" s="569" t="s">
        <v>3505</v>
      </c>
      <c r="F43" s="508">
        <f>SUMIF(124:124,E43,125:125)-SUMIF(124:124,C43,125:125)+100</f>
        <v>100</v>
      </c>
      <c r="G43" s="569" t="s">
        <v>3506</v>
      </c>
      <c r="H43" s="508">
        <f>SUMIF(124:124,G43,125:125)-SUMIF(124:124,C43,125:125)+100</f>
        <v>99</v>
      </c>
      <c r="I43" s="569" t="s">
        <v>3506</v>
      </c>
      <c r="J43" s="508">
        <f>SUMIF(124:124,I43,125:125)-SUMIF(124:124,C43,125:125)+100</f>
        <v>99</v>
      </c>
      <c r="K43" s="552">
        <v>1</v>
      </c>
      <c r="L43" s="1852"/>
      <c r="M43" s="1849"/>
      <c r="N43" s="1849"/>
      <c r="O43" s="1854"/>
      <c r="P43" s="3902"/>
      <c r="Q43" s="1380" t="str">
        <f t="shared" si="13"/>
        <v>宗地开发程度</v>
      </c>
      <c r="R43" s="1376" t="s">
        <v>5</v>
      </c>
      <c r="S43" s="1377">
        <f t="shared" si="9"/>
        <v>100</v>
      </c>
      <c r="T43" s="1376" t="s">
        <v>5</v>
      </c>
      <c r="U43" s="1377">
        <f t="shared" si="10"/>
        <v>99</v>
      </c>
      <c r="V43" s="1376" t="s">
        <v>5</v>
      </c>
      <c r="W43" s="1377">
        <f t="shared" si="11"/>
        <v>99</v>
      </c>
      <c r="X43" s="1378"/>
      <c r="Y43" s="3902"/>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3262</v>
      </c>
      <c r="D44" s="508">
        <v>100</v>
      </c>
      <c r="E44" s="567" t="s">
        <v>3262</v>
      </c>
      <c r="F44" s="508">
        <f>SUMIF(126:126,E44,127:127)-SUMIF(126:126,C44,127:127)+100</f>
        <v>100</v>
      </c>
      <c r="G44" s="567" t="s">
        <v>3262</v>
      </c>
      <c r="H44" s="508">
        <f>SUMIF(126:126,G44,127:127)-SUMIF(126:126,C44,127:127)+100</f>
        <v>100</v>
      </c>
      <c r="I44" s="567" t="s">
        <v>3262</v>
      </c>
      <c r="J44" s="508">
        <f>SUMIF(126:126,I44,127:127)-SUMIF(126:126,C44,127:127)+100</f>
        <v>100</v>
      </c>
      <c r="K44" s="552">
        <v>2</v>
      </c>
      <c r="L44" s="1859"/>
      <c r="M44" s="1849"/>
      <c r="N44" s="1849"/>
      <c r="O44" s="1858"/>
      <c r="P44" s="3902" t="s">
        <v>499</v>
      </c>
      <c r="Q44" s="1380" t="str">
        <f t="shared" si="13"/>
        <v>工程地质条件</v>
      </c>
      <c r="R44" s="1381" t="s">
        <v>5</v>
      </c>
      <c r="S44" s="1382">
        <f t="shared" si="9"/>
        <v>100</v>
      </c>
      <c r="T44" s="1381" t="s">
        <v>5</v>
      </c>
      <c r="U44" s="1382">
        <f t="shared" si="10"/>
        <v>100</v>
      </c>
      <c r="V44" s="1381" t="s">
        <v>5</v>
      </c>
      <c r="W44" s="1382">
        <f t="shared" si="11"/>
        <v>100</v>
      </c>
      <c r="X44" s="1375"/>
      <c r="Y44" s="3902"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02"/>
      <c r="Q45" s="1380">
        <f t="shared" si="13"/>
        <v>111</v>
      </c>
      <c r="R45" s="1381" t="s">
        <v>5</v>
      </c>
      <c r="S45" s="1382">
        <f t="shared" si="9"/>
        <v>100</v>
      </c>
      <c r="T45" s="1381" t="s">
        <v>5</v>
      </c>
      <c r="U45" s="1382">
        <f t="shared" si="10"/>
        <v>100</v>
      </c>
      <c r="V45" s="1381" t="s">
        <v>5</v>
      </c>
      <c r="W45" s="1382">
        <f t="shared" si="11"/>
        <v>100</v>
      </c>
      <c r="X45" s="1375"/>
      <c r="Y45" s="3902"/>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02"/>
      <c r="Q46" s="1380">
        <f t="shared" si="13"/>
        <v>111</v>
      </c>
      <c r="R46" s="1381" t="s">
        <v>5</v>
      </c>
      <c r="S46" s="1382">
        <f t="shared" si="9"/>
        <v>100</v>
      </c>
      <c r="T46" s="1381" t="s">
        <v>5</v>
      </c>
      <c r="U46" s="1382">
        <f t="shared" si="10"/>
        <v>100</v>
      </c>
      <c r="V46" s="1381" t="s">
        <v>5</v>
      </c>
      <c r="W46" s="1382">
        <f t="shared" si="11"/>
        <v>100</v>
      </c>
      <c r="X46" s="1375"/>
      <c r="Y46" s="3902"/>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02"/>
      <c r="Q47" s="1380">
        <f t="shared" si="13"/>
        <v>111</v>
      </c>
      <c r="R47" s="1385" t="s">
        <v>5</v>
      </c>
      <c r="S47" s="1386">
        <f t="shared" si="9"/>
        <v>100</v>
      </c>
      <c r="T47" s="1385" t="s">
        <v>5</v>
      </c>
      <c r="U47" s="1386">
        <f t="shared" si="10"/>
        <v>100</v>
      </c>
      <c r="V47" s="1385" t="s">
        <v>5</v>
      </c>
      <c r="W47" s="1386">
        <f t="shared" si="11"/>
        <v>100</v>
      </c>
      <c r="X47" s="1387"/>
      <c r="Y47" s="3902"/>
      <c r="Z47" s="1388">
        <f t="shared" si="12"/>
        <v>111</v>
      </c>
      <c r="AA47" s="1384">
        <f t="shared" si="3"/>
        <v>1</v>
      </c>
      <c r="AB47" s="1384">
        <f t="shared" si="4"/>
        <v>1</v>
      </c>
      <c r="AC47" s="1384">
        <f t="shared" si="5"/>
        <v>1</v>
      </c>
    </row>
    <row r="48" spans="1:29" ht="20.25">
      <c r="A48" s="575" t="s">
        <v>505</v>
      </c>
      <c r="B48" s="576" t="s">
        <v>3501</v>
      </c>
      <c r="C48" s="577" t="s">
        <v>0</v>
      </c>
      <c r="D48" s="578"/>
      <c r="E48" s="579">
        <f>土地案例!AP2</f>
        <v>89640</v>
      </c>
      <c r="F48" s="580"/>
      <c r="G48" s="581">
        <f>土地案例!AP3</f>
        <v>70070</v>
      </c>
      <c r="H48" s="582"/>
      <c r="I48" s="579">
        <f>土地案例!AP4</f>
        <v>70027</v>
      </c>
      <c r="J48" s="582"/>
      <c r="K48" s="1196"/>
      <c r="L48" s="1861"/>
      <c r="M48" s="1849"/>
      <c r="N48" s="1849"/>
      <c r="O48" s="1862"/>
      <c r="P48" s="3897" t="str">
        <f>A48</f>
        <v>成交单价</v>
      </c>
      <c r="Q48" s="3897"/>
      <c r="R48" s="3913">
        <f>E48</f>
        <v>89640</v>
      </c>
      <c r="S48" s="3913"/>
      <c r="T48" s="3913">
        <f>G48</f>
        <v>70070</v>
      </c>
      <c r="U48" s="3913"/>
      <c r="V48" s="3913">
        <f>I48</f>
        <v>70027</v>
      </c>
      <c r="W48" s="3913"/>
      <c r="X48" s="1370"/>
      <c r="Y48" s="1389"/>
      <c r="Z48" s="1370"/>
      <c r="AA48" s="1370"/>
      <c r="AB48" s="1370"/>
      <c r="AC48" s="1370"/>
    </row>
    <row r="49" spans="1:29" ht="21" thickBot="1">
      <c r="A49" s="583" t="s">
        <v>1971</v>
      </c>
      <c r="B49" s="584"/>
      <c r="C49" s="585">
        <f>R50</f>
        <v>84159</v>
      </c>
      <c r="D49" s="2749" t="s">
        <v>2246</v>
      </c>
      <c r="E49" s="585">
        <f>R49</f>
        <v>93844</v>
      </c>
      <c r="F49" s="2750"/>
      <c r="G49" s="586">
        <f>T49</f>
        <v>78540</v>
      </c>
      <c r="H49" s="2750"/>
      <c r="I49" s="585">
        <f>V49</f>
        <v>80094</v>
      </c>
      <c r="J49" s="2750"/>
      <c r="K49" s="2751">
        <f>F49+H49+J49</f>
        <v>0</v>
      </c>
      <c r="L49" s="1861"/>
      <c r="M49" s="1849"/>
      <c r="N49" s="1849"/>
      <c r="O49" s="1862"/>
      <c r="P49" s="3897" t="str">
        <f>A49</f>
        <v>比较价格（元/平方米）</v>
      </c>
      <c r="Q49" s="3897"/>
      <c r="R49" s="3922">
        <f>ROUND(PRODUCT(R48,AA9:AA47),0)</f>
        <v>93844</v>
      </c>
      <c r="S49" s="3922"/>
      <c r="T49" s="3922">
        <f>ROUND(PRODUCT(T48,AB9:AB47),0)</f>
        <v>78540</v>
      </c>
      <c r="U49" s="3922"/>
      <c r="V49" s="3922">
        <f>ROUND(PRODUCT(V48,AC9:AC47),0)</f>
        <v>80094</v>
      </c>
      <c r="W49" s="3922"/>
      <c r="X49" s="1370"/>
      <c r="Y49" s="1370"/>
      <c r="Z49" s="1370"/>
      <c r="AA49" s="1370"/>
      <c r="AB49" s="1370"/>
      <c r="AC49" s="1370"/>
    </row>
    <row r="50" spans="1:29" ht="21" thickBot="1">
      <c r="A50" s="587" t="s">
        <v>2183</v>
      </c>
      <c r="B50" s="588"/>
      <c r="C50" s="589">
        <f>R50</f>
        <v>84159</v>
      </c>
      <c r="D50" s="589"/>
      <c r="E50" s="589"/>
      <c r="F50" s="589"/>
      <c r="G50" s="589"/>
      <c r="H50" s="589"/>
      <c r="I50" s="589"/>
      <c r="J50" s="589"/>
      <c r="K50" s="1197"/>
      <c r="L50" s="1861"/>
      <c r="M50" s="1849"/>
      <c r="N50" s="1849"/>
      <c r="O50" s="1862"/>
      <c r="P50" s="3903" t="str">
        <f>A50</f>
        <v>估价对象XX用房的比较价格（楼面单价，元/平方米）</v>
      </c>
      <c r="Q50" s="3904"/>
      <c r="R50" s="3921">
        <f>ROUND(IF(D49="简单平均",AVERAGE(R49:W49),R49*F49+T49*H49+V49*J49),0)</f>
        <v>84159</v>
      </c>
      <c r="S50" s="3921"/>
      <c r="T50" s="3921"/>
      <c r="U50" s="3921"/>
      <c r="V50" s="3921"/>
      <c r="W50" s="3921"/>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2944"/>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4.689870593485046E-2</v>
      </c>
      <c r="F53" s="593" t="str">
        <f>IF(OR(E53&gt;=0.3,E53&lt;=-0.3),"超过30%","")</f>
        <v/>
      </c>
      <c r="G53" s="592">
        <f>IF(G48&lt;G49,G49/G48-1,G48/G49-1)</f>
        <v>0.12087912087912089</v>
      </c>
      <c r="H53" s="593" t="str">
        <f>IF(OR(G53&gt;=0.3,G53&lt;=-0.3),"超过30%","")</f>
        <v/>
      </c>
      <c r="I53" s="592">
        <f>IF(I48&lt;I49,I49/I48-1,I48/I49-1)</f>
        <v>0.14375883587759009</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0.19485612426788901</v>
      </c>
      <c r="F54" s="593" t="str">
        <f>IF(OR(E54&gt;=0.2,E54&lt;=-0.2),"超过20%","")</f>
        <v/>
      </c>
      <c r="G54" s="592">
        <f>IF(G49&lt;I49,I49/G49-1,G49/I49-1)</f>
        <v>1.9786096256684482E-2</v>
      </c>
      <c r="H54" s="593" t="str">
        <f>IF(OR(G54&gt;=0.2,G54&lt;=-0.2),"超过20%","")</f>
        <v/>
      </c>
      <c r="I54" s="592">
        <f>IF(I49&lt;E49,E49/I49-1,I49/E49-1)</f>
        <v>0.17167328389142766</v>
      </c>
      <c r="J54" s="593" t="str">
        <f>IF(OR(I54&gt;=0.2,I54&lt;=-0.2),"超过20%","")</f>
        <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882" t="s">
        <v>1637</v>
      </c>
      <c r="H57" s="3883"/>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84159</v>
      </c>
      <c r="C58" s="601">
        <v>1</v>
      </c>
      <c r="D58" s="1941">
        <v>1</v>
      </c>
      <c r="E58" s="601">
        <f>'数据-汇总表'!E8+'数据-汇总表'!E9</f>
        <v>89547.3</v>
      </c>
      <c r="F58" s="602">
        <f t="shared" ref="F58:F66" si="14">ROUND(B58*E58/10000,0)</f>
        <v>753621</v>
      </c>
      <c r="G58" s="3884"/>
      <c r="H58" s="3885"/>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5260</v>
      </c>
      <c r="C63" s="363">
        <f t="shared" si="15"/>
        <v>0.25</v>
      </c>
      <c r="D63" s="1942">
        <v>0.25</v>
      </c>
      <c r="E63" s="607">
        <f>'数据-汇总表'!E12</f>
        <v>22904</v>
      </c>
      <c r="F63" s="602">
        <f t="shared" si="14"/>
        <v>12048</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3156</v>
      </c>
      <c r="C64" s="363">
        <f t="shared" si="15"/>
        <v>0.15</v>
      </c>
      <c r="D64" s="1942">
        <v>0.25</v>
      </c>
      <c r="E64" s="607">
        <f>'数据-汇总表'!E13</f>
        <v>27355.32</v>
      </c>
      <c r="F64" s="602">
        <f t="shared" si="14"/>
        <v>8633</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774302</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3746</v>
      </c>
      <c r="P71" s="1876" t="s">
        <v>3747</v>
      </c>
      <c r="Q71" s="1877" t="s">
        <v>3748</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3476</v>
      </c>
      <c r="D76" s="3659" t="s">
        <v>3477</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3478</v>
      </c>
      <c r="D83" s="1228" t="s">
        <v>3479</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3481</v>
      </c>
      <c r="D107" s="3660" t="s">
        <v>3483</v>
      </c>
      <c r="E107" s="3660" t="s">
        <v>3485</v>
      </c>
      <c r="F107" s="3660" t="s">
        <v>3487</v>
      </c>
      <c r="G107" s="3660" t="s">
        <v>3489</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3490</v>
      </c>
      <c r="D120" s="3661" t="s">
        <v>3492</v>
      </c>
      <c r="E120" s="3661" t="s">
        <v>3493</v>
      </c>
      <c r="F120" s="3661" t="s">
        <v>3494</v>
      </c>
      <c r="G120" s="3661" t="s">
        <v>3495</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3496</v>
      </c>
      <c r="D122" s="3660" t="s">
        <v>3498</v>
      </c>
      <c r="E122" s="3660" t="s">
        <v>3493</v>
      </c>
      <c r="F122" s="3661" t="s">
        <v>3499</v>
      </c>
      <c r="G122" s="3661" t="s">
        <v>3500</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0" t="str">
        <f>项目基本情况!B1</f>
        <v>北京市北京市海淀区双新村棚户区改造项目2603-003-1地块R2二类居住用地出让国有建设用地使用权市场价格预评估</v>
      </c>
      <c r="C37" s="3710"/>
      <c r="D37" s="3710"/>
      <c r="E37" s="3710"/>
      <c r="F37" s="3710"/>
      <c r="G37" s="3710"/>
      <c r="H37" s="3710"/>
      <c r="I37" s="3710"/>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topLeftCell="A19" workbookViewId="0">
      <selection activeCell="H51" sqref="H51"/>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3270</v>
      </c>
      <c r="B1" s="3657" t="s">
        <v>3271</v>
      </c>
      <c r="C1" s="3657" t="s">
        <v>3272</v>
      </c>
      <c r="D1" s="3657" t="s">
        <v>3273</v>
      </c>
      <c r="E1" s="3657" t="s">
        <v>3274</v>
      </c>
      <c r="F1" s="3657" t="s">
        <v>3275</v>
      </c>
      <c r="G1" s="3657" t="s">
        <v>3276</v>
      </c>
      <c r="H1" s="3657" t="s">
        <v>3277</v>
      </c>
      <c r="I1" s="3657" t="s">
        <v>3278</v>
      </c>
      <c r="J1" s="3657" t="s">
        <v>3279</v>
      </c>
      <c r="K1" s="3657" t="s">
        <v>1548</v>
      </c>
      <c r="L1" s="3657" t="s">
        <v>3280</v>
      </c>
      <c r="M1" s="3657" t="s">
        <v>3281</v>
      </c>
      <c r="N1" s="3657" t="s">
        <v>3282</v>
      </c>
      <c r="O1" s="3657" t="s">
        <v>3283</v>
      </c>
      <c r="P1" s="3657" t="s">
        <v>3284</v>
      </c>
      <c r="Q1" s="3657" t="s">
        <v>3285</v>
      </c>
      <c r="R1" s="3657" t="s">
        <v>3286</v>
      </c>
      <c r="S1" s="3657" t="s">
        <v>3287</v>
      </c>
      <c r="T1" s="3657" t="s">
        <v>3288</v>
      </c>
      <c r="U1" s="3657" t="s">
        <v>3289</v>
      </c>
      <c r="V1" s="3657" t="s">
        <v>3290</v>
      </c>
      <c r="W1" s="3657" t="s">
        <v>3291</v>
      </c>
      <c r="X1" s="3657" t="s">
        <v>3292</v>
      </c>
      <c r="Y1" s="3657" t="s">
        <v>3293</v>
      </c>
      <c r="Z1" s="3657" t="s">
        <v>3294</v>
      </c>
      <c r="AA1" s="3657" t="s">
        <v>3295</v>
      </c>
      <c r="AB1" s="3657" t="s">
        <v>3296</v>
      </c>
      <c r="AC1" s="3657" t="s">
        <v>3297</v>
      </c>
      <c r="AD1" s="3657" t="s">
        <v>3298</v>
      </c>
      <c r="AE1" s="3657" t="s">
        <v>3299</v>
      </c>
      <c r="AF1" s="3657" t="s">
        <v>3300</v>
      </c>
      <c r="AG1" s="3657" t="s">
        <v>3301</v>
      </c>
      <c r="AH1" s="3657" t="s">
        <v>3302</v>
      </c>
      <c r="AI1" s="3657" t="s">
        <v>3303</v>
      </c>
      <c r="AJ1" s="3657" t="s">
        <v>3304</v>
      </c>
      <c r="AK1" s="3657" t="s">
        <v>3305</v>
      </c>
      <c r="AL1" s="3657" t="s">
        <v>3306</v>
      </c>
      <c r="AM1" s="3657" t="s">
        <v>3307</v>
      </c>
      <c r="AN1" s="3657" t="s">
        <v>3308</v>
      </c>
      <c r="AO1" s="3657" t="s">
        <v>3309</v>
      </c>
      <c r="AP1" s="3657" t="s">
        <v>3310</v>
      </c>
      <c r="AQ1" s="3657" t="s">
        <v>3311</v>
      </c>
      <c r="AR1" s="3657" t="s">
        <v>3312</v>
      </c>
      <c r="AS1" s="3657" t="s">
        <v>3313</v>
      </c>
      <c r="AT1" s="3657" t="s">
        <v>3314</v>
      </c>
      <c r="AU1" s="3657" t="s">
        <v>3315</v>
      </c>
      <c r="AV1" s="3657" t="s">
        <v>3316</v>
      </c>
      <c r="AW1" s="3657" t="s">
        <v>3317</v>
      </c>
      <c r="AX1" s="3657" t="s">
        <v>3318</v>
      </c>
      <c r="AY1" s="3657" t="s">
        <v>3319</v>
      </c>
      <c r="AZ1" s="3657" t="s">
        <v>3320</v>
      </c>
    </row>
    <row r="2" spans="1:52" s="3679" customFormat="1">
      <c r="A2" s="3687" t="s">
        <v>3752</v>
      </c>
      <c r="B2" s="3679" t="s">
        <v>1465</v>
      </c>
      <c r="C2" s="3679" t="s">
        <v>3343</v>
      </c>
      <c r="D2" s="3679" t="s">
        <v>3323</v>
      </c>
      <c r="E2" s="3679" t="s">
        <v>3324</v>
      </c>
      <c r="F2" s="3679" t="s">
        <v>3325</v>
      </c>
      <c r="G2" s="3679" t="s">
        <v>3326</v>
      </c>
      <c r="H2" s="3679" t="s">
        <v>3327</v>
      </c>
      <c r="I2" s="3679">
        <v>18388.669999999998</v>
      </c>
      <c r="J2" s="3679">
        <v>21809.34</v>
      </c>
      <c r="K2" s="3679">
        <v>1.05</v>
      </c>
      <c r="L2" s="3679" t="s">
        <v>3328</v>
      </c>
      <c r="M2" s="3679" t="s">
        <v>3329</v>
      </c>
      <c r="N2" s="3679" t="s">
        <v>3330</v>
      </c>
      <c r="O2" s="3679" t="s">
        <v>3331</v>
      </c>
      <c r="P2" s="3679" t="s">
        <v>3332</v>
      </c>
      <c r="Q2" s="3679">
        <v>12</v>
      </c>
      <c r="R2" s="3679" t="s">
        <v>3333</v>
      </c>
      <c r="S2" s="3679" t="s">
        <v>3334</v>
      </c>
      <c r="T2" s="3679" t="s">
        <v>3332</v>
      </c>
      <c r="U2" s="3679" t="s">
        <v>3332</v>
      </c>
      <c r="V2" s="3679" t="s">
        <v>3332</v>
      </c>
      <c r="W2" s="3679" t="s">
        <v>3332</v>
      </c>
      <c r="X2" s="3679">
        <v>0</v>
      </c>
      <c r="Y2" s="3679">
        <v>0</v>
      </c>
      <c r="Z2" s="3680">
        <v>45057.000497685185</v>
      </c>
      <c r="AA2" s="3680">
        <v>45077.000497685185</v>
      </c>
      <c r="AB2" s="3680">
        <v>45091.000497685185</v>
      </c>
      <c r="AC2" s="3680">
        <v>45091.000497685185</v>
      </c>
      <c r="AD2" s="3679" t="s">
        <v>3344</v>
      </c>
      <c r="AE2" s="3679" t="s">
        <v>3336</v>
      </c>
      <c r="AF2" s="3679" t="s">
        <v>3345</v>
      </c>
      <c r="AG2" s="3679" t="s">
        <v>3346</v>
      </c>
      <c r="AH2" s="3679" t="s">
        <v>3339</v>
      </c>
      <c r="AI2" s="3679">
        <v>170000</v>
      </c>
      <c r="AJ2" s="3679">
        <v>34000</v>
      </c>
      <c r="AK2" s="3679" t="s">
        <v>2091</v>
      </c>
      <c r="AL2" s="3679">
        <v>195500</v>
      </c>
      <c r="AM2" s="3679">
        <v>6163.22</v>
      </c>
      <c r="AN2" s="3679">
        <v>7087.7</v>
      </c>
      <c r="AO2" s="3679">
        <v>77948</v>
      </c>
      <c r="AP2" s="3683">
        <v>89640</v>
      </c>
      <c r="AQ2" s="3679" t="s">
        <v>3332</v>
      </c>
      <c r="AR2" s="3679" t="s">
        <v>3332</v>
      </c>
      <c r="AS2" s="3679">
        <v>15</v>
      </c>
      <c r="AT2" s="3679" t="s">
        <v>3340</v>
      </c>
      <c r="AU2" s="3679">
        <v>195500</v>
      </c>
      <c r="AV2" s="3679" t="s">
        <v>3341</v>
      </c>
      <c r="AW2" s="3679">
        <v>121000</v>
      </c>
      <c r="AX2" s="3679">
        <v>89640</v>
      </c>
      <c r="AY2" s="3679">
        <v>15</v>
      </c>
      <c r="AZ2" s="3679">
        <v>31359</v>
      </c>
    </row>
    <row r="3" spans="1:52" s="3679" customFormat="1">
      <c r="A3" s="3687" t="s">
        <v>3787</v>
      </c>
      <c r="B3" s="3679" t="s">
        <v>1465</v>
      </c>
      <c r="C3" s="3679" t="s">
        <v>3405</v>
      </c>
      <c r="D3" s="3679" t="s">
        <v>3323</v>
      </c>
      <c r="E3" s="3679" t="s">
        <v>3324</v>
      </c>
      <c r="F3" s="3679" t="s">
        <v>3406</v>
      </c>
      <c r="G3" s="3679" t="s">
        <v>3326</v>
      </c>
      <c r="H3" s="3679" t="s">
        <v>3327</v>
      </c>
      <c r="I3" s="3679">
        <v>51339.15</v>
      </c>
      <c r="J3" s="3679">
        <v>77009</v>
      </c>
      <c r="K3" s="3679">
        <v>1.5</v>
      </c>
      <c r="L3" s="3679" t="s">
        <v>3328</v>
      </c>
      <c r="M3" s="3679" t="s">
        <v>3329</v>
      </c>
      <c r="N3" s="3679" t="s">
        <v>3330</v>
      </c>
      <c r="O3" s="3679" t="s">
        <v>3331</v>
      </c>
      <c r="P3" s="3679" t="s">
        <v>3332</v>
      </c>
      <c r="Q3" s="3679" t="s">
        <v>3408</v>
      </c>
      <c r="R3" s="3679" t="s">
        <v>3409</v>
      </c>
      <c r="S3" s="3679" t="s">
        <v>3410</v>
      </c>
      <c r="T3" s="3679" t="s">
        <v>3332</v>
      </c>
      <c r="U3" s="3679" t="s">
        <v>3332</v>
      </c>
      <c r="V3" s="3679">
        <v>0</v>
      </c>
      <c r="W3" s="3679">
        <v>0</v>
      </c>
      <c r="X3" s="3679">
        <v>0</v>
      </c>
      <c r="Y3" s="3679">
        <v>0</v>
      </c>
      <c r="Z3" s="3680">
        <v>43815.000497685185</v>
      </c>
      <c r="AA3" s="3680">
        <v>43836.000497685185</v>
      </c>
      <c r="AB3" s="3680">
        <v>43850.000497685185</v>
      </c>
      <c r="AC3" s="3680">
        <v>43850.000497685185</v>
      </c>
      <c r="AD3" s="3679" t="s">
        <v>3411</v>
      </c>
      <c r="AE3" s="3679" t="s">
        <v>3336</v>
      </c>
      <c r="AF3" s="3679" t="s">
        <v>3412</v>
      </c>
      <c r="AG3" s="3679" t="s">
        <v>3413</v>
      </c>
      <c r="AH3" s="3679" t="s">
        <v>3339</v>
      </c>
      <c r="AI3" s="3679">
        <v>539600</v>
      </c>
      <c r="AJ3" s="3679">
        <v>108000</v>
      </c>
      <c r="AK3" s="3679" t="s">
        <v>3414</v>
      </c>
      <c r="AL3" s="3679">
        <v>539600</v>
      </c>
      <c r="AM3" s="3679">
        <v>7007</v>
      </c>
      <c r="AN3" s="3679">
        <v>7007</v>
      </c>
      <c r="AO3" s="3679">
        <v>70070</v>
      </c>
      <c r="AP3" s="3683">
        <v>70070</v>
      </c>
      <c r="AQ3" s="3679" t="s">
        <v>3332</v>
      </c>
      <c r="AR3" s="3679" t="s">
        <v>3332</v>
      </c>
      <c r="AS3" s="3679">
        <v>0</v>
      </c>
      <c r="AT3" s="3679" t="s">
        <v>3340</v>
      </c>
      <c r="AU3" s="3679" t="s">
        <v>3331</v>
      </c>
      <c r="AV3" s="3679" t="s">
        <v>3332</v>
      </c>
      <c r="AW3" s="3679" t="s">
        <v>3331</v>
      </c>
      <c r="AX3" s="3679" t="s">
        <v>3332</v>
      </c>
      <c r="AY3" s="3679" t="s">
        <v>3332</v>
      </c>
      <c r="AZ3" s="3679" t="s">
        <v>3332</v>
      </c>
    </row>
    <row r="4" spans="1:52" s="3679" customFormat="1">
      <c r="A4" s="3687" t="s">
        <v>3788</v>
      </c>
      <c r="B4" s="3679" t="s">
        <v>1465</v>
      </c>
      <c r="C4" s="3679" t="s">
        <v>3416</v>
      </c>
      <c r="D4" s="3679" t="s">
        <v>3323</v>
      </c>
      <c r="E4" s="3679" t="s">
        <v>3324</v>
      </c>
      <c r="F4" s="3679" t="s">
        <v>3406</v>
      </c>
      <c r="G4" s="3679" t="s">
        <v>3326</v>
      </c>
      <c r="H4" s="3679" t="s">
        <v>3327</v>
      </c>
      <c r="I4" s="3679">
        <v>44507.26</v>
      </c>
      <c r="J4" s="3679">
        <v>66760</v>
      </c>
      <c r="K4" s="3679">
        <v>1.5</v>
      </c>
      <c r="L4" s="3679" t="s">
        <v>3328</v>
      </c>
      <c r="M4" s="3679" t="s">
        <v>3329</v>
      </c>
      <c r="N4" s="3679" t="s">
        <v>3330</v>
      </c>
      <c r="O4" s="3679" t="s">
        <v>3331</v>
      </c>
      <c r="P4" s="3679" t="s">
        <v>3332</v>
      </c>
      <c r="Q4" s="3679" t="s">
        <v>3408</v>
      </c>
      <c r="R4" s="3679" t="s">
        <v>3409</v>
      </c>
      <c r="S4" s="3679" t="s">
        <v>3410</v>
      </c>
      <c r="T4" s="3679" t="s">
        <v>3332</v>
      </c>
      <c r="U4" s="3679" t="s">
        <v>3332</v>
      </c>
      <c r="V4" s="3679">
        <v>0</v>
      </c>
      <c r="W4" s="3679">
        <v>0</v>
      </c>
      <c r="X4" s="3679">
        <v>0</v>
      </c>
      <c r="Y4" s="3679">
        <v>0</v>
      </c>
      <c r="Z4" s="3680">
        <v>43815.000497685185</v>
      </c>
      <c r="AA4" s="3680">
        <v>43836.000497685185</v>
      </c>
      <c r="AB4" s="3680">
        <v>43850.000497685185</v>
      </c>
      <c r="AC4" s="3680">
        <v>43850.000497685185</v>
      </c>
      <c r="AD4" s="3679" t="s">
        <v>3417</v>
      </c>
      <c r="AE4" s="3679" t="s">
        <v>3336</v>
      </c>
      <c r="AF4" s="3679" t="s">
        <v>3418</v>
      </c>
      <c r="AG4" s="3679" t="s">
        <v>3419</v>
      </c>
      <c r="AH4" s="3679" t="s">
        <v>3420</v>
      </c>
      <c r="AI4" s="3679">
        <v>467500</v>
      </c>
      <c r="AJ4" s="3679">
        <v>93500</v>
      </c>
      <c r="AK4" s="3679" t="s">
        <v>3414</v>
      </c>
      <c r="AL4" s="3679">
        <v>467500</v>
      </c>
      <c r="AM4" s="3679">
        <v>7002.6</v>
      </c>
      <c r="AN4" s="3679">
        <v>7002.6</v>
      </c>
      <c r="AO4" s="3679">
        <v>70027</v>
      </c>
      <c r="AP4" s="3683">
        <v>70027</v>
      </c>
      <c r="AQ4" s="3679" t="s">
        <v>3332</v>
      </c>
      <c r="AR4" s="3679" t="s">
        <v>3332</v>
      </c>
      <c r="AS4" s="3679">
        <v>0</v>
      </c>
      <c r="AT4" s="3679" t="s">
        <v>3340</v>
      </c>
      <c r="AU4" s="3679" t="s">
        <v>3331</v>
      </c>
      <c r="AV4" s="3679" t="s">
        <v>3332</v>
      </c>
      <c r="AW4" s="3679" t="s">
        <v>3331</v>
      </c>
      <c r="AX4" s="3679" t="s">
        <v>3332</v>
      </c>
      <c r="AY4" s="3679" t="s">
        <v>3332</v>
      </c>
      <c r="AZ4" s="3679" t="s">
        <v>3332</v>
      </c>
    </row>
    <row r="6" spans="1:52" s="3679" customFormat="1">
      <c r="A6" s="3679" t="s">
        <v>3270</v>
      </c>
      <c r="B6" s="3679" t="s">
        <v>3271</v>
      </c>
      <c r="C6" s="3679" t="s">
        <v>3272</v>
      </c>
      <c r="D6" s="3679" t="s">
        <v>3273</v>
      </c>
      <c r="E6" s="3679" t="s">
        <v>3274</v>
      </c>
      <c r="F6" s="3679" t="s">
        <v>3275</v>
      </c>
      <c r="G6" s="3679" t="s">
        <v>3276</v>
      </c>
      <c r="H6" s="3679" t="s">
        <v>3277</v>
      </c>
      <c r="I6" s="3679" t="s">
        <v>3278</v>
      </c>
      <c r="J6" s="3679" t="s">
        <v>3279</v>
      </c>
      <c r="K6" s="3679" t="s">
        <v>1548</v>
      </c>
      <c r="L6" s="3679" t="s">
        <v>3280</v>
      </c>
      <c r="M6" s="3679" t="s">
        <v>3281</v>
      </c>
      <c r="N6" s="3679" t="s">
        <v>3282</v>
      </c>
      <c r="O6" s="3679" t="s">
        <v>3283</v>
      </c>
      <c r="P6" s="3679" t="s">
        <v>3284</v>
      </c>
      <c r="Q6" s="3679" t="s">
        <v>3285</v>
      </c>
      <c r="R6" s="3679" t="s">
        <v>3286</v>
      </c>
      <c r="S6" s="3679" t="s">
        <v>3287</v>
      </c>
      <c r="T6" s="3679" t="s">
        <v>3288</v>
      </c>
      <c r="U6" s="3679" t="s">
        <v>3289</v>
      </c>
      <c r="V6" s="3679" t="s">
        <v>3290</v>
      </c>
      <c r="W6" s="3679" t="s">
        <v>3291</v>
      </c>
      <c r="X6" s="3679" t="s">
        <v>3292</v>
      </c>
      <c r="Y6" s="3679" t="s">
        <v>3293</v>
      </c>
      <c r="Z6" s="3679" t="s">
        <v>3294</v>
      </c>
      <c r="AA6" s="3679" t="s">
        <v>3295</v>
      </c>
      <c r="AB6" s="3679" t="s">
        <v>3296</v>
      </c>
      <c r="AC6" s="3679" t="s">
        <v>3297</v>
      </c>
      <c r="AD6" s="3679" t="s">
        <v>3298</v>
      </c>
      <c r="AE6" s="3679" t="s">
        <v>3299</v>
      </c>
      <c r="AF6" s="3679" t="s">
        <v>3300</v>
      </c>
      <c r="AG6" s="3679" t="s">
        <v>3301</v>
      </c>
      <c r="AH6" s="3679" t="s">
        <v>3302</v>
      </c>
      <c r="AI6" s="3679" t="s">
        <v>3303</v>
      </c>
      <c r="AJ6" s="3679" t="s">
        <v>3304</v>
      </c>
      <c r="AK6" s="3679" t="s">
        <v>3305</v>
      </c>
      <c r="AL6" s="3679" t="s">
        <v>3306</v>
      </c>
      <c r="AM6" s="3679" t="s">
        <v>3307</v>
      </c>
      <c r="AN6" s="3679" t="s">
        <v>3308</v>
      </c>
      <c r="AO6" s="3679" t="s">
        <v>3309</v>
      </c>
      <c r="AP6" s="3683" t="s">
        <v>3310</v>
      </c>
      <c r="AQ6" s="3679" t="s">
        <v>3311</v>
      </c>
      <c r="AR6" s="3679" t="s">
        <v>3312</v>
      </c>
      <c r="AS6" s="3679" t="s">
        <v>3313</v>
      </c>
      <c r="AT6" s="3679" t="s">
        <v>3314</v>
      </c>
      <c r="AU6" s="3679" t="s">
        <v>3315</v>
      </c>
      <c r="AV6" s="3679" t="s">
        <v>3316</v>
      </c>
      <c r="AW6" s="3679" t="s">
        <v>3317</v>
      </c>
      <c r="AX6" s="3679" t="s">
        <v>3318</v>
      </c>
      <c r="AY6" s="3679" t="s">
        <v>3319</v>
      </c>
      <c r="AZ6" s="3679" t="s">
        <v>3320</v>
      </c>
    </row>
    <row r="7" spans="1:52" s="3681" customFormat="1">
      <c r="A7" s="3681" t="s">
        <v>3321</v>
      </c>
      <c r="B7" s="3681" t="s">
        <v>1465</v>
      </c>
      <c r="C7" s="3681" t="s">
        <v>3322</v>
      </c>
      <c r="D7" s="3681" t="s">
        <v>3323</v>
      </c>
      <c r="E7" s="3681" t="s">
        <v>3324</v>
      </c>
      <c r="F7" s="3681" t="s">
        <v>3325</v>
      </c>
      <c r="G7" s="3681" t="s">
        <v>3326</v>
      </c>
      <c r="H7" s="3681" t="s">
        <v>3327</v>
      </c>
      <c r="I7" s="3681">
        <v>73887.38</v>
      </c>
      <c r="J7" s="3681">
        <v>89552.29</v>
      </c>
      <c r="K7" s="3681">
        <v>1.05</v>
      </c>
      <c r="L7" s="3681" t="s">
        <v>3328</v>
      </c>
      <c r="M7" s="3681" t="s">
        <v>3329</v>
      </c>
      <c r="N7" s="3681" t="s">
        <v>3330</v>
      </c>
      <c r="O7" s="3681" t="s">
        <v>3331</v>
      </c>
      <c r="P7" s="3681" t="s">
        <v>3332</v>
      </c>
      <c r="Q7" s="3681">
        <v>12</v>
      </c>
      <c r="R7" s="3681" t="s">
        <v>3333</v>
      </c>
      <c r="S7" s="3681" t="s">
        <v>3334</v>
      </c>
      <c r="T7" s="3681" t="s">
        <v>3332</v>
      </c>
      <c r="U7" s="3681" t="s">
        <v>3332</v>
      </c>
      <c r="V7" s="3681" t="s">
        <v>3332</v>
      </c>
      <c r="W7" s="3681" t="s">
        <v>3332</v>
      </c>
      <c r="X7" s="3681">
        <v>0</v>
      </c>
      <c r="Y7" s="3681">
        <v>0</v>
      </c>
      <c r="Z7" s="3682">
        <v>45057.000497685185</v>
      </c>
      <c r="AA7" s="3682">
        <v>45077.000497685185</v>
      </c>
      <c r="AB7" s="3682">
        <v>45091.000497685185</v>
      </c>
      <c r="AC7" s="3682">
        <v>45091.000497685185</v>
      </c>
      <c r="AD7" s="3681" t="s">
        <v>3335</v>
      </c>
      <c r="AE7" s="3681" t="s">
        <v>3336</v>
      </c>
      <c r="AF7" s="3681" t="s">
        <v>3337</v>
      </c>
      <c r="AG7" s="3681" t="s">
        <v>3338</v>
      </c>
      <c r="AH7" s="3681" t="s">
        <v>3339</v>
      </c>
      <c r="AI7" s="3681">
        <v>690000</v>
      </c>
      <c r="AJ7" s="3681">
        <v>138000</v>
      </c>
      <c r="AK7" s="3681" t="s">
        <v>2091</v>
      </c>
      <c r="AL7" s="3681">
        <v>793500</v>
      </c>
      <c r="AM7" s="3681">
        <v>6225.69</v>
      </c>
      <c r="AN7" s="3681">
        <v>7159.54</v>
      </c>
      <c r="AO7" s="3681">
        <v>77050</v>
      </c>
      <c r="AP7" s="3684">
        <v>88607</v>
      </c>
      <c r="AQ7" s="3681" t="s">
        <v>3332</v>
      </c>
      <c r="AR7" s="3681" t="s">
        <v>3332</v>
      </c>
      <c r="AS7" s="3681">
        <v>15</v>
      </c>
      <c r="AT7" s="3681" t="s">
        <v>3340</v>
      </c>
      <c r="AU7" s="3681">
        <v>793500</v>
      </c>
      <c r="AV7" s="3681" t="s">
        <v>3341</v>
      </c>
      <c r="AW7" s="3681">
        <v>121000</v>
      </c>
      <c r="AX7" s="3681">
        <v>88607</v>
      </c>
      <c r="AY7" s="3681">
        <v>15</v>
      </c>
      <c r="AZ7" s="3681">
        <v>32392</v>
      </c>
    </row>
    <row r="8" spans="1:52" s="3679" customFormat="1">
      <c r="A8" s="3679" t="s">
        <v>3342</v>
      </c>
      <c r="B8" s="3679" t="s">
        <v>1465</v>
      </c>
      <c r="C8" s="3679" t="s">
        <v>3343</v>
      </c>
      <c r="D8" s="3679" t="s">
        <v>3323</v>
      </c>
      <c r="E8" s="3679" t="s">
        <v>3324</v>
      </c>
      <c r="F8" s="3679" t="s">
        <v>3325</v>
      </c>
      <c r="G8" s="3679" t="s">
        <v>3326</v>
      </c>
      <c r="H8" s="3679" t="s">
        <v>3327</v>
      </c>
      <c r="I8" s="3679">
        <v>18388.669999999998</v>
      </c>
      <c r="J8" s="3679">
        <v>21809.34</v>
      </c>
      <c r="K8" s="3679">
        <v>1.05</v>
      </c>
      <c r="L8" s="3679" t="s">
        <v>3328</v>
      </c>
      <c r="M8" s="3679" t="s">
        <v>3329</v>
      </c>
      <c r="N8" s="3679" t="s">
        <v>3330</v>
      </c>
      <c r="O8" s="3679" t="s">
        <v>3331</v>
      </c>
      <c r="P8" s="3679" t="s">
        <v>3332</v>
      </c>
      <c r="Q8" s="3679">
        <v>12</v>
      </c>
      <c r="R8" s="3679" t="s">
        <v>3333</v>
      </c>
      <c r="S8" s="3679" t="s">
        <v>3334</v>
      </c>
      <c r="T8" s="3679" t="s">
        <v>3332</v>
      </c>
      <c r="U8" s="3679" t="s">
        <v>3332</v>
      </c>
      <c r="V8" s="3679" t="s">
        <v>3332</v>
      </c>
      <c r="W8" s="3679" t="s">
        <v>3332</v>
      </c>
      <c r="X8" s="3679">
        <v>0</v>
      </c>
      <c r="Y8" s="3679">
        <v>0</v>
      </c>
      <c r="Z8" s="3680">
        <v>45057.000497685185</v>
      </c>
      <c r="AA8" s="3680">
        <v>45077.000497685185</v>
      </c>
      <c r="AB8" s="3680">
        <v>45091.000497685185</v>
      </c>
      <c r="AC8" s="3680">
        <v>45091.000497685185</v>
      </c>
      <c r="AD8" s="3679" t="s">
        <v>3344</v>
      </c>
      <c r="AE8" s="3679" t="s">
        <v>3336</v>
      </c>
      <c r="AF8" s="3679" t="s">
        <v>3345</v>
      </c>
      <c r="AG8" s="3679" t="s">
        <v>3346</v>
      </c>
      <c r="AH8" s="3679" t="s">
        <v>3339</v>
      </c>
      <c r="AI8" s="3679">
        <v>170000</v>
      </c>
      <c r="AJ8" s="3679">
        <v>34000</v>
      </c>
      <c r="AK8" s="3679" t="s">
        <v>2091</v>
      </c>
      <c r="AL8" s="3679">
        <v>195500</v>
      </c>
      <c r="AM8" s="3679">
        <v>6163.22</v>
      </c>
      <c r="AN8" s="3679">
        <v>7087.7</v>
      </c>
      <c r="AO8" s="3679">
        <v>77948</v>
      </c>
      <c r="AP8" s="3683">
        <v>89640</v>
      </c>
      <c r="AQ8" s="3679" t="s">
        <v>3332</v>
      </c>
      <c r="AR8" s="3679" t="s">
        <v>3332</v>
      </c>
      <c r="AS8" s="3679">
        <v>15</v>
      </c>
      <c r="AT8" s="3679" t="s">
        <v>3340</v>
      </c>
      <c r="AU8" s="3679">
        <v>195500</v>
      </c>
      <c r="AV8" s="3679" t="s">
        <v>3341</v>
      </c>
      <c r="AW8" s="3679">
        <v>121000</v>
      </c>
      <c r="AX8" s="3679">
        <v>89640</v>
      </c>
      <c r="AY8" s="3679">
        <v>15</v>
      </c>
      <c r="AZ8" s="3679">
        <v>31359</v>
      </c>
    </row>
    <row r="9" spans="1:52" s="3679" customFormat="1">
      <c r="A9" s="3679" t="s">
        <v>3347</v>
      </c>
      <c r="B9" s="3679" t="s">
        <v>1465</v>
      </c>
      <c r="C9" s="3679" t="s">
        <v>3348</v>
      </c>
      <c r="D9" s="3679" t="s">
        <v>3323</v>
      </c>
      <c r="E9" s="3679" t="s">
        <v>3324</v>
      </c>
      <c r="F9" s="3679" t="s">
        <v>3325</v>
      </c>
      <c r="G9" s="3679" t="s">
        <v>3349</v>
      </c>
      <c r="H9" s="3679" t="s">
        <v>3327</v>
      </c>
      <c r="I9" s="3679">
        <v>47827.06</v>
      </c>
      <c r="J9" s="3679">
        <v>71740.59</v>
      </c>
      <c r="K9" s="3679">
        <v>1.5</v>
      </c>
      <c r="L9" s="3679" t="s">
        <v>3328</v>
      </c>
      <c r="M9" s="3679" t="s">
        <v>3329</v>
      </c>
      <c r="N9" s="3679" t="s">
        <v>3350</v>
      </c>
      <c r="O9" s="3679" t="s">
        <v>3331</v>
      </c>
      <c r="P9" s="3679" t="s">
        <v>3332</v>
      </c>
      <c r="Q9" s="3679" t="s">
        <v>3332</v>
      </c>
      <c r="R9" s="3679" t="s">
        <v>3351</v>
      </c>
      <c r="S9" s="3679" t="s">
        <v>3351</v>
      </c>
      <c r="T9" s="3679" t="s">
        <v>3332</v>
      </c>
      <c r="U9" s="3679" t="s">
        <v>3332</v>
      </c>
      <c r="V9" s="3679" t="s">
        <v>3332</v>
      </c>
      <c r="W9" s="3679" t="s">
        <v>3332</v>
      </c>
      <c r="X9" s="3679">
        <v>0</v>
      </c>
      <c r="Y9" s="3679">
        <v>0</v>
      </c>
      <c r="Z9" s="3680">
        <v>44791.000497685185</v>
      </c>
      <c r="AA9" s="3680">
        <v>44811.000497685185</v>
      </c>
      <c r="AB9" s="3680">
        <v>44826.000497685185</v>
      </c>
      <c r="AC9" s="3680">
        <v>44827.000497685185</v>
      </c>
      <c r="AD9" s="3679" t="s">
        <v>3352</v>
      </c>
      <c r="AE9" s="3679" t="s">
        <v>3336</v>
      </c>
      <c r="AF9" s="3679" t="s">
        <v>3353</v>
      </c>
      <c r="AG9" s="3679" t="s">
        <v>3354</v>
      </c>
      <c r="AH9" s="3679" t="s">
        <v>3355</v>
      </c>
      <c r="AI9" s="3679">
        <v>365000</v>
      </c>
      <c r="AJ9" s="3679">
        <v>73000</v>
      </c>
      <c r="AK9" s="3679" t="s">
        <v>3356</v>
      </c>
      <c r="AL9" s="3679">
        <v>419750</v>
      </c>
      <c r="AM9" s="3679">
        <v>5087.78</v>
      </c>
      <c r="AN9" s="3679">
        <v>5850.94</v>
      </c>
      <c r="AO9" s="3679">
        <v>50878</v>
      </c>
      <c r="AP9" s="3683">
        <v>58509</v>
      </c>
      <c r="AQ9" s="3679" t="s">
        <v>3332</v>
      </c>
      <c r="AR9" s="3679" t="s">
        <v>3332</v>
      </c>
      <c r="AS9" s="3679">
        <v>15</v>
      </c>
      <c r="AT9" s="3679" t="s">
        <v>3357</v>
      </c>
      <c r="AU9" s="3679">
        <v>419750</v>
      </c>
      <c r="AV9" s="3679" t="s">
        <v>3341</v>
      </c>
      <c r="AW9" s="3679" t="s">
        <v>3331</v>
      </c>
      <c r="AX9" s="3679">
        <v>58509</v>
      </c>
      <c r="AY9" s="3679">
        <v>15</v>
      </c>
      <c r="AZ9" s="3679">
        <v>26490</v>
      </c>
    </row>
    <row r="10" spans="1:52" s="3679" customFormat="1">
      <c r="A10" s="3679" t="s">
        <v>3358</v>
      </c>
      <c r="B10" s="3679" t="s">
        <v>1465</v>
      </c>
      <c r="C10" s="3679" t="s">
        <v>3359</v>
      </c>
      <c r="D10" s="3679" t="s">
        <v>3323</v>
      </c>
      <c r="E10" s="3679" t="s">
        <v>3324</v>
      </c>
      <c r="F10" s="3679" t="s">
        <v>3325</v>
      </c>
      <c r="G10" s="3679" t="s">
        <v>3360</v>
      </c>
      <c r="H10" s="3679" t="s">
        <v>3327</v>
      </c>
      <c r="I10" s="3679">
        <v>55613.32</v>
      </c>
      <c r="J10" s="3679">
        <v>83419.98</v>
      </c>
      <c r="K10" s="3679">
        <v>1.5</v>
      </c>
      <c r="L10" s="3679" t="s">
        <v>3328</v>
      </c>
      <c r="M10" s="3679" t="s">
        <v>3361</v>
      </c>
      <c r="N10" s="3679" t="s">
        <v>3362</v>
      </c>
      <c r="O10" s="3679" t="s">
        <v>3331</v>
      </c>
      <c r="P10" s="3679" t="s">
        <v>3332</v>
      </c>
      <c r="Q10" s="3679" t="s">
        <v>3363</v>
      </c>
      <c r="R10" s="3679" t="s">
        <v>3364</v>
      </c>
      <c r="S10" s="3679" t="s">
        <v>3365</v>
      </c>
      <c r="T10" s="3679" t="s">
        <v>3332</v>
      </c>
      <c r="U10" s="3679" t="s">
        <v>3332</v>
      </c>
      <c r="V10" s="3679" t="s">
        <v>3332</v>
      </c>
      <c r="W10" s="3679" t="s">
        <v>3332</v>
      </c>
      <c r="X10" s="3679">
        <v>0</v>
      </c>
      <c r="Y10" s="3679">
        <v>0</v>
      </c>
      <c r="Z10" s="3680">
        <v>44438.000497685185</v>
      </c>
      <c r="AA10" s="3680">
        <v>44462.000497685185</v>
      </c>
      <c r="AB10" s="3680">
        <v>44482.000497685185</v>
      </c>
      <c r="AC10" s="3680">
        <v>44482.000497685185</v>
      </c>
      <c r="AD10" s="3679" t="s">
        <v>3366</v>
      </c>
      <c r="AE10" s="3679" t="s">
        <v>3336</v>
      </c>
      <c r="AF10" s="3679" t="s">
        <v>3367</v>
      </c>
      <c r="AG10" s="3679" t="s">
        <v>3368</v>
      </c>
      <c r="AH10" s="3679" t="s">
        <v>3369</v>
      </c>
      <c r="AI10" s="3679">
        <v>423000</v>
      </c>
      <c r="AJ10" s="3679">
        <v>85000</v>
      </c>
      <c r="AK10" s="3679" t="s">
        <v>3370</v>
      </c>
      <c r="AL10" s="3679">
        <v>449500</v>
      </c>
      <c r="AM10" s="3679">
        <v>5070.7299999999996</v>
      </c>
      <c r="AN10" s="3679">
        <v>5388.4</v>
      </c>
      <c r="AO10" s="3679">
        <v>50707</v>
      </c>
      <c r="AP10" s="3683">
        <v>53884</v>
      </c>
      <c r="AQ10" s="3679" t="s">
        <v>3332</v>
      </c>
      <c r="AR10" s="3679" t="s">
        <v>3332</v>
      </c>
      <c r="AS10" s="3679">
        <v>6.26</v>
      </c>
      <c r="AT10" s="3679" t="s">
        <v>3371</v>
      </c>
      <c r="AU10" s="3679">
        <v>465300</v>
      </c>
      <c r="AV10" s="3679" t="s">
        <v>3372</v>
      </c>
      <c r="AW10" s="3679">
        <v>83000</v>
      </c>
      <c r="AX10" s="3679">
        <v>55778</v>
      </c>
      <c r="AY10" s="3679">
        <v>10</v>
      </c>
      <c r="AZ10" s="3679">
        <v>29116</v>
      </c>
    </row>
    <row r="11" spans="1:52" s="3679" customFormat="1">
      <c r="A11" s="3679" t="s">
        <v>3373</v>
      </c>
      <c r="B11" s="3679" t="s">
        <v>1465</v>
      </c>
      <c r="C11" s="3679" t="s">
        <v>3374</v>
      </c>
      <c r="D11" s="3679" t="s">
        <v>3323</v>
      </c>
      <c r="E11" s="3679" t="s">
        <v>3324</v>
      </c>
      <c r="F11" s="3679" t="s">
        <v>3375</v>
      </c>
      <c r="G11" s="3679" t="s">
        <v>3376</v>
      </c>
      <c r="H11" s="3679" t="s">
        <v>3327</v>
      </c>
      <c r="I11" s="3679">
        <v>25289.72</v>
      </c>
      <c r="J11" s="3679">
        <v>61500</v>
      </c>
      <c r="K11" s="3679">
        <v>2.4300000000000002</v>
      </c>
      <c r="L11" s="3679" t="s">
        <v>3328</v>
      </c>
      <c r="M11" s="3679" t="s">
        <v>3329</v>
      </c>
      <c r="N11" s="3679" t="s">
        <v>3362</v>
      </c>
      <c r="O11" s="3679" t="s">
        <v>3331</v>
      </c>
      <c r="P11" s="3679" t="s">
        <v>3332</v>
      </c>
      <c r="Q11" s="3679" t="s">
        <v>3377</v>
      </c>
      <c r="R11" s="3679" t="s">
        <v>3364</v>
      </c>
      <c r="S11" s="3679" t="s">
        <v>3364</v>
      </c>
      <c r="T11" s="3679" t="s">
        <v>3378</v>
      </c>
      <c r="U11" s="3679" t="s">
        <v>3379</v>
      </c>
      <c r="V11" s="3679" t="s">
        <v>3332</v>
      </c>
      <c r="W11" s="3679" t="s">
        <v>3332</v>
      </c>
      <c r="X11" s="3679">
        <v>0</v>
      </c>
      <c r="Y11" s="3679">
        <v>0</v>
      </c>
      <c r="Z11" s="3680">
        <v>44438.000497685185</v>
      </c>
      <c r="AA11" s="3680">
        <v>44462.000497685185</v>
      </c>
      <c r="AB11" s="3680">
        <v>44482.000497685185</v>
      </c>
      <c r="AC11" s="3680">
        <v>44487.000497685185</v>
      </c>
      <c r="AD11" s="3679" t="s">
        <v>3380</v>
      </c>
      <c r="AE11" s="3679" t="s">
        <v>3336</v>
      </c>
      <c r="AF11" s="3679" t="s">
        <v>3381</v>
      </c>
      <c r="AG11" s="3679" t="s">
        <v>3382</v>
      </c>
      <c r="AH11" s="3679" t="s">
        <v>3383</v>
      </c>
      <c r="AI11" s="3679">
        <v>419000</v>
      </c>
      <c r="AJ11" s="3679">
        <v>84000</v>
      </c>
      <c r="AK11" s="3679" t="s">
        <v>3370</v>
      </c>
      <c r="AL11" s="3679">
        <v>444000</v>
      </c>
      <c r="AM11" s="3679">
        <v>11045.33</v>
      </c>
      <c r="AN11" s="3679">
        <v>11704.36</v>
      </c>
      <c r="AO11" s="3679">
        <v>68130</v>
      </c>
      <c r="AP11" s="3683">
        <v>72195</v>
      </c>
      <c r="AQ11" s="3679" t="s">
        <v>3332</v>
      </c>
      <c r="AR11" s="3679" t="s">
        <v>3332</v>
      </c>
      <c r="AS11" s="3679">
        <v>5.97</v>
      </c>
      <c r="AT11" s="3679" t="s">
        <v>3384</v>
      </c>
      <c r="AU11" s="3679">
        <v>444000</v>
      </c>
      <c r="AV11" s="3679" t="s">
        <v>3341</v>
      </c>
      <c r="AW11" s="3679">
        <v>112000</v>
      </c>
      <c r="AX11" s="3679">
        <v>72195</v>
      </c>
      <c r="AY11" s="3679">
        <v>5.97</v>
      </c>
      <c r="AZ11" s="3679">
        <v>21572</v>
      </c>
    </row>
    <row r="12" spans="1:52" s="3679" customFormat="1">
      <c r="A12" s="3679" t="s">
        <v>3385</v>
      </c>
      <c r="B12" s="3679" t="s">
        <v>1465</v>
      </c>
      <c r="C12" s="3679" t="s">
        <v>3386</v>
      </c>
      <c r="D12" s="3679" t="s">
        <v>3323</v>
      </c>
      <c r="E12" s="3679" t="s">
        <v>3324</v>
      </c>
      <c r="F12" s="3679" t="s">
        <v>3387</v>
      </c>
      <c r="G12" s="3679" t="s">
        <v>3388</v>
      </c>
      <c r="H12" s="3679" t="s">
        <v>3327</v>
      </c>
      <c r="I12" s="3679">
        <v>57020.91</v>
      </c>
      <c r="J12" s="3679">
        <v>92371</v>
      </c>
      <c r="K12" s="3679" t="s">
        <v>3389</v>
      </c>
      <c r="L12" s="3679" t="s">
        <v>3328</v>
      </c>
      <c r="M12" s="3679" t="s">
        <v>3329</v>
      </c>
      <c r="N12" s="3679" t="s">
        <v>3390</v>
      </c>
      <c r="O12" s="3679">
        <v>0</v>
      </c>
      <c r="P12" s="3679" t="s">
        <v>3332</v>
      </c>
      <c r="Q12" s="3679" t="s">
        <v>3391</v>
      </c>
      <c r="R12" s="3679" t="s">
        <v>3392</v>
      </c>
      <c r="S12" s="3679" t="s">
        <v>3392</v>
      </c>
      <c r="T12" s="3679" t="s">
        <v>3332</v>
      </c>
      <c r="U12" s="3679" t="s">
        <v>3332</v>
      </c>
      <c r="V12" s="3679">
        <v>0</v>
      </c>
      <c r="W12" s="3679">
        <v>0</v>
      </c>
      <c r="X12" s="3679">
        <v>0</v>
      </c>
      <c r="Y12" s="3679">
        <v>0</v>
      </c>
      <c r="Z12" s="3680">
        <v>44286.000497685185</v>
      </c>
      <c r="AA12" s="3680">
        <v>44308.000497685185</v>
      </c>
      <c r="AB12" s="3680">
        <v>44324.000497685185</v>
      </c>
      <c r="AC12" s="3680">
        <v>44342.000497685185</v>
      </c>
      <c r="AD12" s="3679" t="s">
        <v>3393</v>
      </c>
      <c r="AE12" s="3679" t="s">
        <v>3336</v>
      </c>
      <c r="AF12" s="3679" t="s">
        <v>3394</v>
      </c>
      <c r="AG12" s="3679" t="s">
        <v>3395</v>
      </c>
      <c r="AH12" s="3679" t="s">
        <v>3396</v>
      </c>
      <c r="AI12" s="3679">
        <v>621000</v>
      </c>
      <c r="AJ12" s="3679">
        <v>125000</v>
      </c>
      <c r="AK12" s="3679" t="s">
        <v>3397</v>
      </c>
      <c r="AL12" s="3679">
        <v>637000</v>
      </c>
      <c r="AM12" s="3679">
        <v>7260.49</v>
      </c>
      <c r="AN12" s="3679">
        <v>7447.56</v>
      </c>
      <c r="AO12" s="3679">
        <v>67229</v>
      </c>
      <c r="AP12" s="3683">
        <v>68961</v>
      </c>
      <c r="AQ12" s="3679" t="s">
        <v>3332</v>
      </c>
      <c r="AR12" s="3679" t="s">
        <v>3332</v>
      </c>
      <c r="AS12" s="3679">
        <v>2.58</v>
      </c>
      <c r="AT12" s="3679" t="s">
        <v>3340</v>
      </c>
      <c r="AU12" s="3679">
        <v>637000</v>
      </c>
      <c r="AV12" s="3679" t="s">
        <v>3341</v>
      </c>
      <c r="AW12" s="3679" t="s">
        <v>3331</v>
      </c>
      <c r="AX12" s="3679">
        <v>68961</v>
      </c>
      <c r="AY12" s="3679">
        <v>2.58</v>
      </c>
      <c r="AZ12" s="3679" t="s">
        <v>3332</v>
      </c>
    </row>
    <row r="13" spans="1:52" s="3679" customFormat="1">
      <c r="A13" s="3679" t="s">
        <v>3398</v>
      </c>
      <c r="B13" s="3679" t="s">
        <v>1465</v>
      </c>
      <c r="C13" s="3679" t="s">
        <v>3399</v>
      </c>
      <c r="D13" s="3679" t="s">
        <v>3323</v>
      </c>
      <c r="E13" s="3679" t="s">
        <v>3324</v>
      </c>
      <c r="F13" s="3679" t="s">
        <v>3387</v>
      </c>
      <c r="G13" s="3679" t="s">
        <v>3388</v>
      </c>
      <c r="H13" s="3679" t="s">
        <v>3327</v>
      </c>
      <c r="I13" s="3679">
        <v>52686.19</v>
      </c>
      <c r="J13" s="3679">
        <v>83160</v>
      </c>
      <c r="K13" s="3679" t="s">
        <v>3389</v>
      </c>
      <c r="L13" s="3679" t="s">
        <v>3328</v>
      </c>
      <c r="M13" s="3679" t="s">
        <v>3329</v>
      </c>
      <c r="N13" s="3679" t="s">
        <v>3390</v>
      </c>
      <c r="O13" s="3679" t="s">
        <v>3331</v>
      </c>
      <c r="P13" s="3679" t="s">
        <v>3332</v>
      </c>
      <c r="Q13" s="3679" t="s">
        <v>3391</v>
      </c>
      <c r="R13" s="3679" t="s">
        <v>3392</v>
      </c>
      <c r="S13" s="3679" t="s">
        <v>3392</v>
      </c>
      <c r="T13" s="3679" t="s">
        <v>3332</v>
      </c>
      <c r="U13" s="3679" t="s">
        <v>3332</v>
      </c>
      <c r="V13" s="3679">
        <v>0</v>
      </c>
      <c r="W13" s="3679">
        <v>0</v>
      </c>
      <c r="X13" s="3679">
        <v>0</v>
      </c>
      <c r="Y13" s="3679">
        <v>0</v>
      </c>
      <c r="Z13" s="3680">
        <v>44286.000497685185</v>
      </c>
      <c r="AA13" s="3680">
        <v>44308.000497685185</v>
      </c>
      <c r="AB13" s="3680">
        <v>44324.000497685185</v>
      </c>
      <c r="AC13" s="3680">
        <v>44342.000497685185</v>
      </c>
      <c r="AD13" s="3679" t="s">
        <v>3400</v>
      </c>
      <c r="AE13" s="3679" t="s">
        <v>3336</v>
      </c>
      <c r="AF13" s="3679" t="s">
        <v>3401</v>
      </c>
      <c r="AG13" s="3679" t="s">
        <v>3402</v>
      </c>
      <c r="AH13" s="3679" t="s">
        <v>3403</v>
      </c>
      <c r="AI13" s="3679">
        <v>559000</v>
      </c>
      <c r="AJ13" s="3679">
        <v>112000</v>
      </c>
      <c r="AK13" s="3679" t="s">
        <v>3397</v>
      </c>
      <c r="AL13" s="3679">
        <v>573000</v>
      </c>
      <c r="AM13" s="3679">
        <v>7073.33</v>
      </c>
      <c r="AN13" s="3679">
        <v>7250.48</v>
      </c>
      <c r="AO13" s="3679">
        <v>67220</v>
      </c>
      <c r="AP13" s="3683">
        <v>68903</v>
      </c>
      <c r="AQ13" s="3679" t="s">
        <v>3332</v>
      </c>
      <c r="AR13" s="3679" t="s">
        <v>3332</v>
      </c>
      <c r="AS13" s="3679">
        <v>2.5</v>
      </c>
      <c r="AT13" s="3679" t="s">
        <v>3340</v>
      </c>
      <c r="AU13" s="3679">
        <v>573000</v>
      </c>
      <c r="AV13" s="3679" t="s">
        <v>3341</v>
      </c>
      <c r="AW13" s="3679" t="s">
        <v>3331</v>
      </c>
      <c r="AX13" s="3679">
        <v>68903</v>
      </c>
      <c r="AY13" s="3679">
        <v>2.5</v>
      </c>
      <c r="AZ13" s="3679" t="s">
        <v>3332</v>
      </c>
    </row>
    <row r="14" spans="1:52" s="3679" customFormat="1">
      <c r="A14" s="3679" t="s">
        <v>3404</v>
      </c>
      <c r="B14" s="3679" t="s">
        <v>1465</v>
      </c>
      <c r="C14" s="3679" t="s">
        <v>3405</v>
      </c>
      <c r="D14" s="3679" t="s">
        <v>3323</v>
      </c>
      <c r="E14" s="3679" t="s">
        <v>3324</v>
      </c>
      <c r="F14" s="3679" t="s">
        <v>3406</v>
      </c>
      <c r="G14" s="3679" t="s">
        <v>3326</v>
      </c>
      <c r="H14" s="3679" t="s">
        <v>3327</v>
      </c>
      <c r="I14" s="3679">
        <v>51339.15</v>
      </c>
      <c r="J14" s="3679">
        <v>77009</v>
      </c>
      <c r="K14" s="3679" t="s">
        <v>3407</v>
      </c>
      <c r="L14" s="3679" t="s">
        <v>3328</v>
      </c>
      <c r="M14" s="3679" t="s">
        <v>3329</v>
      </c>
      <c r="N14" s="3679" t="s">
        <v>3330</v>
      </c>
      <c r="O14" s="3679" t="s">
        <v>3331</v>
      </c>
      <c r="P14" s="3679" t="s">
        <v>3332</v>
      </c>
      <c r="Q14" s="3679" t="s">
        <v>3408</v>
      </c>
      <c r="R14" s="3679" t="s">
        <v>3409</v>
      </c>
      <c r="S14" s="3679" t="s">
        <v>3410</v>
      </c>
      <c r="T14" s="3679" t="s">
        <v>3332</v>
      </c>
      <c r="U14" s="3679" t="s">
        <v>3332</v>
      </c>
      <c r="V14" s="3679">
        <v>0</v>
      </c>
      <c r="W14" s="3679">
        <v>0</v>
      </c>
      <c r="X14" s="3679">
        <v>0</v>
      </c>
      <c r="Y14" s="3679">
        <v>0</v>
      </c>
      <c r="Z14" s="3680">
        <v>43815.000497685185</v>
      </c>
      <c r="AA14" s="3680">
        <v>43836.000497685185</v>
      </c>
      <c r="AB14" s="3680">
        <v>43850.000497685185</v>
      </c>
      <c r="AC14" s="3680">
        <v>43850.000497685185</v>
      </c>
      <c r="AD14" s="3679" t="s">
        <v>3411</v>
      </c>
      <c r="AE14" s="3679" t="s">
        <v>3336</v>
      </c>
      <c r="AF14" s="3679" t="s">
        <v>3412</v>
      </c>
      <c r="AG14" s="3679" t="s">
        <v>3413</v>
      </c>
      <c r="AH14" s="3679" t="s">
        <v>3339</v>
      </c>
      <c r="AI14" s="3679">
        <v>539600</v>
      </c>
      <c r="AJ14" s="3679">
        <v>108000</v>
      </c>
      <c r="AK14" s="3679" t="s">
        <v>3414</v>
      </c>
      <c r="AL14" s="3679">
        <v>539600</v>
      </c>
      <c r="AM14" s="3679">
        <v>7007</v>
      </c>
      <c r="AN14" s="3679">
        <v>7007</v>
      </c>
      <c r="AO14" s="3679">
        <v>70070</v>
      </c>
      <c r="AP14" s="3683">
        <v>70070</v>
      </c>
      <c r="AQ14" s="3679" t="s">
        <v>3332</v>
      </c>
      <c r="AR14" s="3679" t="s">
        <v>3332</v>
      </c>
      <c r="AS14" s="3679">
        <v>0</v>
      </c>
      <c r="AT14" s="3679" t="s">
        <v>3340</v>
      </c>
      <c r="AU14" s="3679" t="s">
        <v>3331</v>
      </c>
      <c r="AV14" s="3679" t="s">
        <v>3332</v>
      </c>
      <c r="AW14" s="3679" t="s">
        <v>3331</v>
      </c>
      <c r="AX14" s="3679" t="s">
        <v>3332</v>
      </c>
      <c r="AY14" s="3679" t="s">
        <v>3332</v>
      </c>
      <c r="AZ14" s="3679" t="s">
        <v>3332</v>
      </c>
    </row>
    <row r="15" spans="1:52" s="3679" customFormat="1">
      <c r="A15" s="3679" t="s">
        <v>3415</v>
      </c>
      <c r="B15" s="3679" t="s">
        <v>1465</v>
      </c>
      <c r="C15" s="3679" t="s">
        <v>3416</v>
      </c>
      <c r="D15" s="3679" t="s">
        <v>3323</v>
      </c>
      <c r="E15" s="3679" t="s">
        <v>3324</v>
      </c>
      <c r="F15" s="3679" t="s">
        <v>3406</v>
      </c>
      <c r="G15" s="3679" t="s">
        <v>3326</v>
      </c>
      <c r="H15" s="3679" t="s">
        <v>3327</v>
      </c>
      <c r="I15" s="3679">
        <v>44507.26</v>
      </c>
      <c r="J15" s="3679">
        <v>66760</v>
      </c>
      <c r="K15" s="3679" t="s">
        <v>3407</v>
      </c>
      <c r="L15" s="3679" t="s">
        <v>3328</v>
      </c>
      <c r="M15" s="3679" t="s">
        <v>3329</v>
      </c>
      <c r="N15" s="3679" t="s">
        <v>3330</v>
      </c>
      <c r="O15" s="3679" t="s">
        <v>3331</v>
      </c>
      <c r="P15" s="3679" t="s">
        <v>3332</v>
      </c>
      <c r="Q15" s="3679" t="s">
        <v>3408</v>
      </c>
      <c r="R15" s="3679" t="s">
        <v>3409</v>
      </c>
      <c r="S15" s="3679" t="s">
        <v>3410</v>
      </c>
      <c r="T15" s="3679" t="s">
        <v>3332</v>
      </c>
      <c r="U15" s="3679" t="s">
        <v>3332</v>
      </c>
      <c r="V15" s="3679">
        <v>0</v>
      </c>
      <c r="W15" s="3679">
        <v>0</v>
      </c>
      <c r="X15" s="3679">
        <v>0</v>
      </c>
      <c r="Y15" s="3679">
        <v>0</v>
      </c>
      <c r="Z15" s="3680">
        <v>43815.000497685185</v>
      </c>
      <c r="AA15" s="3680">
        <v>43836.000497685185</v>
      </c>
      <c r="AB15" s="3680">
        <v>43850.000497685185</v>
      </c>
      <c r="AC15" s="3680">
        <v>43850.000497685185</v>
      </c>
      <c r="AD15" s="3679" t="s">
        <v>3417</v>
      </c>
      <c r="AE15" s="3679" t="s">
        <v>3336</v>
      </c>
      <c r="AF15" s="3679" t="s">
        <v>3418</v>
      </c>
      <c r="AG15" s="3679" t="s">
        <v>3419</v>
      </c>
      <c r="AH15" s="3679" t="s">
        <v>3420</v>
      </c>
      <c r="AI15" s="3679">
        <v>467500</v>
      </c>
      <c r="AJ15" s="3679">
        <v>93500</v>
      </c>
      <c r="AK15" s="3679" t="s">
        <v>3414</v>
      </c>
      <c r="AL15" s="3679">
        <v>467500</v>
      </c>
      <c r="AM15" s="3679">
        <v>7002.6</v>
      </c>
      <c r="AN15" s="3679">
        <v>7002.6</v>
      </c>
      <c r="AO15" s="3679">
        <v>70027</v>
      </c>
      <c r="AP15" s="3683">
        <v>70027</v>
      </c>
      <c r="AQ15" s="3679" t="s">
        <v>3332</v>
      </c>
      <c r="AR15" s="3679" t="s">
        <v>3332</v>
      </c>
      <c r="AS15" s="3679">
        <v>0</v>
      </c>
      <c r="AT15" s="3679" t="s">
        <v>3340</v>
      </c>
      <c r="AU15" s="3679" t="s">
        <v>3331</v>
      </c>
      <c r="AV15" s="3679" t="s">
        <v>3332</v>
      </c>
      <c r="AW15" s="3679" t="s">
        <v>3331</v>
      </c>
      <c r="AX15" s="3679" t="s">
        <v>3332</v>
      </c>
      <c r="AY15" s="3679" t="s">
        <v>3332</v>
      </c>
      <c r="AZ15" s="3679" t="s">
        <v>3332</v>
      </c>
    </row>
    <row r="16" spans="1:52" s="3679" customFormat="1">
      <c r="A16" s="3679" t="s">
        <v>3421</v>
      </c>
      <c r="B16" s="3679" t="s">
        <v>1465</v>
      </c>
      <c r="C16" s="3679" t="s">
        <v>3422</v>
      </c>
      <c r="D16" s="3679" t="s">
        <v>3323</v>
      </c>
      <c r="E16" s="3679" t="s">
        <v>3324</v>
      </c>
      <c r="F16" s="3679" t="s">
        <v>3325</v>
      </c>
      <c r="G16" s="3679" t="s">
        <v>3423</v>
      </c>
      <c r="H16" s="3679" t="s">
        <v>3327</v>
      </c>
      <c r="I16" s="3679">
        <v>74772.84</v>
      </c>
      <c r="J16" s="3679">
        <v>134591</v>
      </c>
      <c r="K16" s="3679">
        <v>1.8</v>
      </c>
      <c r="L16" s="3679" t="s">
        <v>3328</v>
      </c>
      <c r="M16" s="3679" t="s">
        <v>3329</v>
      </c>
      <c r="N16" s="3679" t="s">
        <v>3330</v>
      </c>
      <c r="O16" s="3679" t="s">
        <v>3331</v>
      </c>
      <c r="P16" s="3679" t="s">
        <v>3424</v>
      </c>
      <c r="Q16" s="3679" t="s">
        <v>3425</v>
      </c>
      <c r="R16" s="3679" t="s">
        <v>3426</v>
      </c>
      <c r="S16" s="3679" t="s">
        <v>3427</v>
      </c>
      <c r="T16" s="3679" t="s">
        <v>3332</v>
      </c>
      <c r="U16" s="3679" t="s">
        <v>3332</v>
      </c>
      <c r="V16" s="3679">
        <v>0</v>
      </c>
      <c r="W16" s="3679">
        <v>0</v>
      </c>
      <c r="X16" s="3679">
        <v>0</v>
      </c>
      <c r="Y16" s="3679">
        <v>0</v>
      </c>
      <c r="Z16" s="3680">
        <v>43077.000497685185</v>
      </c>
      <c r="AA16" s="3680">
        <v>43097.000497685185</v>
      </c>
      <c r="AB16" s="3680">
        <v>43112.000497685185</v>
      </c>
      <c r="AC16" s="3680">
        <v>43112.000497685185</v>
      </c>
      <c r="AD16" s="3679" t="s">
        <v>3428</v>
      </c>
      <c r="AE16" s="3679" t="s">
        <v>3336</v>
      </c>
      <c r="AF16" s="3679" t="s">
        <v>3429</v>
      </c>
      <c r="AG16" s="3679" t="s">
        <v>3430</v>
      </c>
      <c r="AH16" s="3679" t="s">
        <v>3355</v>
      </c>
      <c r="AI16" s="3679">
        <v>472300</v>
      </c>
      <c r="AJ16" s="3679">
        <v>142000</v>
      </c>
      <c r="AK16" s="3679" t="s">
        <v>2091</v>
      </c>
      <c r="AL16" s="3679">
        <v>550000</v>
      </c>
      <c r="AM16" s="3679">
        <v>4210.9799999999996</v>
      </c>
      <c r="AN16" s="3679">
        <v>4903.74</v>
      </c>
      <c r="AO16" s="3679">
        <v>35092</v>
      </c>
      <c r="AP16" s="3683">
        <v>40865</v>
      </c>
      <c r="AQ16" s="3679" t="s">
        <v>3332</v>
      </c>
      <c r="AR16" s="3679" t="s">
        <v>3332</v>
      </c>
      <c r="AS16" s="3679">
        <v>16.45</v>
      </c>
      <c r="AT16" s="3679" t="s">
        <v>3340</v>
      </c>
      <c r="AU16" s="3679" t="s">
        <v>3331</v>
      </c>
      <c r="AV16" s="3679" t="s">
        <v>3332</v>
      </c>
      <c r="AW16" s="3679">
        <v>53000</v>
      </c>
      <c r="AX16" s="3679" t="s">
        <v>3332</v>
      </c>
      <c r="AY16" s="3679" t="s">
        <v>3332</v>
      </c>
      <c r="AZ16" s="3679">
        <v>12136</v>
      </c>
    </row>
    <row r="17" spans="1:52" s="3679" customFormat="1">
      <c r="A17" s="3679" t="s">
        <v>3431</v>
      </c>
      <c r="B17" s="3679" t="s">
        <v>1465</v>
      </c>
      <c r="C17" s="3679" t="s">
        <v>3432</v>
      </c>
      <c r="D17" s="3679" t="s">
        <v>3323</v>
      </c>
      <c r="E17" s="3679" t="s">
        <v>3324</v>
      </c>
      <c r="F17" s="3679" t="s">
        <v>3433</v>
      </c>
      <c r="G17" s="3679" t="s">
        <v>3434</v>
      </c>
      <c r="H17" s="3679" t="s">
        <v>3327</v>
      </c>
      <c r="I17" s="3679">
        <v>6180.98</v>
      </c>
      <c r="J17" s="3679">
        <v>32400</v>
      </c>
      <c r="K17" s="3679">
        <v>5.24</v>
      </c>
      <c r="L17" s="3679" t="s">
        <v>3435</v>
      </c>
      <c r="M17" s="3679" t="s">
        <v>3329</v>
      </c>
      <c r="N17" s="3679" t="s">
        <v>3330</v>
      </c>
      <c r="O17" s="3679" t="s">
        <v>3331</v>
      </c>
      <c r="P17" s="3679" t="s">
        <v>3332</v>
      </c>
      <c r="Q17" s="3679" t="s">
        <v>3332</v>
      </c>
      <c r="R17" s="3679" t="s">
        <v>3332</v>
      </c>
      <c r="S17" s="3679" t="s">
        <v>3332</v>
      </c>
      <c r="T17" s="3679" t="s">
        <v>3436</v>
      </c>
      <c r="U17" s="3679" t="s">
        <v>3437</v>
      </c>
      <c r="V17" s="3679">
        <v>13920.98</v>
      </c>
      <c r="W17" s="3679">
        <v>13920.98</v>
      </c>
      <c r="X17" s="3679">
        <v>0</v>
      </c>
      <c r="Y17" s="3679">
        <v>0</v>
      </c>
      <c r="Z17" s="3680">
        <v>43076.000497685185</v>
      </c>
      <c r="AA17" s="3680">
        <v>43098.000497685185</v>
      </c>
      <c r="AB17" s="3680">
        <v>43098.000497685185</v>
      </c>
      <c r="AC17" s="3680">
        <v>43098.000497685185</v>
      </c>
      <c r="AD17" s="3679" t="s">
        <v>3438</v>
      </c>
      <c r="AE17" s="3679" t="s">
        <v>3336</v>
      </c>
      <c r="AF17" s="3679" t="s">
        <v>3439</v>
      </c>
      <c r="AG17" s="3679" t="s">
        <v>3332</v>
      </c>
      <c r="AH17" s="3679" t="s">
        <v>3332</v>
      </c>
      <c r="AI17" s="3679" t="s">
        <v>3332</v>
      </c>
      <c r="AJ17" s="3679">
        <v>2400</v>
      </c>
      <c r="AK17" s="3679" t="s">
        <v>2091</v>
      </c>
      <c r="AL17" s="3679" t="s">
        <v>3332</v>
      </c>
      <c r="AM17" s="3679" t="s">
        <v>3332</v>
      </c>
      <c r="AN17" s="3679" t="s">
        <v>3332</v>
      </c>
      <c r="AO17" s="3679" t="s">
        <v>3332</v>
      </c>
      <c r="AP17" s="3683" t="s">
        <v>3332</v>
      </c>
      <c r="AQ17" s="3679" t="s">
        <v>3332</v>
      </c>
      <c r="AR17" s="3679" t="s">
        <v>3332</v>
      </c>
      <c r="AS17" s="3679">
        <v>0</v>
      </c>
      <c r="AT17" s="3679" t="s">
        <v>3340</v>
      </c>
      <c r="AU17" s="3679" t="s">
        <v>3331</v>
      </c>
      <c r="AV17" s="3679" t="s">
        <v>3332</v>
      </c>
      <c r="AW17" s="3679" t="s">
        <v>3331</v>
      </c>
      <c r="AX17" s="3679" t="s">
        <v>3332</v>
      </c>
      <c r="AY17" s="3679" t="s">
        <v>3332</v>
      </c>
      <c r="AZ17" s="3679" t="s">
        <v>3332</v>
      </c>
    </row>
    <row r="18" spans="1:52" s="3679" customFormat="1">
      <c r="A18" s="3679" t="s">
        <v>3440</v>
      </c>
      <c r="B18" s="3679" t="s">
        <v>1465</v>
      </c>
      <c r="C18" s="3679" t="s">
        <v>3441</v>
      </c>
      <c r="D18" s="3679" t="s">
        <v>3323</v>
      </c>
      <c r="E18" s="3679" t="s">
        <v>3324</v>
      </c>
      <c r="F18" s="3679" t="s">
        <v>3325</v>
      </c>
      <c r="G18" s="3679" t="s">
        <v>3442</v>
      </c>
      <c r="H18" s="3679" t="s">
        <v>3327</v>
      </c>
      <c r="I18" s="3679">
        <v>84786.55</v>
      </c>
      <c r="J18" s="3679">
        <v>186530</v>
      </c>
      <c r="K18" s="3679">
        <v>2.2000000000000002</v>
      </c>
      <c r="L18" s="3679" t="s">
        <v>3328</v>
      </c>
      <c r="M18" s="3679" t="s">
        <v>3329</v>
      </c>
      <c r="N18" s="3679" t="s">
        <v>3330</v>
      </c>
      <c r="O18" s="3679" t="s">
        <v>3331</v>
      </c>
      <c r="P18" s="3679" t="s">
        <v>3424</v>
      </c>
      <c r="Q18" s="3679" t="s">
        <v>3443</v>
      </c>
      <c r="R18" s="3679" t="s">
        <v>3444</v>
      </c>
      <c r="S18" s="3679" t="s">
        <v>3444</v>
      </c>
      <c r="T18" s="3679" t="s">
        <v>3445</v>
      </c>
      <c r="U18" s="3679" t="s">
        <v>3332</v>
      </c>
      <c r="V18" s="3679">
        <v>0</v>
      </c>
      <c r="W18" s="3679">
        <v>0</v>
      </c>
      <c r="X18" s="3679">
        <v>186530</v>
      </c>
      <c r="Y18" s="3679">
        <v>186530</v>
      </c>
      <c r="Z18" s="3680">
        <v>43008.000497685185</v>
      </c>
      <c r="AA18" s="3680">
        <v>43028.000497685185</v>
      </c>
      <c r="AB18" s="3680">
        <v>43042.000497685185</v>
      </c>
      <c r="AC18" s="3680">
        <v>43042.000497685185</v>
      </c>
      <c r="AD18" s="3679" t="s">
        <v>3446</v>
      </c>
      <c r="AE18" s="3679" t="s">
        <v>3336</v>
      </c>
      <c r="AF18" s="3679" t="s">
        <v>3447</v>
      </c>
      <c r="AG18" s="3679" t="s">
        <v>3448</v>
      </c>
      <c r="AH18" s="3679" t="s">
        <v>3449</v>
      </c>
      <c r="AI18" s="3679">
        <v>532800</v>
      </c>
      <c r="AJ18" s="3679">
        <v>160000</v>
      </c>
      <c r="AK18" s="3679" t="s">
        <v>2091</v>
      </c>
      <c r="AL18" s="3679">
        <v>535500</v>
      </c>
      <c r="AM18" s="3679">
        <v>4189.34</v>
      </c>
      <c r="AN18" s="3679">
        <v>4210.57</v>
      </c>
      <c r="AO18" s="3679">
        <v>28564</v>
      </c>
      <c r="AP18" s="3683">
        <v>28709</v>
      </c>
      <c r="AQ18" s="3679" t="s">
        <v>3332</v>
      </c>
      <c r="AR18" s="3679" t="s">
        <v>3332</v>
      </c>
      <c r="AS18" s="3679">
        <v>0.51</v>
      </c>
      <c r="AT18" s="3679" t="s">
        <v>3340</v>
      </c>
      <c r="AU18" s="3679" t="s">
        <v>3331</v>
      </c>
      <c r="AV18" s="3679" t="s">
        <v>3332</v>
      </c>
      <c r="AW18" s="3679" t="s">
        <v>3331</v>
      </c>
      <c r="AX18" s="3679" t="s">
        <v>3332</v>
      </c>
      <c r="AY18" s="3679" t="s">
        <v>3332</v>
      </c>
      <c r="AZ18" s="3679" t="s">
        <v>3332</v>
      </c>
    </row>
    <row r="19" spans="1:52" s="3679" customFormat="1">
      <c r="A19" s="3679" t="s">
        <v>3450</v>
      </c>
      <c r="B19" s="3679" t="s">
        <v>1465</v>
      </c>
      <c r="C19" s="3679" t="s">
        <v>3451</v>
      </c>
      <c r="D19" s="3679" t="s">
        <v>3323</v>
      </c>
      <c r="E19" s="3679" t="s">
        <v>3324</v>
      </c>
      <c r="F19" s="3679" t="s">
        <v>3452</v>
      </c>
      <c r="G19" s="3679" t="s">
        <v>3453</v>
      </c>
      <c r="H19" s="3679" t="s">
        <v>3327</v>
      </c>
      <c r="I19" s="3679">
        <v>10423.85</v>
      </c>
      <c r="J19" s="3679">
        <v>31272</v>
      </c>
      <c r="K19" s="3679">
        <v>3</v>
      </c>
      <c r="L19" s="3679" t="s">
        <v>3328</v>
      </c>
      <c r="M19" s="3679" t="s">
        <v>3454</v>
      </c>
      <c r="N19" s="3679" t="s">
        <v>3330</v>
      </c>
      <c r="O19" s="3679" t="s">
        <v>3331</v>
      </c>
      <c r="P19" s="3679" t="s">
        <v>3332</v>
      </c>
      <c r="Q19" s="3679" t="s">
        <v>3455</v>
      </c>
      <c r="R19" s="3679" t="s">
        <v>3426</v>
      </c>
      <c r="S19" s="3679" t="s">
        <v>3456</v>
      </c>
      <c r="T19" s="3679" t="s">
        <v>3332</v>
      </c>
      <c r="U19" s="3679" t="s">
        <v>3332</v>
      </c>
      <c r="V19" s="3679">
        <v>0</v>
      </c>
      <c r="W19" s="3679">
        <v>0</v>
      </c>
      <c r="X19" s="3679">
        <v>0</v>
      </c>
      <c r="Y19" s="3679">
        <v>0</v>
      </c>
      <c r="Z19" s="3680">
        <v>42979.000497685185</v>
      </c>
      <c r="AA19" s="3680">
        <v>42999.000497685185</v>
      </c>
      <c r="AB19" s="3680">
        <v>43019.000497685185</v>
      </c>
      <c r="AC19" s="3680">
        <v>43019.000497685185</v>
      </c>
      <c r="AD19" s="3679" t="s">
        <v>3457</v>
      </c>
      <c r="AE19" s="3679" t="s">
        <v>3336</v>
      </c>
      <c r="AF19" s="3679" t="s">
        <v>3345</v>
      </c>
      <c r="AG19" s="3679" t="s">
        <v>3458</v>
      </c>
      <c r="AH19" s="3679" t="s">
        <v>3396</v>
      </c>
      <c r="AI19" s="3679">
        <v>123600</v>
      </c>
      <c r="AJ19" s="3679">
        <v>37100</v>
      </c>
      <c r="AK19" s="3679" t="s">
        <v>2091</v>
      </c>
      <c r="AL19" s="3679">
        <v>165000</v>
      </c>
      <c r="AM19" s="3679">
        <v>7904.95</v>
      </c>
      <c r="AN19" s="3679">
        <v>10552.72</v>
      </c>
      <c r="AO19" s="3679">
        <v>39524</v>
      </c>
      <c r="AP19" s="3683">
        <v>52763</v>
      </c>
      <c r="AQ19" s="3679" t="s">
        <v>3332</v>
      </c>
      <c r="AR19" s="3679" t="s">
        <v>3332</v>
      </c>
      <c r="AS19" s="3679">
        <v>33.5</v>
      </c>
      <c r="AT19" s="3679" t="s">
        <v>3340</v>
      </c>
      <c r="AU19" s="3679" t="s">
        <v>3331</v>
      </c>
      <c r="AV19" s="3679" t="s">
        <v>3332</v>
      </c>
      <c r="AW19" s="3679">
        <v>85373</v>
      </c>
      <c r="AX19" s="3679" t="s">
        <v>3332</v>
      </c>
      <c r="AY19" s="3679" t="s">
        <v>3332</v>
      </c>
      <c r="AZ19" s="3679">
        <v>32611</v>
      </c>
    </row>
    <row r="20" spans="1:52" s="3679" customFormat="1">
      <c r="A20" s="3679" t="s">
        <v>3459</v>
      </c>
      <c r="B20" s="3679" t="s">
        <v>1465</v>
      </c>
      <c r="C20" s="3679" t="s">
        <v>3460</v>
      </c>
      <c r="D20" s="3679" t="s">
        <v>3323</v>
      </c>
      <c r="E20" s="3679" t="s">
        <v>3324</v>
      </c>
      <c r="F20" s="3679" t="s">
        <v>3325</v>
      </c>
      <c r="G20" s="3679" t="s">
        <v>3423</v>
      </c>
      <c r="H20" s="3679" t="s">
        <v>3327</v>
      </c>
      <c r="I20" s="3679">
        <v>82336.42</v>
      </c>
      <c r="J20" s="3679">
        <v>139022</v>
      </c>
      <c r="K20" s="3679" t="s">
        <v>3461</v>
      </c>
      <c r="L20" s="3679" t="s">
        <v>3328</v>
      </c>
      <c r="M20" s="3679" t="s">
        <v>3329</v>
      </c>
      <c r="N20" s="3679" t="s">
        <v>3330</v>
      </c>
      <c r="O20" s="3679" t="s">
        <v>3331</v>
      </c>
      <c r="P20" s="3679" t="s">
        <v>3424</v>
      </c>
      <c r="Q20" s="3679" t="s">
        <v>3462</v>
      </c>
      <c r="R20" s="3679" t="s">
        <v>3426</v>
      </c>
      <c r="S20" s="3679" t="s">
        <v>3456</v>
      </c>
      <c r="T20" s="3679" t="s">
        <v>3332</v>
      </c>
      <c r="U20" s="3679" t="s">
        <v>3332</v>
      </c>
      <c r="V20" s="3679">
        <v>0</v>
      </c>
      <c r="W20" s="3679">
        <v>0</v>
      </c>
      <c r="X20" s="3679">
        <v>0</v>
      </c>
      <c r="Y20" s="3679">
        <v>0</v>
      </c>
      <c r="Z20" s="3680">
        <v>42916.000497685185</v>
      </c>
      <c r="AA20" s="3680">
        <v>42941.000497685185</v>
      </c>
      <c r="AB20" s="3680">
        <v>42955.000497685185</v>
      </c>
      <c r="AC20" s="3680">
        <v>42955.000497685185</v>
      </c>
      <c r="AD20" s="3679" t="s">
        <v>3463</v>
      </c>
      <c r="AE20" s="3679" t="s">
        <v>3336</v>
      </c>
      <c r="AF20" s="3679" t="s">
        <v>3464</v>
      </c>
      <c r="AG20" s="3679" t="s">
        <v>3465</v>
      </c>
      <c r="AH20" s="3679" t="s">
        <v>3466</v>
      </c>
      <c r="AI20" s="3679">
        <v>484000</v>
      </c>
      <c r="AJ20" s="3679">
        <v>146000</v>
      </c>
      <c r="AK20" s="3679" t="s">
        <v>2091</v>
      </c>
      <c r="AL20" s="3679">
        <v>580800</v>
      </c>
      <c r="AM20" s="3679">
        <v>3918.88</v>
      </c>
      <c r="AN20" s="3679">
        <v>4702.66</v>
      </c>
      <c r="AO20" s="3679">
        <v>34815</v>
      </c>
      <c r="AP20" s="3683">
        <v>41778</v>
      </c>
      <c r="AQ20" s="3679" t="s">
        <v>3332</v>
      </c>
      <c r="AR20" s="3679" t="s">
        <v>3332</v>
      </c>
      <c r="AS20" s="3679">
        <v>20</v>
      </c>
      <c r="AT20" s="3679" t="s">
        <v>3340</v>
      </c>
      <c r="AU20" s="3679" t="s">
        <v>3331</v>
      </c>
      <c r="AV20" s="3679" t="s">
        <v>3332</v>
      </c>
      <c r="AW20" s="3679">
        <v>53000</v>
      </c>
      <c r="AX20" s="3679" t="s">
        <v>3332</v>
      </c>
      <c r="AY20" s="3679" t="s">
        <v>3332</v>
      </c>
      <c r="AZ20" s="3679">
        <v>11223</v>
      </c>
    </row>
    <row r="21" spans="1:52" s="3679" customFormat="1">
      <c r="A21" s="3679" t="s">
        <v>3467</v>
      </c>
      <c r="B21" s="3679" t="s">
        <v>1465</v>
      </c>
      <c r="C21" s="3679" t="s">
        <v>3468</v>
      </c>
      <c r="D21" s="3679" t="s">
        <v>3323</v>
      </c>
      <c r="E21" s="3679" t="s">
        <v>3324</v>
      </c>
      <c r="F21" s="3679" t="s">
        <v>3325</v>
      </c>
      <c r="G21" s="3679" t="s">
        <v>3423</v>
      </c>
      <c r="H21" s="3679" t="s">
        <v>3327</v>
      </c>
      <c r="I21" s="3679">
        <v>54881.23</v>
      </c>
      <c r="J21" s="3679">
        <v>104288</v>
      </c>
      <c r="K21" s="3679" t="s">
        <v>3469</v>
      </c>
      <c r="L21" s="3679" t="s">
        <v>3328</v>
      </c>
      <c r="M21" s="3679" t="s">
        <v>3329</v>
      </c>
      <c r="N21" s="3679" t="s">
        <v>3330</v>
      </c>
      <c r="O21" s="3679" t="s">
        <v>3331</v>
      </c>
      <c r="P21" s="3679" t="s">
        <v>3424</v>
      </c>
      <c r="Q21" s="3679" t="s">
        <v>3470</v>
      </c>
      <c r="R21" s="3679" t="s">
        <v>3426</v>
      </c>
      <c r="S21" s="3679" t="s">
        <v>3456</v>
      </c>
      <c r="T21" s="3679" t="s">
        <v>3436</v>
      </c>
      <c r="U21" s="3679" t="s">
        <v>3437</v>
      </c>
      <c r="V21" s="3679">
        <v>55019</v>
      </c>
      <c r="W21" s="3679">
        <v>55019</v>
      </c>
      <c r="X21" s="3679">
        <v>0</v>
      </c>
      <c r="Y21" s="3679">
        <v>0</v>
      </c>
      <c r="Z21" s="3680">
        <v>42916.000497685185</v>
      </c>
      <c r="AA21" s="3680">
        <v>42941.000497685185</v>
      </c>
      <c r="AB21" s="3680">
        <v>42955.000497685185</v>
      </c>
      <c r="AC21" s="3680">
        <v>42955.000497685185</v>
      </c>
      <c r="AD21" s="3679" t="s">
        <v>3471</v>
      </c>
      <c r="AE21" s="3679" t="s">
        <v>3336</v>
      </c>
      <c r="AF21" s="3679" t="s">
        <v>3472</v>
      </c>
      <c r="AG21" s="3679" t="s">
        <v>3473</v>
      </c>
      <c r="AH21" s="3679" t="s">
        <v>3474</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3340</v>
      </c>
      <c r="AU21" s="3679" t="s">
        <v>3331</v>
      </c>
      <c r="AV21" s="3679" t="s">
        <v>3332</v>
      </c>
      <c r="AW21" s="3679">
        <v>53000</v>
      </c>
      <c r="AX21" s="3679" t="s">
        <v>3332</v>
      </c>
      <c r="AY21" s="3679" t="s">
        <v>3332</v>
      </c>
      <c r="AZ21" s="3679">
        <v>-12438</v>
      </c>
    </row>
    <row r="22" spans="1:52" s="3679" customFormat="1">
      <c r="A22" s="3679" t="s">
        <v>3633</v>
      </c>
      <c r="B22" s="3679" t="s">
        <v>1465</v>
      </c>
      <c r="C22" s="3679" t="s">
        <v>3634</v>
      </c>
      <c r="D22" s="3679" t="s">
        <v>3323</v>
      </c>
      <c r="E22" s="3679" t="s">
        <v>3324</v>
      </c>
      <c r="F22" s="3679" t="s">
        <v>3325</v>
      </c>
      <c r="G22" s="3679" t="s">
        <v>3360</v>
      </c>
      <c r="H22" s="3679" t="s">
        <v>3327</v>
      </c>
      <c r="I22" s="3679">
        <v>83549.62</v>
      </c>
      <c r="J22" s="3679">
        <v>138825</v>
      </c>
      <c r="K22" s="3679">
        <v>1.66</v>
      </c>
      <c r="L22" s="3679" t="s">
        <v>3328</v>
      </c>
      <c r="M22" s="3679" t="s">
        <v>3329</v>
      </c>
      <c r="N22" s="3679" t="s">
        <v>3330</v>
      </c>
      <c r="O22" s="3679" t="s">
        <v>3331</v>
      </c>
      <c r="P22" s="3679" t="s">
        <v>3332</v>
      </c>
      <c r="Q22" s="3679" t="s">
        <v>3332</v>
      </c>
      <c r="R22" s="3679" t="s">
        <v>3635</v>
      </c>
      <c r="S22" s="3679" t="s">
        <v>3635</v>
      </c>
      <c r="T22" s="3679" t="s">
        <v>3636</v>
      </c>
      <c r="U22" s="3679" t="s">
        <v>3332</v>
      </c>
      <c r="V22" s="3679">
        <v>0</v>
      </c>
      <c r="W22" s="3679">
        <v>0</v>
      </c>
      <c r="X22" s="3679">
        <v>0</v>
      </c>
      <c r="Y22" s="3679">
        <v>0</v>
      </c>
      <c r="Z22" s="3680">
        <v>42642.000497685185</v>
      </c>
      <c r="AA22" s="3680">
        <v>42676.000497685185</v>
      </c>
      <c r="AB22" s="3680">
        <v>42705.000497685185</v>
      </c>
      <c r="AC22" s="3680">
        <v>42705.000497685185</v>
      </c>
      <c r="AD22" s="3679" t="s">
        <v>3637</v>
      </c>
      <c r="AE22" s="3679" t="s">
        <v>3336</v>
      </c>
      <c r="AF22" s="3679" t="s">
        <v>3638</v>
      </c>
      <c r="AG22" s="3679" t="s">
        <v>3473</v>
      </c>
      <c r="AH22" s="3679" t="s">
        <v>3474</v>
      </c>
      <c r="AI22" s="3679">
        <v>384000</v>
      </c>
      <c r="AJ22" s="3679">
        <v>115000</v>
      </c>
      <c r="AK22" s="3679" t="s">
        <v>2091</v>
      </c>
      <c r="AL22" s="3679">
        <v>500000</v>
      </c>
      <c r="AM22" s="3679">
        <v>3064.05</v>
      </c>
      <c r="AN22" s="3679">
        <v>3989.65</v>
      </c>
      <c r="AO22" s="3679">
        <v>27661</v>
      </c>
      <c r="AP22" s="3683">
        <v>36017</v>
      </c>
      <c r="AQ22" s="3679" t="s">
        <v>3332</v>
      </c>
      <c r="AR22" s="3679" t="s">
        <v>3332</v>
      </c>
      <c r="AS22" s="3679">
        <v>30.21</v>
      </c>
      <c r="AT22" s="3679" t="s">
        <v>3340</v>
      </c>
      <c r="AU22" s="3679">
        <v>500000</v>
      </c>
      <c r="AV22" s="3679" t="s">
        <v>3341</v>
      </c>
      <c r="AW22" s="3679" t="s">
        <v>3331</v>
      </c>
      <c r="AX22" s="3679">
        <v>36017</v>
      </c>
      <c r="AY22" s="3679">
        <v>30.21</v>
      </c>
      <c r="AZ22" s="3679" t="s">
        <v>3332</v>
      </c>
    </row>
    <row r="23" spans="1:52" s="3679" customFormat="1">
      <c r="A23" s="3679" t="s">
        <v>3639</v>
      </c>
      <c r="B23" s="3679" t="s">
        <v>1465</v>
      </c>
      <c r="C23" s="3679" t="s">
        <v>3640</v>
      </c>
      <c r="D23" s="3679" t="s">
        <v>3323</v>
      </c>
      <c r="E23" s="3679" t="s">
        <v>3324</v>
      </c>
      <c r="F23" s="3679" t="s">
        <v>3325</v>
      </c>
      <c r="G23" s="3679" t="s">
        <v>3360</v>
      </c>
      <c r="H23" s="3679" t="s">
        <v>3327</v>
      </c>
      <c r="I23" s="3679">
        <v>43356.75</v>
      </c>
      <c r="J23" s="3679">
        <v>91049</v>
      </c>
      <c r="K23" s="3679">
        <v>2.1</v>
      </c>
      <c r="L23" s="3679" t="s">
        <v>3328</v>
      </c>
      <c r="M23" s="3679" t="s">
        <v>3329</v>
      </c>
      <c r="N23" s="3679" t="s">
        <v>3330</v>
      </c>
      <c r="O23" s="3679" t="s">
        <v>3331</v>
      </c>
      <c r="P23" s="3679" t="s">
        <v>3332</v>
      </c>
      <c r="Q23" s="3679" t="s">
        <v>3332</v>
      </c>
      <c r="R23" s="3679" t="s">
        <v>3444</v>
      </c>
      <c r="S23" s="3679" t="s">
        <v>3444</v>
      </c>
      <c r="T23" s="3679" t="s">
        <v>3641</v>
      </c>
      <c r="U23" s="3679" t="s">
        <v>3642</v>
      </c>
      <c r="V23" s="3679">
        <v>0</v>
      </c>
      <c r="W23" s="3679">
        <v>0</v>
      </c>
      <c r="X23" s="3679">
        <v>55049</v>
      </c>
      <c r="Y23" s="3679">
        <v>55049</v>
      </c>
      <c r="Z23" s="3680">
        <v>42642.000497685185</v>
      </c>
      <c r="AA23" s="3680">
        <v>42662.000497685185</v>
      </c>
      <c r="AB23" s="3680">
        <v>42676.000497685185</v>
      </c>
      <c r="AC23" s="3680">
        <v>42676.000497685185</v>
      </c>
      <c r="AD23" s="3679" t="s">
        <v>3643</v>
      </c>
      <c r="AE23" s="3679" t="s">
        <v>3336</v>
      </c>
      <c r="AF23" s="3679" t="s">
        <v>3644</v>
      </c>
      <c r="AG23" s="3679" t="s">
        <v>3645</v>
      </c>
      <c r="AH23" s="3679" t="s">
        <v>3355</v>
      </c>
      <c r="AI23" s="3679">
        <v>199000</v>
      </c>
      <c r="AJ23" s="3679">
        <v>59700</v>
      </c>
      <c r="AK23" s="3679" t="s">
        <v>2091</v>
      </c>
      <c r="AL23" s="3679">
        <v>215000</v>
      </c>
      <c r="AM23" s="3679">
        <v>3059.88</v>
      </c>
      <c r="AN23" s="3679">
        <v>3305.91</v>
      </c>
      <c r="AO23" s="3679">
        <v>21856</v>
      </c>
      <c r="AP23" s="3683">
        <v>23614</v>
      </c>
      <c r="AQ23" s="3679" t="s">
        <v>3332</v>
      </c>
      <c r="AR23" s="3679" t="s">
        <v>3332</v>
      </c>
      <c r="AS23" s="3679">
        <v>8.0399999999999991</v>
      </c>
      <c r="AT23" s="3679" t="s">
        <v>3340</v>
      </c>
      <c r="AU23" s="3679" t="s">
        <v>3331</v>
      </c>
      <c r="AV23" s="3679" t="s">
        <v>3332</v>
      </c>
      <c r="AW23" s="3679" t="s">
        <v>3331</v>
      </c>
      <c r="AX23" s="3679" t="s">
        <v>3332</v>
      </c>
      <c r="AY23" s="3679" t="s">
        <v>3332</v>
      </c>
      <c r="AZ23" s="3679" t="s">
        <v>3332</v>
      </c>
    </row>
    <row r="24" spans="1:52" s="3679" customFormat="1">
      <c r="A24" s="3679" t="s">
        <v>3646</v>
      </c>
      <c r="B24" s="3679" t="s">
        <v>1465</v>
      </c>
      <c r="C24" s="3679" t="s">
        <v>3647</v>
      </c>
      <c r="D24" s="3679" t="s">
        <v>3323</v>
      </c>
      <c r="E24" s="3679" t="s">
        <v>3324</v>
      </c>
      <c r="F24" s="3679" t="s">
        <v>3325</v>
      </c>
      <c r="G24" s="3679" t="s">
        <v>3648</v>
      </c>
      <c r="H24" s="3679" t="s">
        <v>3327</v>
      </c>
      <c r="I24" s="3679">
        <v>83231.570000000007</v>
      </c>
      <c r="J24" s="3679">
        <v>183109</v>
      </c>
      <c r="K24" s="3679">
        <v>2.2000000000000002</v>
      </c>
      <c r="L24" s="3679" t="s">
        <v>3435</v>
      </c>
      <c r="M24" s="3679" t="s">
        <v>3329</v>
      </c>
      <c r="N24" s="3679" t="s">
        <v>3330</v>
      </c>
      <c r="O24" s="3679" t="s">
        <v>3331</v>
      </c>
      <c r="P24" s="3679" t="s">
        <v>3332</v>
      </c>
      <c r="Q24" s="3679" t="s">
        <v>3332</v>
      </c>
      <c r="R24" s="3679" t="s">
        <v>3332</v>
      </c>
      <c r="S24" s="3679" t="s">
        <v>3332</v>
      </c>
      <c r="T24" s="3679" t="s">
        <v>3332</v>
      </c>
      <c r="U24" s="3679" t="s">
        <v>3332</v>
      </c>
      <c r="V24" s="3679">
        <v>0</v>
      </c>
      <c r="W24" s="3679">
        <v>0</v>
      </c>
      <c r="X24" s="3679">
        <v>183109</v>
      </c>
      <c r="Y24" s="3679">
        <v>183109</v>
      </c>
      <c r="Z24" s="3680">
        <v>41659.000497685185</v>
      </c>
      <c r="AA24" s="3680">
        <v>41687.000497685185</v>
      </c>
      <c r="AB24" s="3680">
        <v>41687.000497685185</v>
      </c>
      <c r="AC24" s="3680">
        <v>41687.000497685185</v>
      </c>
      <c r="AD24" s="3679" t="s">
        <v>3649</v>
      </c>
      <c r="AE24" s="3679" t="s">
        <v>3336</v>
      </c>
      <c r="AF24" s="3679" t="s">
        <v>3650</v>
      </c>
      <c r="AG24" s="3679" t="s">
        <v>3651</v>
      </c>
      <c r="AH24" s="3679" t="s">
        <v>3652</v>
      </c>
      <c r="AI24" s="3679" t="s">
        <v>3332</v>
      </c>
      <c r="AJ24" s="3679">
        <v>45000</v>
      </c>
      <c r="AK24" s="3679" t="s">
        <v>2091</v>
      </c>
      <c r="AL24" s="3679">
        <v>222500</v>
      </c>
      <c r="AM24" s="3679" t="s">
        <v>3332</v>
      </c>
      <c r="AN24" s="3679">
        <v>1782.18</v>
      </c>
      <c r="AO24" s="3679" t="s">
        <v>3332</v>
      </c>
      <c r="AP24" s="3683">
        <v>12151</v>
      </c>
      <c r="AQ24" s="3679" t="s">
        <v>3332</v>
      </c>
      <c r="AR24" s="3679" t="s">
        <v>3332</v>
      </c>
      <c r="AS24" s="3679">
        <v>0</v>
      </c>
      <c r="AT24" s="3679" t="s">
        <v>3653</v>
      </c>
      <c r="AU24" s="3679" t="s">
        <v>3331</v>
      </c>
      <c r="AV24" s="3679" t="s">
        <v>3332</v>
      </c>
      <c r="AW24" s="3679" t="s">
        <v>3331</v>
      </c>
      <c r="AX24" s="3679" t="s">
        <v>3332</v>
      </c>
      <c r="AY24" s="3679" t="s">
        <v>3332</v>
      </c>
      <c r="AZ24" s="3679" t="s">
        <v>3332</v>
      </c>
    </row>
    <row r="25" spans="1:52" s="3679" customFormat="1">
      <c r="A25" s="3679" t="s">
        <v>3654</v>
      </c>
      <c r="B25" s="3679" t="s">
        <v>1465</v>
      </c>
      <c r="C25" s="3679" t="s">
        <v>3655</v>
      </c>
      <c r="D25" s="3679" t="s">
        <v>3323</v>
      </c>
      <c r="E25" s="3679" t="s">
        <v>3324</v>
      </c>
      <c r="F25" s="3679" t="s">
        <v>3656</v>
      </c>
      <c r="G25" s="3679" t="s">
        <v>3657</v>
      </c>
      <c r="H25" s="3679" t="s">
        <v>3327</v>
      </c>
      <c r="I25" s="3679">
        <v>13025</v>
      </c>
      <c r="J25" s="3679">
        <v>27353</v>
      </c>
      <c r="K25" s="3679">
        <v>2.1</v>
      </c>
      <c r="L25" s="3679" t="s">
        <v>3328</v>
      </c>
      <c r="M25" s="3679" t="s">
        <v>3658</v>
      </c>
      <c r="N25" s="3679" t="s">
        <v>3330</v>
      </c>
      <c r="O25" s="3679" t="s">
        <v>3331</v>
      </c>
      <c r="P25" s="3679" t="s">
        <v>3332</v>
      </c>
      <c r="Q25" s="3679" t="s">
        <v>3332</v>
      </c>
      <c r="R25" s="3679" t="s">
        <v>3332</v>
      </c>
      <c r="S25" s="3679" t="s">
        <v>3332</v>
      </c>
      <c r="T25" s="3679" t="s">
        <v>3332</v>
      </c>
      <c r="U25" s="3679" t="s">
        <v>3659</v>
      </c>
      <c r="V25" s="3679">
        <v>8000</v>
      </c>
      <c r="W25" s="3679">
        <v>8000</v>
      </c>
      <c r="X25" s="3679">
        <v>0</v>
      </c>
      <c r="Y25" s="3679">
        <v>0</v>
      </c>
      <c r="Z25" s="3680">
        <v>41542.000497685185</v>
      </c>
      <c r="AA25" s="3680">
        <v>41568.000497685185</v>
      </c>
      <c r="AB25" s="3680">
        <v>41582.000497685185</v>
      </c>
      <c r="AC25" s="3680">
        <v>41582.000497685185</v>
      </c>
      <c r="AD25" s="3679" t="s">
        <v>3660</v>
      </c>
      <c r="AE25" s="3679" t="s">
        <v>3336</v>
      </c>
      <c r="AF25" s="3679" t="s">
        <v>3661</v>
      </c>
      <c r="AG25" s="3679" t="s">
        <v>3662</v>
      </c>
      <c r="AH25" s="3679" t="s">
        <v>3396</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3653</v>
      </c>
      <c r="AU25" s="3679" t="s">
        <v>3331</v>
      </c>
      <c r="AV25" s="3679" t="s">
        <v>3332</v>
      </c>
      <c r="AW25" s="3679" t="s">
        <v>3331</v>
      </c>
      <c r="AX25" s="3679" t="s">
        <v>3332</v>
      </c>
      <c r="AY25" s="3679" t="s">
        <v>3332</v>
      </c>
      <c r="AZ25" s="3679" t="s">
        <v>3332</v>
      </c>
    </row>
    <row r="26" spans="1:52" s="3679" customFormat="1">
      <c r="A26" s="3679" t="s">
        <v>3663</v>
      </c>
      <c r="B26" s="3679" t="s">
        <v>1465</v>
      </c>
      <c r="C26" s="3679" t="s">
        <v>3664</v>
      </c>
      <c r="D26" s="3679" t="s">
        <v>3323</v>
      </c>
      <c r="E26" s="3679" t="s">
        <v>3324</v>
      </c>
      <c r="F26" s="3679" t="s">
        <v>3665</v>
      </c>
      <c r="G26" s="3679" t="s">
        <v>3666</v>
      </c>
      <c r="H26" s="3679" t="s">
        <v>3327</v>
      </c>
      <c r="I26" s="3679">
        <v>19881.8</v>
      </c>
      <c r="J26" s="3679">
        <v>59645.4</v>
      </c>
      <c r="K26" s="3679">
        <v>3</v>
      </c>
      <c r="L26" s="3679" t="s">
        <v>3435</v>
      </c>
      <c r="M26" s="3679" t="s">
        <v>3667</v>
      </c>
      <c r="N26" s="3679" t="s">
        <v>3330</v>
      </c>
      <c r="O26" s="3679" t="s">
        <v>3331</v>
      </c>
      <c r="P26" s="3679" t="s">
        <v>3332</v>
      </c>
      <c r="Q26" s="3679" t="s">
        <v>3332</v>
      </c>
      <c r="R26" s="3679" t="s">
        <v>3332</v>
      </c>
      <c r="S26" s="3679" t="s">
        <v>3332</v>
      </c>
      <c r="T26" s="3679" t="s">
        <v>3332</v>
      </c>
      <c r="U26" s="3679" t="s">
        <v>3332</v>
      </c>
      <c r="V26" s="3679" t="s">
        <v>3332</v>
      </c>
      <c r="W26" s="3679" t="s">
        <v>3332</v>
      </c>
      <c r="X26" s="3679">
        <v>0</v>
      </c>
      <c r="Y26" s="3679">
        <v>0</v>
      </c>
      <c r="Z26" s="3679" t="s">
        <v>3332</v>
      </c>
      <c r="AA26" s="3680">
        <v>39129.000497685185</v>
      </c>
      <c r="AB26" s="3680">
        <v>39129.000497685185</v>
      </c>
      <c r="AC26" s="3680">
        <v>39129.000497685185</v>
      </c>
      <c r="AD26" s="3679" t="s">
        <v>3332</v>
      </c>
      <c r="AE26" s="3679" t="s">
        <v>3336</v>
      </c>
      <c r="AF26" s="3679" t="s">
        <v>3668</v>
      </c>
      <c r="AG26" s="3679" t="s">
        <v>3332</v>
      </c>
      <c r="AH26" s="3679" t="s">
        <v>3332</v>
      </c>
      <c r="AI26" s="3679">
        <v>29900</v>
      </c>
      <c r="AJ26" s="3679" t="s">
        <v>3331</v>
      </c>
      <c r="AK26" s="3679" t="s">
        <v>2091</v>
      </c>
      <c r="AL26" s="3679">
        <v>31800</v>
      </c>
      <c r="AM26" s="3679">
        <v>1002.59</v>
      </c>
      <c r="AN26" s="3679">
        <v>1066.3</v>
      </c>
      <c r="AO26" s="3679">
        <v>5013</v>
      </c>
      <c r="AP26" s="3683">
        <v>5332</v>
      </c>
      <c r="AQ26" s="3679" t="s">
        <v>3332</v>
      </c>
      <c r="AR26" s="3679" t="s">
        <v>3332</v>
      </c>
      <c r="AS26" s="3679">
        <v>6.35</v>
      </c>
      <c r="AT26" s="3679" t="s">
        <v>3669</v>
      </c>
      <c r="AU26" s="3679" t="s">
        <v>3331</v>
      </c>
      <c r="AV26" s="3679" t="s">
        <v>3332</v>
      </c>
      <c r="AW26" s="3679" t="s">
        <v>3331</v>
      </c>
      <c r="AX26" s="3679" t="s">
        <v>3332</v>
      </c>
      <c r="AY26" s="3679" t="s">
        <v>3332</v>
      </c>
      <c r="AZ26" s="3679" t="s">
        <v>3332</v>
      </c>
    </row>
    <row r="27" spans="1:52" s="3679" customFormat="1">
      <c r="A27" s="3679" t="s">
        <v>3670</v>
      </c>
      <c r="B27" s="3679" t="s">
        <v>1465</v>
      </c>
      <c r="C27" s="3679" t="s">
        <v>3671</v>
      </c>
      <c r="D27" s="3679" t="s">
        <v>3323</v>
      </c>
      <c r="E27" s="3679" t="s">
        <v>3324</v>
      </c>
      <c r="F27" s="3679" t="s">
        <v>3387</v>
      </c>
      <c r="G27" s="3679" t="s">
        <v>3672</v>
      </c>
      <c r="H27" s="3679" t="s">
        <v>3327</v>
      </c>
      <c r="I27" s="3679">
        <v>54870</v>
      </c>
      <c r="J27" s="3679">
        <v>82300</v>
      </c>
      <c r="K27" s="3679">
        <v>1.5</v>
      </c>
      <c r="L27" s="3679" t="s">
        <v>3328</v>
      </c>
      <c r="M27" s="3679" t="s">
        <v>3667</v>
      </c>
      <c r="N27" s="3679" t="s">
        <v>3330</v>
      </c>
      <c r="O27" s="3679" t="s">
        <v>3331</v>
      </c>
      <c r="P27" s="3679" t="s">
        <v>3332</v>
      </c>
      <c r="Q27" s="3679" t="s">
        <v>3332</v>
      </c>
      <c r="R27" s="3679" t="s">
        <v>3332</v>
      </c>
      <c r="S27" s="3679" t="s">
        <v>3332</v>
      </c>
      <c r="T27" s="3679" t="s">
        <v>3332</v>
      </c>
      <c r="U27" s="3679" t="s">
        <v>3332</v>
      </c>
      <c r="V27" s="3679">
        <v>0</v>
      </c>
      <c r="W27" s="3679">
        <v>0</v>
      </c>
      <c r="X27" s="3679">
        <v>0</v>
      </c>
      <c r="Y27" s="3679">
        <v>0</v>
      </c>
      <c r="Z27" s="3679" t="s">
        <v>3332</v>
      </c>
      <c r="AA27" s="3680">
        <v>38026.000497685185</v>
      </c>
      <c r="AB27" s="3680">
        <v>38040.000497685185</v>
      </c>
      <c r="AC27" s="3680">
        <v>38040.000497685185</v>
      </c>
      <c r="AD27" s="3679" t="s">
        <v>3332</v>
      </c>
      <c r="AE27" s="3679" t="s">
        <v>3336</v>
      </c>
      <c r="AF27" s="3679" t="s">
        <v>3673</v>
      </c>
      <c r="AG27" s="3679" t="s">
        <v>3332</v>
      </c>
      <c r="AH27" s="3679" t="s">
        <v>3332</v>
      </c>
      <c r="AI27" s="3679">
        <v>32300</v>
      </c>
      <c r="AJ27" s="3679" t="s">
        <v>3331</v>
      </c>
      <c r="AK27" s="3679" t="s">
        <v>2091</v>
      </c>
      <c r="AL27" s="3679">
        <v>32300</v>
      </c>
      <c r="AM27" s="3679">
        <v>392.44</v>
      </c>
      <c r="AN27" s="3679">
        <v>392.44</v>
      </c>
      <c r="AO27" s="3679">
        <v>3925</v>
      </c>
      <c r="AP27" s="3683">
        <v>3925</v>
      </c>
      <c r="AQ27" s="3679" t="s">
        <v>3332</v>
      </c>
      <c r="AR27" s="3679" t="s">
        <v>3332</v>
      </c>
      <c r="AS27" s="3679">
        <v>0</v>
      </c>
      <c r="AT27" s="3679" t="s">
        <v>3357</v>
      </c>
      <c r="AU27" s="3679" t="s">
        <v>3331</v>
      </c>
      <c r="AV27" s="3679" t="s">
        <v>3332</v>
      </c>
      <c r="AW27" s="3679" t="s">
        <v>3331</v>
      </c>
      <c r="AX27" s="3679" t="s">
        <v>3332</v>
      </c>
      <c r="AY27" s="3679" t="s">
        <v>3332</v>
      </c>
      <c r="AZ27" s="3679" t="s">
        <v>3332</v>
      </c>
    </row>
    <row r="28" spans="1:52" s="3679" customFormat="1">
      <c r="A28" s="3679" t="s">
        <v>3674</v>
      </c>
      <c r="B28" s="3679" t="s">
        <v>1465</v>
      </c>
      <c r="C28" s="3679" t="s">
        <v>3675</v>
      </c>
      <c r="D28" s="3679" t="s">
        <v>3323</v>
      </c>
      <c r="E28" s="3679" t="s">
        <v>3324</v>
      </c>
      <c r="F28" s="3679" t="s">
        <v>3375</v>
      </c>
      <c r="G28" s="3679" t="s">
        <v>3676</v>
      </c>
      <c r="H28" s="3679" t="s">
        <v>3327</v>
      </c>
      <c r="I28" s="3679">
        <v>19721.84</v>
      </c>
      <c r="J28" s="3679">
        <v>43388.05</v>
      </c>
      <c r="K28" s="3679">
        <v>2.2000000000000002</v>
      </c>
      <c r="L28" s="3679" t="s">
        <v>3328</v>
      </c>
      <c r="M28" s="3679" t="s">
        <v>3677</v>
      </c>
      <c r="N28" s="3679" t="s">
        <v>3330</v>
      </c>
      <c r="O28" s="3679" t="s">
        <v>3331</v>
      </c>
      <c r="P28" s="3679" t="s">
        <v>3332</v>
      </c>
      <c r="Q28" s="3679" t="s">
        <v>3332</v>
      </c>
      <c r="R28" s="3679" t="s">
        <v>3332</v>
      </c>
      <c r="S28" s="3679" t="s">
        <v>3332</v>
      </c>
      <c r="T28" s="3679" t="s">
        <v>3332</v>
      </c>
      <c r="U28" s="3679" t="s">
        <v>3332</v>
      </c>
      <c r="V28" s="3679" t="s">
        <v>3332</v>
      </c>
      <c r="W28" s="3679" t="s">
        <v>3332</v>
      </c>
      <c r="X28" s="3679">
        <v>0</v>
      </c>
      <c r="Y28" s="3679">
        <v>0</v>
      </c>
      <c r="Z28" s="3679" t="s">
        <v>3332</v>
      </c>
      <c r="AA28" s="3680">
        <v>39463.000497685185</v>
      </c>
      <c r="AB28" s="3680">
        <v>39477.000497685185</v>
      </c>
      <c r="AC28" s="3680">
        <v>39477.000497685185</v>
      </c>
      <c r="AD28" s="3679" t="s">
        <v>3332</v>
      </c>
      <c r="AE28" s="3679" t="s">
        <v>3336</v>
      </c>
      <c r="AF28" s="3679" t="s">
        <v>3678</v>
      </c>
      <c r="AG28" s="3679" t="s">
        <v>3645</v>
      </c>
      <c r="AH28" s="3679" t="s">
        <v>3355</v>
      </c>
      <c r="AI28" s="3679">
        <v>24527.4</v>
      </c>
      <c r="AJ28" s="3679">
        <v>2500</v>
      </c>
      <c r="AK28" s="3679" t="s">
        <v>2091</v>
      </c>
      <c r="AL28" s="3679">
        <v>64000</v>
      </c>
      <c r="AM28" s="3679">
        <v>829.11</v>
      </c>
      <c r="AN28" s="3679">
        <v>2163.42</v>
      </c>
      <c r="AO28" s="3679">
        <v>5653</v>
      </c>
      <c r="AP28" s="3683">
        <v>14751</v>
      </c>
      <c r="AQ28" s="3679" t="s">
        <v>3332</v>
      </c>
      <c r="AR28" s="3679" t="s">
        <v>3332</v>
      </c>
      <c r="AS28" s="3679">
        <v>160.93</v>
      </c>
      <c r="AT28" s="3679" t="s">
        <v>3332</v>
      </c>
      <c r="AU28" s="3679" t="s">
        <v>3331</v>
      </c>
      <c r="AV28" s="3679" t="s">
        <v>3332</v>
      </c>
      <c r="AW28" s="3679" t="s">
        <v>3331</v>
      </c>
      <c r="AX28" s="3679" t="s">
        <v>3332</v>
      </c>
      <c r="AY28" s="3679" t="s">
        <v>3332</v>
      </c>
      <c r="AZ28" s="3679" t="s">
        <v>3332</v>
      </c>
    </row>
    <row r="29" spans="1:52" s="3679" customFormat="1">
      <c r="A29" s="3679" t="s">
        <v>3679</v>
      </c>
      <c r="B29" s="3679" t="s">
        <v>1465</v>
      </c>
      <c r="C29" s="3679" t="s">
        <v>3680</v>
      </c>
      <c r="D29" s="3679" t="s">
        <v>3323</v>
      </c>
      <c r="E29" s="3679" t="s">
        <v>3324</v>
      </c>
      <c r="F29" s="3679" t="s">
        <v>3681</v>
      </c>
      <c r="G29" s="3679" t="s">
        <v>3682</v>
      </c>
      <c r="H29" s="3679" t="s">
        <v>3327</v>
      </c>
      <c r="I29" s="3679">
        <v>38869.64</v>
      </c>
      <c r="J29" s="3679">
        <v>77739</v>
      </c>
      <c r="K29" s="3679">
        <v>2</v>
      </c>
      <c r="L29" s="3679" t="s">
        <v>3328</v>
      </c>
      <c r="M29" s="3679" t="s">
        <v>3329</v>
      </c>
      <c r="N29" s="3679" t="s">
        <v>3330</v>
      </c>
      <c r="O29" s="3679" t="s">
        <v>3331</v>
      </c>
      <c r="P29" s="3679" t="s">
        <v>3332</v>
      </c>
      <c r="Q29" s="3679" t="s">
        <v>3332</v>
      </c>
      <c r="R29" s="3679" t="s">
        <v>3332</v>
      </c>
      <c r="S29" s="3679" t="s">
        <v>3332</v>
      </c>
      <c r="T29" s="3679" t="s">
        <v>3332</v>
      </c>
      <c r="U29" s="3679" t="s">
        <v>3332</v>
      </c>
      <c r="V29" s="3679">
        <v>0</v>
      </c>
      <c r="W29" s="3679">
        <v>0</v>
      </c>
      <c r="X29" s="3679">
        <v>0</v>
      </c>
      <c r="Y29" s="3679">
        <v>0</v>
      </c>
      <c r="Z29" s="3679" t="s">
        <v>3332</v>
      </c>
      <c r="AA29" s="3680">
        <v>41079.000497685185</v>
      </c>
      <c r="AB29" s="3680">
        <v>41100.000497685185</v>
      </c>
      <c r="AC29" s="3680">
        <v>41100.000497685185</v>
      </c>
      <c r="AD29" s="3679" t="s">
        <v>3332</v>
      </c>
      <c r="AE29" s="3679" t="s">
        <v>3336</v>
      </c>
      <c r="AF29" s="3679" t="s">
        <v>3683</v>
      </c>
      <c r="AG29" s="3679" t="s">
        <v>3332</v>
      </c>
      <c r="AH29" s="3679" t="s">
        <v>3332</v>
      </c>
      <c r="AI29" s="3679">
        <v>186600</v>
      </c>
      <c r="AJ29" s="3679">
        <v>56000</v>
      </c>
      <c r="AK29" s="3679" t="s">
        <v>2091</v>
      </c>
      <c r="AL29" s="3679">
        <v>263000</v>
      </c>
      <c r="AM29" s="3679">
        <v>3200.44</v>
      </c>
      <c r="AN29" s="3679">
        <v>4510.8</v>
      </c>
      <c r="AO29" s="3679">
        <v>24003</v>
      </c>
      <c r="AP29" s="3683">
        <v>33831</v>
      </c>
      <c r="AQ29" s="3679" t="s">
        <v>3332</v>
      </c>
      <c r="AR29" s="3679" t="s">
        <v>3332</v>
      </c>
      <c r="AS29" s="3679">
        <v>40.94</v>
      </c>
      <c r="AT29" s="3679" t="s">
        <v>3653</v>
      </c>
      <c r="AU29" s="3679" t="s">
        <v>3331</v>
      </c>
      <c r="AV29" s="3679" t="s">
        <v>3332</v>
      </c>
      <c r="AW29" s="3679" t="s">
        <v>3331</v>
      </c>
      <c r="AX29" s="3679" t="s">
        <v>3332</v>
      </c>
      <c r="AY29" s="3679" t="s">
        <v>3332</v>
      </c>
      <c r="AZ29" s="3679" t="s">
        <v>3332</v>
      </c>
    </row>
    <row r="30" spans="1:52" s="3679" customFormat="1">
      <c r="A30" s="3679" t="s">
        <v>3684</v>
      </c>
      <c r="B30" s="3679" t="s">
        <v>1465</v>
      </c>
      <c r="C30" s="3679" t="s">
        <v>3685</v>
      </c>
      <c r="D30" s="3679" t="s">
        <v>3323</v>
      </c>
      <c r="E30" s="3679" t="s">
        <v>3324</v>
      </c>
      <c r="F30" s="3679" t="s">
        <v>3387</v>
      </c>
      <c r="G30" s="3679" t="s">
        <v>3360</v>
      </c>
      <c r="H30" s="3679" t="s">
        <v>3327</v>
      </c>
      <c r="I30" s="3679">
        <v>85099</v>
      </c>
      <c r="J30" s="3679">
        <v>187218</v>
      </c>
      <c r="K30" s="3679">
        <v>2.2000000000000002</v>
      </c>
      <c r="L30" s="3679" t="s">
        <v>3435</v>
      </c>
      <c r="M30" s="3679" t="s">
        <v>3329</v>
      </c>
      <c r="N30" s="3679" t="s">
        <v>3330</v>
      </c>
      <c r="O30" s="3679" t="s">
        <v>3331</v>
      </c>
      <c r="P30" s="3679" t="s">
        <v>3332</v>
      </c>
      <c r="Q30" s="3679" t="s">
        <v>3332</v>
      </c>
      <c r="R30" s="3679" t="s">
        <v>3332</v>
      </c>
      <c r="S30" s="3679" t="s">
        <v>3332</v>
      </c>
      <c r="T30" s="3679" t="s">
        <v>3332</v>
      </c>
      <c r="U30" s="3679" t="s">
        <v>3332</v>
      </c>
      <c r="V30" s="3679">
        <v>0</v>
      </c>
      <c r="W30" s="3679">
        <v>0</v>
      </c>
      <c r="X30" s="3679">
        <v>0</v>
      </c>
      <c r="Y30" s="3679">
        <v>0</v>
      </c>
      <c r="Z30" s="3679" t="s">
        <v>3332</v>
      </c>
      <c r="AA30" s="3680">
        <v>40497.000497685185</v>
      </c>
      <c r="AB30" s="3680">
        <v>40497.000497685185</v>
      </c>
      <c r="AC30" s="3680">
        <v>40497.000497685185</v>
      </c>
      <c r="AD30" s="3679" t="s">
        <v>3332</v>
      </c>
      <c r="AE30" s="3679" t="s">
        <v>3336</v>
      </c>
      <c r="AF30" s="3679" t="s">
        <v>3686</v>
      </c>
      <c r="AG30" s="3679" t="s">
        <v>3687</v>
      </c>
      <c r="AH30" s="3679" t="s">
        <v>3688</v>
      </c>
      <c r="AI30" s="3679" t="s">
        <v>3332</v>
      </c>
      <c r="AJ30" s="3679">
        <v>72000</v>
      </c>
      <c r="AK30" s="3679" t="s">
        <v>2091</v>
      </c>
      <c r="AL30" s="3679">
        <v>374400</v>
      </c>
      <c r="AM30" s="3679" t="s">
        <v>3332</v>
      </c>
      <c r="AN30" s="3679">
        <v>2933.05</v>
      </c>
      <c r="AO30" s="3679" t="s">
        <v>3332</v>
      </c>
      <c r="AP30" s="3683">
        <v>19998</v>
      </c>
      <c r="AQ30" s="3679" t="s">
        <v>3332</v>
      </c>
      <c r="AR30" s="3679" t="s">
        <v>3332</v>
      </c>
      <c r="AS30" s="3679">
        <v>0</v>
      </c>
      <c r="AT30" s="3679" t="s">
        <v>3653</v>
      </c>
      <c r="AU30" s="3679" t="s">
        <v>3331</v>
      </c>
      <c r="AV30" s="3679" t="s">
        <v>3332</v>
      </c>
      <c r="AW30" s="3679" t="s">
        <v>3331</v>
      </c>
      <c r="AX30" s="3679" t="s">
        <v>3332</v>
      </c>
      <c r="AY30" s="3679" t="s">
        <v>3332</v>
      </c>
      <c r="AZ30" s="3679" t="s">
        <v>3332</v>
      </c>
    </row>
    <row r="31" spans="1:52" s="3679" customFormat="1">
      <c r="A31" s="3679" t="s">
        <v>3689</v>
      </c>
      <c r="B31" s="3679" t="s">
        <v>1465</v>
      </c>
      <c r="C31" s="3679" t="s">
        <v>3690</v>
      </c>
      <c r="D31" s="3679" t="s">
        <v>3323</v>
      </c>
      <c r="E31" s="3679" t="s">
        <v>3324</v>
      </c>
      <c r="F31" s="3679" t="s">
        <v>3656</v>
      </c>
      <c r="G31" s="3679" t="s">
        <v>3691</v>
      </c>
      <c r="H31" s="3679" t="s">
        <v>3327</v>
      </c>
      <c r="I31" s="3679">
        <v>70879.679999999993</v>
      </c>
      <c r="J31" s="3679">
        <v>142354.1</v>
      </c>
      <c r="K31" s="3679">
        <v>2</v>
      </c>
      <c r="L31" s="3679" t="s">
        <v>3435</v>
      </c>
      <c r="M31" s="3679" t="s">
        <v>3692</v>
      </c>
      <c r="N31" s="3679" t="s">
        <v>3330</v>
      </c>
      <c r="O31" s="3679" t="s">
        <v>3331</v>
      </c>
      <c r="P31" s="3679" t="s">
        <v>3332</v>
      </c>
      <c r="Q31" s="3679" t="s">
        <v>3332</v>
      </c>
      <c r="R31" s="3679" t="s">
        <v>3332</v>
      </c>
      <c r="S31" s="3679" t="s">
        <v>3332</v>
      </c>
      <c r="T31" s="3679" t="s">
        <v>3332</v>
      </c>
      <c r="U31" s="3679" t="s">
        <v>3332</v>
      </c>
      <c r="V31" s="3679" t="s">
        <v>3332</v>
      </c>
      <c r="W31" s="3679" t="s">
        <v>3332</v>
      </c>
      <c r="X31" s="3679">
        <v>0</v>
      </c>
      <c r="Y31" s="3679">
        <v>0</v>
      </c>
      <c r="Z31" s="3679" t="s">
        <v>3332</v>
      </c>
      <c r="AA31" s="3680">
        <v>39282.000497685185</v>
      </c>
      <c r="AB31" s="3680">
        <v>39282.000497685185</v>
      </c>
      <c r="AC31" s="3680">
        <v>39282.000497685185</v>
      </c>
      <c r="AD31" s="3679" t="s">
        <v>3332</v>
      </c>
      <c r="AE31" s="3679" t="s">
        <v>3336</v>
      </c>
      <c r="AF31" s="3679" t="s">
        <v>3693</v>
      </c>
      <c r="AG31" s="3679" t="s">
        <v>3694</v>
      </c>
      <c r="AH31" s="3679" t="s">
        <v>3339</v>
      </c>
      <c r="AI31" s="3679">
        <v>39800</v>
      </c>
      <c r="AJ31" s="3679">
        <v>5000</v>
      </c>
      <c r="AK31" s="3679" t="s">
        <v>2091</v>
      </c>
      <c r="AL31" s="3679">
        <v>46500</v>
      </c>
      <c r="AM31" s="3679">
        <v>374.34</v>
      </c>
      <c r="AN31" s="3679">
        <v>437.36</v>
      </c>
      <c r="AO31" s="3679">
        <v>2796</v>
      </c>
      <c r="AP31" s="3683">
        <v>3267</v>
      </c>
      <c r="AQ31" s="3679" t="s">
        <v>3332</v>
      </c>
      <c r="AR31" s="3679" t="s">
        <v>3332</v>
      </c>
      <c r="AS31" s="3679">
        <v>16.829999999999998</v>
      </c>
      <c r="AT31" s="3679" t="s">
        <v>3669</v>
      </c>
      <c r="AU31" s="3679" t="s">
        <v>3331</v>
      </c>
      <c r="AV31" s="3679" t="s">
        <v>3332</v>
      </c>
      <c r="AW31" s="3679" t="s">
        <v>3331</v>
      </c>
      <c r="AX31" s="3679" t="s">
        <v>3332</v>
      </c>
      <c r="AY31" s="3679" t="s">
        <v>3332</v>
      </c>
      <c r="AZ31" s="3679" t="s">
        <v>3332</v>
      </c>
    </row>
    <row r="32" spans="1:52" s="3679" customFormat="1">
      <c r="A32" s="3679" t="s">
        <v>3695</v>
      </c>
      <c r="B32" s="3679" t="s">
        <v>1465</v>
      </c>
      <c r="C32" s="3679" t="s">
        <v>3696</v>
      </c>
      <c r="D32" s="3679" t="s">
        <v>3323</v>
      </c>
      <c r="E32" s="3679" t="s">
        <v>3324</v>
      </c>
      <c r="F32" s="3679" t="s">
        <v>3656</v>
      </c>
      <c r="G32" s="3679" t="s">
        <v>3697</v>
      </c>
      <c r="H32" s="3679" t="s">
        <v>3327</v>
      </c>
      <c r="I32" s="3679">
        <v>68544.5</v>
      </c>
      <c r="J32" s="3679">
        <v>154069.1</v>
      </c>
      <c r="K32" s="3679">
        <v>2.25</v>
      </c>
      <c r="L32" s="3679" t="s">
        <v>3328</v>
      </c>
      <c r="M32" s="3679" t="s">
        <v>3667</v>
      </c>
      <c r="N32" s="3679" t="s">
        <v>3330</v>
      </c>
      <c r="O32" s="3679" t="s">
        <v>3331</v>
      </c>
      <c r="P32" s="3679" t="s">
        <v>3332</v>
      </c>
      <c r="Q32" s="3679" t="s">
        <v>3332</v>
      </c>
      <c r="R32" s="3679" t="s">
        <v>3332</v>
      </c>
      <c r="S32" s="3679" t="s">
        <v>3332</v>
      </c>
      <c r="T32" s="3679" t="s">
        <v>3332</v>
      </c>
      <c r="U32" s="3679" t="s">
        <v>3332</v>
      </c>
      <c r="V32" s="3679">
        <v>0</v>
      </c>
      <c r="W32" s="3679">
        <v>0</v>
      </c>
      <c r="X32" s="3679">
        <v>0</v>
      </c>
      <c r="Y32" s="3679">
        <v>0</v>
      </c>
      <c r="Z32" s="3679" t="s">
        <v>3332</v>
      </c>
      <c r="AA32" s="3680">
        <v>38327.000497685185</v>
      </c>
      <c r="AB32" s="3680">
        <v>38341.000497685185</v>
      </c>
      <c r="AC32" s="3680">
        <v>38341.000497685185</v>
      </c>
      <c r="AD32" s="3679" t="s">
        <v>3332</v>
      </c>
      <c r="AE32" s="3679" t="s">
        <v>3336</v>
      </c>
      <c r="AF32" s="3679" t="s">
        <v>3698</v>
      </c>
      <c r="AG32" s="3679" t="s">
        <v>3699</v>
      </c>
      <c r="AH32" s="3679" t="s">
        <v>3396</v>
      </c>
      <c r="AI32" s="3679">
        <v>42699</v>
      </c>
      <c r="AJ32" s="3679" t="s">
        <v>3331</v>
      </c>
      <c r="AK32" s="3679" t="s">
        <v>2091</v>
      </c>
      <c r="AL32" s="3679">
        <v>42699</v>
      </c>
      <c r="AM32" s="3679">
        <v>415.29</v>
      </c>
      <c r="AN32" s="3679">
        <v>415.29</v>
      </c>
      <c r="AO32" s="3679">
        <v>2771</v>
      </c>
      <c r="AP32" s="3683">
        <v>2771</v>
      </c>
      <c r="AQ32" s="3679" t="s">
        <v>3332</v>
      </c>
      <c r="AR32" s="3679" t="s">
        <v>3332</v>
      </c>
      <c r="AS32" s="3679">
        <v>0</v>
      </c>
      <c r="AT32" s="3679" t="s">
        <v>3332</v>
      </c>
      <c r="AU32" s="3679" t="s">
        <v>3331</v>
      </c>
      <c r="AV32" s="3679" t="s">
        <v>3332</v>
      </c>
      <c r="AW32" s="3679" t="s">
        <v>3331</v>
      </c>
      <c r="AX32" s="3679" t="s">
        <v>3332</v>
      </c>
      <c r="AY32" s="3679" t="s">
        <v>3332</v>
      </c>
      <c r="AZ32" s="3679" t="s">
        <v>3332</v>
      </c>
    </row>
    <row r="33" spans="1:52" s="3679" customFormat="1">
      <c r="A33" s="3679" t="s">
        <v>3700</v>
      </c>
      <c r="B33" s="3679" t="s">
        <v>1465</v>
      </c>
      <c r="C33" s="3679" t="s">
        <v>3701</v>
      </c>
      <c r="D33" s="3679" t="s">
        <v>3323</v>
      </c>
      <c r="E33" s="3679" t="s">
        <v>3324</v>
      </c>
      <c r="F33" s="3679" t="s">
        <v>3702</v>
      </c>
      <c r="G33" s="3679" t="s">
        <v>3703</v>
      </c>
      <c r="H33" s="3679" t="s">
        <v>3327</v>
      </c>
      <c r="I33" s="3679">
        <v>58564</v>
      </c>
      <c r="J33" s="3679">
        <v>127500</v>
      </c>
      <c r="K33" s="3679">
        <v>2.1800000000000002</v>
      </c>
      <c r="L33" s="3679" t="s">
        <v>3328</v>
      </c>
      <c r="M33" s="3679" t="s">
        <v>3692</v>
      </c>
      <c r="N33" s="3679" t="s">
        <v>3330</v>
      </c>
      <c r="O33" s="3679" t="s">
        <v>3331</v>
      </c>
      <c r="P33" s="3679" t="s">
        <v>3332</v>
      </c>
      <c r="Q33" s="3679" t="s">
        <v>3332</v>
      </c>
      <c r="R33" s="3679" t="s">
        <v>3332</v>
      </c>
      <c r="S33" s="3679" t="s">
        <v>3332</v>
      </c>
      <c r="T33" s="3679" t="s">
        <v>3332</v>
      </c>
      <c r="U33" s="3679" t="s">
        <v>3332</v>
      </c>
      <c r="V33" s="3679" t="s">
        <v>3332</v>
      </c>
      <c r="W33" s="3679" t="s">
        <v>3332</v>
      </c>
      <c r="X33" s="3679">
        <v>0</v>
      </c>
      <c r="Y33" s="3679">
        <v>0</v>
      </c>
      <c r="Z33" s="3679" t="s">
        <v>3332</v>
      </c>
      <c r="AA33" s="3680">
        <v>37872.000497685185</v>
      </c>
      <c r="AB33" s="3680">
        <v>37886.000497685185</v>
      </c>
      <c r="AC33" s="3680">
        <v>37886.000497685185</v>
      </c>
      <c r="AD33" s="3679" t="s">
        <v>3332</v>
      </c>
      <c r="AE33" s="3679" t="s">
        <v>3336</v>
      </c>
      <c r="AF33" s="3679" t="s">
        <v>3704</v>
      </c>
      <c r="AG33" s="3679" t="s">
        <v>3332</v>
      </c>
      <c r="AH33" s="3679" t="s">
        <v>3332</v>
      </c>
      <c r="AI33" s="3679">
        <v>9409.5</v>
      </c>
      <c r="AJ33" s="3679" t="s">
        <v>3331</v>
      </c>
      <c r="AK33" s="3679" t="s">
        <v>2091</v>
      </c>
      <c r="AL33" s="3679">
        <v>9409.5</v>
      </c>
      <c r="AM33" s="3679">
        <v>107.11</v>
      </c>
      <c r="AN33" s="3679">
        <v>107.11</v>
      </c>
      <c r="AO33" s="3679">
        <v>738</v>
      </c>
      <c r="AP33" s="3683">
        <v>738</v>
      </c>
      <c r="AQ33" s="3679" t="s">
        <v>3332</v>
      </c>
      <c r="AR33" s="3679" t="s">
        <v>3332</v>
      </c>
      <c r="AS33" s="3679">
        <v>0</v>
      </c>
      <c r="AT33" s="3679" t="s">
        <v>3332</v>
      </c>
      <c r="AU33" s="3679" t="s">
        <v>3331</v>
      </c>
      <c r="AV33" s="3679" t="s">
        <v>3332</v>
      </c>
      <c r="AW33" s="3679" t="s">
        <v>3331</v>
      </c>
      <c r="AX33" s="3679" t="s">
        <v>3332</v>
      </c>
      <c r="AY33" s="3679" t="s">
        <v>3332</v>
      </c>
      <c r="AZ33" s="3679" t="s">
        <v>3332</v>
      </c>
    </row>
    <row r="34" spans="1:52" s="3679" customFormat="1">
      <c r="A34" s="3679" t="s">
        <v>3705</v>
      </c>
      <c r="B34" s="3679" t="s">
        <v>1465</v>
      </c>
      <c r="C34" s="3679" t="s">
        <v>3706</v>
      </c>
      <c r="D34" s="3679" t="s">
        <v>3323</v>
      </c>
      <c r="E34" s="3679" t="s">
        <v>3324</v>
      </c>
      <c r="F34" s="3679" t="s">
        <v>3656</v>
      </c>
      <c r="G34" s="3679" t="s">
        <v>3707</v>
      </c>
      <c r="H34" s="3679" t="s">
        <v>3327</v>
      </c>
      <c r="I34" s="3679">
        <v>9600</v>
      </c>
      <c r="J34" s="3679">
        <v>24000</v>
      </c>
      <c r="K34" s="3679">
        <v>2.5</v>
      </c>
      <c r="L34" s="3679" t="s">
        <v>3328</v>
      </c>
      <c r="M34" s="3679" t="s">
        <v>3692</v>
      </c>
      <c r="N34" s="3679" t="s">
        <v>3330</v>
      </c>
      <c r="O34" s="3679" t="s">
        <v>3331</v>
      </c>
      <c r="P34" s="3679" t="s">
        <v>3332</v>
      </c>
      <c r="Q34" s="3679" t="s">
        <v>3332</v>
      </c>
      <c r="R34" s="3679" t="s">
        <v>3332</v>
      </c>
      <c r="S34" s="3679" t="s">
        <v>3332</v>
      </c>
      <c r="T34" s="3679" t="s">
        <v>3332</v>
      </c>
      <c r="U34" s="3679" t="s">
        <v>3332</v>
      </c>
      <c r="V34" s="3679" t="s">
        <v>3332</v>
      </c>
      <c r="W34" s="3679" t="s">
        <v>3332</v>
      </c>
      <c r="X34" s="3679">
        <v>0</v>
      </c>
      <c r="Y34" s="3679">
        <v>0</v>
      </c>
      <c r="Z34" s="3679" t="s">
        <v>3332</v>
      </c>
      <c r="AA34" s="3680">
        <v>37861.000497685185</v>
      </c>
      <c r="AB34" s="3680">
        <v>37861.000497685185</v>
      </c>
      <c r="AC34" s="3680">
        <v>37861.000497685185</v>
      </c>
      <c r="AD34" s="3679" t="s">
        <v>3332</v>
      </c>
      <c r="AE34" s="3679" t="s">
        <v>3336</v>
      </c>
      <c r="AF34" s="3679" t="s">
        <v>3708</v>
      </c>
      <c r="AG34" s="3679" t="s">
        <v>3332</v>
      </c>
      <c r="AH34" s="3679" t="s">
        <v>3332</v>
      </c>
      <c r="AI34" s="3679">
        <v>504</v>
      </c>
      <c r="AJ34" s="3679" t="s">
        <v>3331</v>
      </c>
      <c r="AK34" s="3679" t="s">
        <v>2091</v>
      </c>
      <c r="AL34" s="3679">
        <v>504</v>
      </c>
      <c r="AM34" s="3679">
        <v>35</v>
      </c>
      <c r="AN34" s="3679">
        <v>35</v>
      </c>
      <c r="AO34" s="3679">
        <v>210</v>
      </c>
      <c r="AP34" s="3683">
        <v>210</v>
      </c>
      <c r="AQ34" s="3679" t="s">
        <v>3332</v>
      </c>
      <c r="AR34" s="3679" t="s">
        <v>3332</v>
      </c>
      <c r="AS34" s="3679">
        <v>0</v>
      </c>
      <c r="AT34" s="3679" t="s">
        <v>3332</v>
      </c>
      <c r="AU34" s="3679" t="s">
        <v>3331</v>
      </c>
      <c r="AV34" s="3679" t="s">
        <v>3332</v>
      </c>
      <c r="AW34" s="3679" t="s">
        <v>3331</v>
      </c>
      <c r="AX34" s="3679" t="s">
        <v>3332</v>
      </c>
      <c r="AY34" s="3679" t="s">
        <v>3332</v>
      </c>
      <c r="AZ34" s="3679" t="s">
        <v>3332</v>
      </c>
    </row>
    <row r="35" spans="1:52" s="3679" customFormat="1">
      <c r="A35" s="3679" t="s">
        <v>3709</v>
      </c>
      <c r="B35" s="3679" t="s">
        <v>1465</v>
      </c>
      <c r="C35" s="3679" t="s">
        <v>3710</v>
      </c>
      <c r="D35" s="3679" t="s">
        <v>3323</v>
      </c>
      <c r="E35" s="3679" t="s">
        <v>3324</v>
      </c>
      <c r="F35" s="3679" t="s">
        <v>3656</v>
      </c>
      <c r="G35" s="3679" t="s">
        <v>3711</v>
      </c>
      <c r="H35" s="3679" t="s">
        <v>3327</v>
      </c>
      <c r="I35" s="3679">
        <v>347108</v>
      </c>
      <c r="J35" s="3679">
        <v>391010</v>
      </c>
      <c r="K35" s="3679">
        <v>1.1299999999999999</v>
      </c>
      <c r="L35" s="3679" t="s">
        <v>3328</v>
      </c>
      <c r="M35" s="3679" t="s">
        <v>3667</v>
      </c>
      <c r="N35" s="3679" t="s">
        <v>3330</v>
      </c>
      <c r="O35" s="3679" t="s">
        <v>3331</v>
      </c>
      <c r="P35" s="3679" t="s">
        <v>3332</v>
      </c>
      <c r="Q35" s="3679" t="s">
        <v>3332</v>
      </c>
      <c r="R35" s="3679" t="s">
        <v>3332</v>
      </c>
      <c r="S35" s="3679" t="s">
        <v>3332</v>
      </c>
      <c r="T35" s="3679" t="s">
        <v>3332</v>
      </c>
      <c r="U35" s="3679" t="s">
        <v>3332</v>
      </c>
      <c r="V35" s="3679" t="s">
        <v>3332</v>
      </c>
      <c r="W35" s="3679" t="s">
        <v>3332</v>
      </c>
      <c r="X35" s="3679">
        <v>0</v>
      </c>
      <c r="Y35" s="3679">
        <v>0</v>
      </c>
      <c r="Z35" s="3679" t="s">
        <v>3332</v>
      </c>
      <c r="AA35" s="3680">
        <v>38245.000497685185</v>
      </c>
      <c r="AB35" s="3680">
        <v>38259.000497685185</v>
      </c>
      <c r="AC35" s="3680">
        <v>38259.000497685185</v>
      </c>
      <c r="AD35" s="3679" t="s">
        <v>3332</v>
      </c>
      <c r="AE35" s="3679" t="s">
        <v>3336</v>
      </c>
      <c r="AF35" s="3679" t="s">
        <v>3712</v>
      </c>
      <c r="AG35" s="3679" t="s">
        <v>3332</v>
      </c>
      <c r="AH35" s="3679" t="s">
        <v>3332</v>
      </c>
      <c r="AI35" s="3679">
        <v>94004.74</v>
      </c>
      <c r="AJ35" s="3679" t="s">
        <v>3331</v>
      </c>
      <c r="AK35" s="3679" t="s">
        <v>2091</v>
      </c>
      <c r="AL35" s="3679">
        <v>117500</v>
      </c>
      <c r="AM35" s="3679">
        <v>180.55</v>
      </c>
      <c r="AN35" s="3679">
        <v>225.67</v>
      </c>
      <c r="AO35" s="3679">
        <v>2404</v>
      </c>
      <c r="AP35" s="3683">
        <v>3005</v>
      </c>
      <c r="AQ35" s="3679" t="s">
        <v>3332</v>
      </c>
      <c r="AR35" s="3679" t="s">
        <v>3332</v>
      </c>
      <c r="AS35" s="3679">
        <v>24.99</v>
      </c>
      <c r="AT35" s="3679" t="s">
        <v>3332</v>
      </c>
      <c r="AU35" s="3679" t="s">
        <v>3331</v>
      </c>
      <c r="AV35" s="3679" t="s">
        <v>3332</v>
      </c>
      <c r="AW35" s="3679" t="s">
        <v>3331</v>
      </c>
      <c r="AX35" s="3679" t="s">
        <v>3332</v>
      </c>
      <c r="AY35" s="3679" t="s">
        <v>3332</v>
      </c>
      <c r="AZ35" s="3679" t="s">
        <v>3332</v>
      </c>
    </row>
    <row r="36" spans="1:52" s="3679" customFormat="1">
      <c r="A36" s="3679" t="s">
        <v>3713</v>
      </c>
      <c r="B36" s="3679" t="s">
        <v>1465</v>
      </c>
      <c r="C36" s="3679" t="s">
        <v>3714</v>
      </c>
      <c r="D36" s="3679" t="s">
        <v>3323</v>
      </c>
      <c r="E36" s="3679" t="s">
        <v>3324</v>
      </c>
      <c r="F36" s="3679" t="s">
        <v>3406</v>
      </c>
      <c r="G36" s="3679" t="s">
        <v>3715</v>
      </c>
      <c r="H36" s="3679" t="s">
        <v>3327</v>
      </c>
      <c r="I36" s="3679">
        <v>83800</v>
      </c>
      <c r="J36" s="3679">
        <v>79176</v>
      </c>
      <c r="K36" s="3679">
        <v>0.94</v>
      </c>
      <c r="L36" s="3679" t="s">
        <v>3435</v>
      </c>
      <c r="M36" s="3679" t="s">
        <v>3667</v>
      </c>
      <c r="N36" s="3679" t="s">
        <v>3330</v>
      </c>
      <c r="O36" s="3679" t="s">
        <v>3331</v>
      </c>
      <c r="P36" s="3679" t="s">
        <v>3332</v>
      </c>
      <c r="Q36" s="3679" t="s">
        <v>3332</v>
      </c>
      <c r="R36" s="3679" t="s">
        <v>3332</v>
      </c>
      <c r="S36" s="3679" t="s">
        <v>3332</v>
      </c>
      <c r="T36" s="3679" t="s">
        <v>3332</v>
      </c>
      <c r="U36" s="3679" t="s">
        <v>3332</v>
      </c>
      <c r="V36" s="3679" t="s">
        <v>3332</v>
      </c>
      <c r="W36" s="3679" t="s">
        <v>3332</v>
      </c>
      <c r="X36" s="3679">
        <v>0</v>
      </c>
      <c r="Y36" s="3679">
        <v>0</v>
      </c>
      <c r="Z36" s="3679" t="s">
        <v>3332</v>
      </c>
      <c r="AA36" s="3680">
        <v>38930.000497685185</v>
      </c>
      <c r="AB36" s="3680">
        <v>38930.000497685185</v>
      </c>
      <c r="AC36" s="3680">
        <v>38930.000497685185</v>
      </c>
      <c r="AD36" s="3679" t="s">
        <v>3332</v>
      </c>
      <c r="AE36" s="3679" t="s">
        <v>3336</v>
      </c>
      <c r="AF36" s="3679" t="s">
        <v>3716</v>
      </c>
      <c r="AG36" s="3679" t="s">
        <v>3332</v>
      </c>
      <c r="AH36" s="3679" t="s">
        <v>3332</v>
      </c>
      <c r="AI36" s="3679">
        <v>65052.84</v>
      </c>
      <c r="AJ36" s="3679">
        <v>7000</v>
      </c>
      <c r="AK36" s="3679" t="s">
        <v>2091</v>
      </c>
      <c r="AL36" s="3679">
        <v>65066</v>
      </c>
      <c r="AM36" s="3679">
        <v>517.52</v>
      </c>
      <c r="AN36" s="3679">
        <v>517.63</v>
      </c>
      <c r="AO36" s="3679">
        <v>8216</v>
      </c>
      <c r="AP36" s="3683">
        <v>8218</v>
      </c>
      <c r="AQ36" s="3679" t="s">
        <v>3332</v>
      </c>
      <c r="AR36" s="3679" t="s">
        <v>3332</v>
      </c>
      <c r="AS36" s="3679">
        <v>0.02</v>
      </c>
      <c r="AT36" s="3679" t="s">
        <v>3371</v>
      </c>
      <c r="AU36" s="3679" t="s">
        <v>3331</v>
      </c>
      <c r="AV36" s="3679" t="s">
        <v>3332</v>
      </c>
      <c r="AW36" s="3679" t="s">
        <v>3331</v>
      </c>
      <c r="AX36" s="3679" t="s">
        <v>3332</v>
      </c>
      <c r="AY36" s="3679" t="s">
        <v>3332</v>
      </c>
      <c r="AZ36" s="3679" t="s">
        <v>3332</v>
      </c>
    </row>
    <row r="37" spans="1:52" s="3679" customFormat="1">
      <c r="A37" s="3679" t="s">
        <v>3717</v>
      </c>
      <c r="B37" s="3679" t="s">
        <v>1465</v>
      </c>
      <c r="C37" s="3679" t="s">
        <v>3718</v>
      </c>
      <c r="D37" s="3679" t="s">
        <v>3323</v>
      </c>
      <c r="E37" s="3679" t="s">
        <v>3324</v>
      </c>
      <c r="F37" s="3679" t="s">
        <v>3719</v>
      </c>
      <c r="G37" s="3679" t="s">
        <v>3720</v>
      </c>
      <c r="H37" s="3679" t="s">
        <v>3327</v>
      </c>
      <c r="I37" s="3679">
        <v>8088.5</v>
      </c>
      <c r="J37" s="3679">
        <v>19412.400000000001</v>
      </c>
      <c r="K37" s="3679">
        <v>2.4</v>
      </c>
      <c r="L37" s="3679" t="s">
        <v>3435</v>
      </c>
      <c r="M37" s="3679" t="s">
        <v>3721</v>
      </c>
      <c r="N37" s="3679" t="s">
        <v>3330</v>
      </c>
      <c r="O37" s="3679" t="s">
        <v>3331</v>
      </c>
      <c r="P37" s="3679" t="s">
        <v>3332</v>
      </c>
      <c r="Q37" s="3679" t="s">
        <v>3332</v>
      </c>
      <c r="R37" s="3679" t="s">
        <v>3332</v>
      </c>
      <c r="S37" s="3679" t="s">
        <v>3332</v>
      </c>
      <c r="T37" s="3679" t="s">
        <v>3332</v>
      </c>
      <c r="U37" s="3679" t="s">
        <v>3332</v>
      </c>
      <c r="V37" s="3679" t="s">
        <v>3332</v>
      </c>
      <c r="W37" s="3679" t="s">
        <v>3332</v>
      </c>
      <c r="X37" s="3679">
        <v>0</v>
      </c>
      <c r="Y37" s="3679">
        <v>0</v>
      </c>
      <c r="Z37" s="3679" t="s">
        <v>3332</v>
      </c>
      <c r="AA37" s="3680">
        <v>39157.000497685185</v>
      </c>
      <c r="AB37" s="3680">
        <v>39157.000497685185</v>
      </c>
      <c r="AC37" s="3680">
        <v>39157.000497685185</v>
      </c>
      <c r="AD37" s="3679" t="s">
        <v>3332</v>
      </c>
      <c r="AE37" s="3679" t="s">
        <v>3336</v>
      </c>
      <c r="AF37" s="3679" t="s">
        <v>3722</v>
      </c>
      <c r="AG37" s="3679" t="s">
        <v>3332</v>
      </c>
      <c r="AH37" s="3679" t="s">
        <v>3332</v>
      </c>
      <c r="AI37" s="3679">
        <v>9310</v>
      </c>
      <c r="AJ37" s="3679">
        <v>1800</v>
      </c>
      <c r="AK37" s="3679" t="s">
        <v>2091</v>
      </c>
      <c r="AL37" s="3679">
        <v>12384.86</v>
      </c>
      <c r="AM37" s="3679">
        <v>767.34</v>
      </c>
      <c r="AN37" s="3679">
        <v>1020.78</v>
      </c>
      <c r="AO37" s="3679">
        <v>4796</v>
      </c>
      <c r="AP37" s="3683">
        <v>6380</v>
      </c>
      <c r="AQ37" s="3679" t="s">
        <v>3332</v>
      </c>
      <c r="AR37" s="3679" t="s">
        <v>3332</v>
      </c>
      <c r="AS37" s="3679">
        <v>33.03</v>
      </c>
      <c r="AT37" s="3679" t="s">
        <v>3669</v>
      </c>
      <c r="AU37" s="3679" t="s">
        <v>3331</v>
      </c>
      <c r="AV37" s="3679" t="s">
        <v>3332</v>
      </c>
      <c r="AW37" s="3679" t="s">
        <v>3331</v>
      </c>
      <c r="AX37" s="3679" t="s">
        <v>3332</v>
      </c>
      <c r="AY37" s="3679" t="s">
        <v>3332</v>
      </c>
      <c r="AZ37" s="3679" t="s">
        <v>3332</v>
      </c>
    </row>
    <row r="38" spans="1:52" s="3679" customFormat="1">
      <c r="A38" s="3679" t="s">
        <v>3723</v>
      </c>
      <c r="B38" s="3679" t="s">
        <v>1465</v>
      </c>
      <c r="C38" s="3679" t="s">
        <v>3724</v>
      </c>
      <c r="D38" s="3679" t="s">
        <v>3323</v>
      </c>
      <c r="E38" s="3679" t="s">
        <v>3324</v>
      </c>
      <c r="F38" s="3679" t="s">
        <v>3325</v>
      </c>
      <c r="G38" s="3679" t="s">
        <v>3725</v>
      </c>
      <c r="H38" s="3679" t="s">
        <v>3327</v>
      </c>
      <c r="I38" s="3679">
        <v>196881.7</v>
      </c>
      <c r="J38" s="3679">
        <v>287160.2</v>
      </c>
      <c r="K38" s="3679">
        <v>1.46</v>
      </c>
      <c r="L38" s="3679" t="s">
        <v>3328</v>
      </c>
      <c r="M38" s="3679" t="s">
        <v>3726</v>
      </c>
      <c r="N38" s="3679" t="s">
        <v>3330</v>
      </c>
      <c r="O38" s="3679" t="s">
        <v>3331</v>
      </c>
      <c r="P38" s="3679" t="s">
        <v>3332</v>
      </c>
      <c r="Q38" s="3679" t="s">
        <v>3332</v>
      </c>
      <c r="R38" s="3679" t="s">
        <v>3332</v>
      </c>
      <c r="S38" s="3679" t="s">
        <v>3332</v>
      </c>
      <c r="T38" s="3679" t="s">
        <v>3332</v>
      </c>
      <c r="U38" s="3679" t="s">
        <v>3332</v>
      </c>
      <c r="V38" s="3679" t="s">
        <v>3332</v>
      </c>
      <c r="W38" s="3679" t="s">
        <v>3332</v>
      </c>
      <c r="X38" s="3679">
        <v>0</v>
      </c>
      <c r="Y38" s="3679">
        <v>0</v>
      </c>
      <c r="Z38" s="3679" t="s">
        <v>3332</v>
      </c>
      <c r="AA38" s="3680">
        <v>39776.000497685185</v>
      </c>
      <c r="AB38" s="3680">
        <v>39791.000497685185</v>
      </c>
      <c r="AC38" s="3680">
        <v>39791.000497685185</v>
      </c>
      <c r="AD38" s="3679" t="s">
        <v>3332</v>
      </c>
      <c r="AE38" s="3679" t="s">
        <v>3336</v>
      </c>
      <c r="AF38" s="3679" t="s">
        <v>3727</v>
      </c>
      <c r="AG38" s="3679" t="s">
        <v>3395</v>
      </c>
      <c r="AH38" s="3679" t="s">
        <v>3396</v>
      </c>
      <c r="AI38" s="3679">
        <v>176327.8</v>
      </c>
      <c r="AJ38" s="3679">
        <v>18000</v>
      </c>
      <c r="AK38" s="3679" t="s">
        <v>2091</v>
      </c>
      <c r="AL38" s="3679">
        <v>201000</v>
      </c>
      <c r="AM38" s="3679">
        <v>597.07000000000005</v>
      </c>
      <c r="AN38" s="3679">
        <v>680.61</v>
      </c>
      <c r="AO38" s="3679">
        <v>6140</v>
      </c>
      <c r="AP38" s="3683">
        <v>7000</v>
      </c>
      <c r="AQ38" s="3679" t="s">
        <v>3332</v>
      </c>
      <c r="AR38" s="3679" t="s">
        <v>3332</v>
      </c>
      <c r="AS38" s="3679">
        <v>13.99</v>
      </c>
      <c r="AT38" s="3679" t="s">
        <v>3728</v>
      </c>
      <c r="AU38" s="3679" t="s">
        <v>3331</v>
      </c>
      <c r="AV38" s="3679" t="s">
        <v>3332</v>
      </c>
      <c r="AW38" s="3679" t="s">
        <v>3331</v>
      </c>
      <c r="AX38" s="3679" t="s">
        <v>3332</v>
      </c>
      <c r="AY38" s="3679" t="s">
        <v>3332</v>
      </c>
      <c r="AZ38" s="3679" t="s">
        <v>3332</v>
      </c>
    </row>
    <row r="39" spans="1:52" s="3679" customFormat="1">
      <c r="A39" s="3679" t="s">
        <v>3729</v>
      </c>
      <c r="B39" s="3679" t="s">
        <v>1465</v>
      </c>
      <c r="C39" s="3679" t="s">
        <v>3730</v>
      </c>
      <c r="D39" s="3679" t="s">
        <v>3323</v>
      </c>
      <c r="E39" s="3679" t="s">
        <v>3324</v>
      </c>
      <c r="F39" s="3679" t="s">
        <v>3325</v>
      </c>
      <c r="G39" s="3679" t="s">
        <v>3731</v>
      </c>
      <c r="H39" s="3679" t="s">
        <v>3327</v>
      </c>
      <c r="I39" s="3679">
        <v>49553.58</v>
      </c>
      <c r="J39" s="3679">
        <v>69375.02</v>
      </c>
      <c r="K39" s="3679">
        <v>1.4</v>
      </c>
      <c r="L39" s="3679" t="s">
        <v>3435</v>
      </c>
      <c r="M39" s="3679" t="s">
        <v>3732</v>
      </c>
      <c r="N39" s="3679" t="s">
        <v>3330</v>
      </c>
      <c r="O39" s="3679" t="s">
        <v>3331</v>
      </c>
      <c r="P39" s="3679" t="s">
        <v>3332</v>
      </c>
      <c r="Q39" s="3679" t="s">
        <v>3332</v>
      </c>
      <c r="R39" s="3679" t="s">
        <v>3332</v>
      </c>
      <c r="S39" s="3679" t="s">
        <v>3332</v>
      </c>
      <c r="T39" s="3679" t="s">
        <v>3332</v>
      </c>
      <c r="U39" s="3679" t="s">
        <v>3332</v>
      </c>
      <c r="V39" s="3679" t="s">
        <v>3332</v>
      </c>
      <c r="W39" s="3679" t="s">
        <v>3332</v>
      </c>
      <c r="X39" s="3679">
        <v>0</v>
      </c>
      <c r="Y39" s="3679">
        <v>0</v>
      </c>
      <c r="Z39" s="3679" t="s">
        <v>3332</v>
      </c>
      <c r="AA39" s="3680">
        <v>39401.000497685185</v>
      </c>
      <c r="AB39" s="3680">
        <v>39401.000497685185</v>
      </c>
      <c r="AC39" s="3680">
        <v>39401.000497685185</v>
      </c>
      <c r="AD39" s="3679" t="s">
        <v>3332</v>
      </c>
      <c r="AE39" s="3679" t="s">
        <v>3336</v>
      </c>
      <c r="AF39" s="3679" t="s">
        <v>3733</v>
      </c>
      <c r="AG39" s="3679" t="s">
        <v>3332</v>
      </c>
      <c r="AH39" s="3679" t="s">
        <v>3332</v>
      </c>
      <c r="AI39" s="3679">
        <v>22050</v>
      </c>
      <c r="AJ39" s="3679">
        <v>2200</v>
      </c>
      <c r="AK39" s="3679" t="s">
        <v>2091</v>
      </c>
      <c r="AL39" s="3679">
        <v>25000</v>
      </c>
      <c r="AM39" s="3679">
        <v>296.64999999999998</v>
      </c>
      <c r="AN39" s="3679">
        <v>336.34</v>
      </c>
      <c r="AO39" s="3679">
        <v>3178</v>
      </c>
      <c r="AP39" s="3683">
        <v>3604</v>
      </c>
      <c r="AQ39" s="3679" t="s">
        <v>3332</v>
      </c>
      <c r="AR39" s="3679" t="s">
        <v>3332</v>
      </c>
      <c r="AS39" s="3679">
        <v>13.38</v>
      </c>
      <c r="AT39" s="3679" t="s">
        <v>3669</v>
      </c>
      <c r="AU39" s="3679" t="s">
        <v>3331</v>
      </c>
      <c r="AV39" s="3679" t="s">
        <v>3332</v>
      </c>
      <c r="AW39" s="3679" t="s">
        <v>3331</v>
      </c>
      <c r="AX39" s="3679" t="s">
        <v>3332</v>
      </c>
      <c r="AY39" s="3679" t="s">
        <v>3332</v>
      </c>
      <c r="AZ39" s="3679" t="s">
        <v>3332</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8" sqref="C8"/>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747187</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45270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101125</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6742</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1225353</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3750</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118532</v>
      </c>
      <c r="D8" s="2306">
        <f>C8*0.55</f>
        <v>65192.600000000006</v>
      </c>
      <c r="E8" s="2306">
        <f>'不动产比较法-仓储'!B3</f>
        <v>32023</v>
      </c>
      <c r="F8" s="2306">
        <f>'不动产比较法-车位'!B3</f>
        <v>9970</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1050754</v>
      </c>
      <c r="D10" s="2494">
        <f>ROUND(D8*D9/10000,0)</f>
        <v>145406</v>
      </c>
      <c r="E10" s="2494">
        <f>'不动产比较法-仓储'!B2</f>
        <v>1921</v>
      </c>
      <c r="F10" s="2494">
        <f>'不动产比较法-车位'!B2</f>
        <v>27272</v>
      </c>
      <c r="G10" s="2494"/>
      <c r="H10" s="2309"/>
      <c r="I10" s="2309"/>
      <c r="J10" s="2309"/>
      <c r="K10" s="2310"/>
      <c r="M10" s="1832">
        <f>F10/'数据-取费表'!AH9</f>
        <v>41.509893455098933</v>
      </c>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99030</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4952</v>
      </c>
      <c r="D14" s="2316"/>
      <c r="E14" s="2317"/>
      <c r="F14" s="2321">
        <f>'数据-取费表'!B33</f>
        <v>0.05</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5319</v>
      </c>
      <c r="D15" s="2316"/>
      <c r="E15" s="2317"/>
      <c r="F15" s="2321">
        <f>'数据-取费表'!B34</f>
        <v>0.1</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1485</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113757</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2334</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24507</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7711</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7711</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65352</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216607</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216607</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24402</v>
      </c>
      <c r="D33" s="451">
        <f ca="1">C34</f>
        <v>0.1749</v>
      </c>
      <c r="E33" s="453" t="s">
        <v>455</v>
      </c>
      <c r="F33" s="463">
        <f ca="1">IF(B1="",'数据-取费表'!Q16,INDIRECT("'数据-取费表'!q"&amp;$K$1))</f>
        <v>0.17</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0.1749</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24402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747187</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1196160</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99030</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4952</v>
      </c>
      <c r="D14" s="435"/>
      <c r="E14" s="354"/>
      <c r="F14" s="440">
        <f>'数据-取费表'!B33</f>
        <v>0.05</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5319</v>
      </c>
      <c r="D15" s="435"/>
      <c r="E15" s="354"/>
      <c r="F15" s="440">
        <f>'数据-取费表'!B34</f>
        <v>0.1</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1485</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113757</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2275</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6233</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19725</v>
      </c>
      <c r="D21" s="3016"/>
      <c r="E21" s="446"/>
      <c r="F21" s="463">
        <f ca="1">IF(B1="",'数据-取费表'!Q16,INDIRECT("'数据-取费表'!q"&amp;$K$1))</f>
        <v>0.17</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3" t="s">
        <v>1394</v>
      </c>
      <c r="B24" s="3924"/>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3" t="s">
        <v>2281</v>
      </c>
      <c r="B25" s="3924"/>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3" t="s">
        <v>2282</v>
      </c>
      <c r="B26" s="3924"/>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5" t="s">
        <v>2280</v>
      </c>
      <c r="B27" s="3926"/>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905" t="s">
        <v>471</v>
      </c>
      <c r="D6" s="3906"/>
      <c r="E6" s="3932" t="s">
        <v>472</v>
      </c>
      <c r="F6" s="3933"/>
      <c r="G6" s="3905" t="s">
        <v>473</v>
      </c>
      <c r="H6" s="3906"/>
      <c r="I6" s="3905" t="s">
        <v>474</v>
      </c>
      <c r="J6" s="3906"/>
      <c r="K6" s="482" t="s">
        <v>475</v>
      </c>
      <c r="L6" s="1850"/>
      <c r="M6" s="1851"/>
      <c r="N6" s="1851"/>
      <c r="O6" s="1851"/>
      <c r="P6" s="3907" t="s">
        <v>476</v>
      </c>
      <c r="Q6" s="3908"/>
      <c r="R6" s="3891" t="s">
        <v>472</v>
      </c>
      <c r="S6" s="3892"/>
      <c r="T6" s="3891" t="s">
        <v>473</v>
      </c>
      <c r="U6" s="3892"/>
      <c r="V6" s="3913" t="s">
        <v>474</v>
      </c>
      <c r="W6" s="3913"/>
      <c r="X6" s="1375"/>
      <c r="Y6" s="3891" t="s">
        <v>476</v>
      </c>
      <c r="Z6" s="3892"/>
      <c r="AA6" s="3886" t="s">
        <v>472</v>
      </c>
      <c r="AB6" s="3887" t="s">
        <v>473</v>
      </c>
      <c r="AC6" s="3886" t="s">
        <v>474</v>
      </c>
    </row>
    <row r="7" spans="1:29" ht="15">
      <c r="A7" s="483"/>
      <c r="B7" s="484"/>
      <c r="C7" s="3918" t="str">
        <f>项目基本情况!F10</f>
        <v>北京市海淀区双新村棚户区改造项目2603-003-1地块R2二类居住用地</v>
      </c>
      <c r="D7" s="3917"/>
      <c r="E7" s="3934" t="str">
        <f>土地案例!A2</f>
        <v>北京市海淀区双新村棚户区改造项目2603-004-1地块R2二类居住用地</v>
      </c>
      <c r="F7" s="3935"/>
      <c r="G7" s="3916" t="str">
        <f>土地案例!A3</f>
        <v>北京市海淀区四季青镇中坞重点村资金平衡用地南地块R2二类居住用地</v>
      </c>
      <c r="H7" s="3917"/>
      <c r="I7" s="3916" t="str">
        <f>土地案例!A4</f>
        <v>北京市海淀区四季青镇中坞重点村资金平衡用地北地块R2二类居住用地</v>
      </c>
      <c r="J7" s="3917"/>
      <c r="K7" s="482"/>
      <c r="L7" s="1850"/>
      <c r="M7" s="1851"/>
      <c r="N7" s="1851"/>
      <c r="O7" s="1851"/>
      <c r="P7" s="3909"/>
      <c r="Q7" s="3910"/>
      <c r="R7" s="3893"/>
      <c r="S7" s="3894"/>
      <c r="T7" s="3893"/>
      <c r="U7" s="3894"/>
      <c r="V7" s="3913"/>
      <c r="W7" s="3913"/>
      <c r="X7" s="1375"/>
      <c r="Y7" s="3893"/>
      <c r="Z7" s="3894"/>
      <c r="AA7" s="3887"/>
      <c r="AB7" s="3887"/>
      <c r="AC7" s="3887"/>
    </row>
    <row r="8" spans="1:29" ht="15.75" thickBot="1">
      <c r="A8" s="485"/>
      <c r="B8" s="486"/>
      <c r="C8" s="3914" t="s">
        <v>2182</v>
      </c>
      <c r="D8" s="3915"/>
      <c r="E8" s="3936" t="s">
        <v>2182</v>
      </c>
      <c r="F8" s="3937"/>
      <c r="G8" s="3914" t="s">
        <v>2182</v>
      </c>
      <c r="H8" s="3915"/>
      <c r="I8" s="3914" t="s">
        <v>2182</v>
      </c>
      <c r="J8" s="3915"/>
      <c r="K8" s="482" t="s">
        <v>477</v>
      </c>
      <c r="L8" s="1850"/>
      <c r="M8" s="1851"/>
      <c r="N8" s="1851"/>
      <c r="O8" s="1851"/>
      <c r="P8" s="3911"/>
      <c r="Q8" s="3912"/>
      <c r="R8" s="3893"/>
      <c r="S8" s="3894"/>
      <c r="T8" s="3895"/>
      <c r="U8" s="3896"/>
      <c r="V8" s="3913"/>
      <c r="W8" s="3913"/>
      <c r="X8" s="1375"/>
      <c r="Y8" s="3895"/>
      <c r="Z8" s="3896"/>
      <c r="AA8" s="3888"/>
      <c r="AB8" s="3888"/>
      <c r="AC8" s="3888"/>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889" t="s">
        <v>479</v>
      </c>
      <c r="Q9" s="3898"/>
      <c r="R9" s="1376" t="s">
        <v>5</v>
      </c>
      <c r="S9" s="1377">
        <f t="shared" ref="S9:S17" si="0">F9</f>
        <v>99.5</v>
      </c>
      <c r="T9" s="1376" t="s">
        <v>5</v>
      </c>
      <c r="U9" s="1377">
        <f t="shared" ref="U9:U17" si="1">H9</f>
        <v>0</v>
      </c>
      <c r="V9" s="1376" t="s">
        <v>5</v>
      </c>
      <c r="W9" s="1377">
        <f t="shared" ref="W9:W17" si="2">J9</f>
        <v>0</v>
      </c>
      <c r="X9" s="1378"/>
      <c r="Y9" s="3889" t="s">
        <v>479</v>
      </c>
      <c r="Z9" s="3890"/>
      <c r="AA9" s="1379">
        <f>D9/F9</f>
        <v>1.0050251256281406</v>
      </c>
      <c r="AB9" s="1379" t="e">
        <f>D9/H9</f>
        <v>#DIV/0!</v>
      </c>
      <c r="AC9" s="1379" t="e">
        <f>D9/J9</f>
        <v>#DIV/0!</v>
      </c>
    </row>
    <row r="10" spans="1:29" s="1113" customFormat="1" ht="15.75" thickBot="1">
      <c r="A10" s="2385"/>
      <c r="B10" s="2392" t="s">
        <v>480</v>
      </c>
      <c r="C10" s="493" t="s">
        <v>481</v>
      </c>
      <c r="D10" s="488">
        <v>100</v>
      </c>
      <c r="E10" s="493" t="s">
        <v>3475</v>
      </c>
      <c r="F10" s="490">
        <f>SUMIF(69:69,E10,70:70)-SUMIF(69:69,C10,70:70)+100</f>
        <v>100</v>
      </c>
      <c r="G10" s="493" t="s">
        <v>3475</v>
      </c>
      <c r="H10" s="488">
        <f>SUMIF(69:69,G10,70:70)-SUMIF(69:69,C10,70:70)+100</f>
        <v>100</v>
      </c>
      <c r="I10" s="493" t="s">
        <v>3475</v>
      </c>
      <c r="J10" s="488">
        <f>SUMIF(69:69,I10,70:70)-SUMIF(69:69,C10,70:70)+100</f>
        <v>100</v>
      </c>
      <c r="K10" s="492"/>
      <c r="L10" s="1852"/>
      <c r="M10" s="1853"/>
      <c r="N10" s="1853"/>
      <c r="O10" s="1853"/>
      <c r="P10" s="3889" t="s">
        <v>482</v>
      </c>
      <c r="Q10" s="3890"/>
      <c r="R10" s="1376" t="s">
        <v>5</v>
      </c>
      <c r="S10" s="1377">
        <f t="shared" si="0"/>
        <v>100</v>
      </c>
      <c r="T10" s="1376" t="s">
        <v>5</v>
      </c>
      <c r="U10" s="1377">
        <f t="shared" si="1"/>
        <v>100</v>
      </c>
      <c r="V10" s="1376" t="s">
        <v>5</v>
      </c>
      <c r="W10" s="1377">
        <f t="shared" si="2"/>
        <v>100</v>
      </c>
      <c r="X10" s="1378"/>
      <c r="Y10" s="3889" t="s">
        <v>482</v>
      </c>
      <c r="Z10" s="3890"/>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97" t="s">
        <v>484</v>
      </c>
      <c r="Q11" s="1045" t="str">
        <f t="shared" ref="Q11:Q17" si="6">B11</f>
        <v>用途</v>
      </c>
      <c r="R11" s="1376" t="s">
        <v>5</v>
      </c>
      <c r="S11" s="1377">
        <f t="shared" si="0"/>
        <v>100</v>
      </c>
      <c r="T11" s="1376" t="s">
        <v>5</v>
      </c>
      <c r="U11" s="1377">
        <f t="shared" si="1"/>
        <v>100</v>
      </c>
      <c r="V11" s="1376" t="s">
        <v>5</v>
      </c>
      <c r="W11" s="1377">
        <f t="shared" si="2"/>
        <v>100</v>
      </c>
      <c r="X11" s="1378"/>
      <c r="Y11" s="3849"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97"/>
      <c r="Q12" s="1045" t="str">
        <f t="shared" si="6"/>
        <v>土地使用年限（年）</v>
      </c>
      <c r="R12" s="1376" t="s">
        <v>5</v>
      </c>
      <c r="S12" s="1377">
        <f t="shared" si="0"/>
        <v>100</v>
      </c>
      <c r="T12" s="1376" t="s">
        <v>5</v>
      </c>
      <c r="U12" s="1377">
        <f t="shared" si="1"/>
        <v>100</v>
      </c>
      <c r="V12" s="1376" t="s">
        <v>5</v>
      </c>
      <c r="W12" s="1377">
        <f t="shared" si="2"/>
        <v>100</v>
      </c>
      <c r="X12" s="1378"/>
      <c r="Y12" s="3849"/>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97"/>
      <c r="Q13" s="1045" t="str">
        <f t="shared" si="6"/>
        <v>容积率</v>
      </c>
      <c r="R13" s="1376" t="s">
        <v>5</v>
      </c>
      <c r="S13" s="1377">
        <f t="shared" si="0"/>
        <v>100</v>
      </c>
      <c r="T13" s="1376" t="s">
        <v>5</v>
      </c>
      <c r="U13" s="1377">
        <f t="shared" si="1"/>
        <v>100</v>
      </c>
      <c r="V13" s="1376" t="s">
        <v>5</v>
      </c>
      <c r="W13" s="1377">
        <f t="shared" si="2"/>
        <v>100</v>
      </c>
      <c r="X13" s="1378"/>
      <c r="Y13" s="3849"/>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97"/>
      <c r="Q14" s="1045">
        <f t="shared" si="6"/>
        <v>111</v>
      </c>
      <c r="R14" s="1376" t="s">
        <v>5</v>
      </c>
      <c r="S14" s="1377">
        <f t="shared" si="0"/>
        <v>100</v>
      </c>
      <c r="T14" s="1376" t="s">
        <v>5</v>
      </c>
      <c r="U14" s="1377">
        <f t="shared" si="1"/>
        <v>100</v>
      </c>
      <c r="V14" s="1376" t="s">
        <v>5</v>
      </c>
      <c r="W14" s="1377">
        <f t="shared" si="2"/>
        <v>100</v>
      </c>
      <c r="X14" s="1378"/>
      <c r="Y14" s="3849"/>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97"/>
      <c r="Q15" s="1045">
        <f t="shared" si="6"/>
        <v>111</v>
      </c>
      <c r="R15" s="1376" t="s">
        <v>5</v>
      </c>
      <c r="S15" s="1377">
        <f t="shared" si="0"/>
        <v>100</v>
      </c>
      <c r="T15" s="1376" t="s">
        <v>5</v>
      </c>
      <c r="U15" s="1377">
        <f t="shared" si="1"/>
        <v>100</v>
      </c>
      <c r="V15" s="1376" t="s">
        <v>5</v>
      </c>
      <c r="W15" s="1377">
        <f t="shared" si="2"/>
        <v>100</v>
      </c>
      <c r="X15" s="1378"/>
      <c r="Y15" s="3849"/>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97"/>
      <c r="Q16" s="1045">
        <f t="shared" si="6"/>
        <v>111</v>
      </c>
      <c r="R16" s="1376" t="s">
        <v>5</v>
      </c>
      <c r="S16" s="1377">
        <f t="shared" si="0"/>
        <v>100</v>
      </c>
      <c r="T16" s="1376" t="s">
        <v>5</v>
      </c>
      <c r="U16" s="1377">
        <f t="shared" si="1"/>
        <v>100</v>
      </c>
      <c r="V16" s="1376" t="s">
        <v>5</v>
      </c>
      <c r="W16" s="1377">
        <f t="shared" si="2"/>
        <v>100</v>
      </c>
      <c r="X16" s="1378"/>
      <c r="Y16" s="3849"/>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3262</v>
      </c>
      <c r="F17" s="517">
        <f>SUMIF(84:84,E18,85:85)-SUMIF(84:84,C18,85:85)+100</f>
        <v>100</v>
      </c>
      <c r="G17" s="518" t="s">
        <v>3262</v>
      </c>
      <c r="H17" s="517">
        <f>SUMIF(84:84,G18,85:85)-SUMIF(84:84,C18,85:85)+100</f>
        <v>100</v>
      </c>
      <c r="I17" s="518" t="s">
        <v>3262</v>
      </c>
      <c r="J17" s="517">
        <f>SUMIF(84:84,I18,85:85)-SUMIF(84:84,C18,85:85)+100</f>
        <v>100</v>
      </c>
      <c r="K17" s="503">
        <v>2</v>
      </c>
      <c r="L17" s="1859"/>
      <c r="M17" s="1851"/>
      <c r="N17" s="1851"/>
      <c r="O17" s="1858"/>
      <c r="P17" s="3899" t="s">
        <v>489</v>
      </c>
      <c r="Q17" s="1380" t="str">
        <f t="shared" si="6"/>
        <v>产业集聚程度</v>
      </c>
      <c r="R17" s="1381" t="s">
        <v>5</v>
      </c>
      <c r="S17" s="1382">
        <f t="shared" si="0"/>
        <v>100</v>
      </c>
      <c r="T17" s="1381" t="s">
        <v>5</v>
      </c>
      <c r="U17" s="1382">
        <f t="shared" si="1"/>
        <v>100</v>
      </c>
      <c r="V17" s="1381" t="s">
        <v>5</v>
      </c>
      <c r="W17" s="1382">
        <f t="shared" si="2"/>
        <v>100</v>
      </c>
      <c r="X17" s="1375"/>
      <c r="Y17" s="3899" t="s">
        <v>489</v>
      </c>
      <c r="Z17" s="1383" t="str">
        <f t="shared" si="7"/>
        <v>产业集聚程度</v>
      </c>
      <c r="AA17" s="1384">
        <f t="shared" si="3"/>
        <v>1</v>
      </c>
      <c r="AB17" s="1384">
        <f t="shared" si="4"/>
        <v>1</v>
      </c>
      <c r="AC17" s="1384">
        <f t="shared" si="5"/>
        <v>1</v>
      </c>
    </row>
    <row r="18" spans="1:29" ht="15">
      <c r="A18" s="500"/>
      <c r="B18" s="830"/>
      <c r="C18" s="544" t="s">
        <v>3262</v>
      </c>
      <c r="D18" s="523"/>
      <c r="E18" s="522" t="s">
        <v>3262</v>
      </c>
      <c r="F18" s="523"/>
      <c r="G18" s="522" t="s">
        <v>3262</v>
      </c>
      <c r="H18" s="527"/>
      <c r="I18" s="522" t="s">
        <v>3262</v>
      </c>
      <c r="J18" s="523"/>
      <c r="K18" s="499"/>
      <c r="L18" s="1859"/>
      <c r="M18" s="1851"/>
      <c r="N18" s="1851"/>
      <c r="O18" s="1858"/>
      <c r="P18" s="3900"/>
      <c r="Q18" s="1380"/>
      <c r="R18" s="1381"/>
      <c r="S18" s="1382"/>
      <c r="T18" s="1381"/>
      <c r="U18" s="1382"/>
      <c r="V18" s="1381"/>
      <c r="W18" s="1382"/>
      <c r="X18" s="1375"/>
      <c r="Y18" s="3900"/>
      <c r="Z18" s="1383"/>
      <c r="AA18" s="1384">
        <v>1</v>
      </c>
      <c r="AB18" s="1384">
        <v>1</v>
      </c>
      <c r="AC18" s="1384">
        <v>1</v>
      </c>
    </row>
    <row r="19" spans="1:29" ht="15">
      <c r="A19" s="500"/>
      <c r="B19" s="832" t="s">
        <v>492</v>
      </c>
      <c r="C19" s="833" t="str">
        <f>估价对象房地状况!G16</f>
        <v>较好</v>
      </c>
      <c r="D19" s="527">
        <v>100</v>
      </c>
      <c r="E19" s="530" t="s">
        <v>3262</v>
      </c>
      <c r="F19" s="533">
        <f>SUMIF(86:86,E20,87:87)-SUMIF(86:86,C20,87:87)+100</f>
        <v>100</v>
      </c>
      <c r="G19" s="530" t="s">
        <v>3262</v>
      </c>
      <c r="H19" s="533">
        <f>SUMIF(86:86,G20,87:87)-SUMIF(86:86,C20,87:87)+100</f>
        <v>100</v>
      </c>
      <c r="I19" s="530" t="s">
        <v>3262</v>
      </c>
      <c r="J19" s="527">
        <f>SUMIF(86:86,I20,87:87)-SUMIF(86:86,C20,87:87)+100</f>
        <v>100</v>
      </c>
      <c r="K19" s="503">
        <v>2</v>
      </c>
      <c r="L19" s="1859"/>
      <c r="M19" s="1851"/>
      <c r="N19" s="1851"/>
      <c r="O19" s="1858"/>
      <c r="P19" s="3900"/>
      <c r="Q19" s="1380" t="str">
        <f>B19</f>
        <v>交通便捷度</v>
      </c>
      <c r="R19" s="1381" t="s">
        <v>5</v>
      </c>
      <c r="S19" s="1382">
        <f>F19</f>
        <v>100</v>
      </c>
      <c r="T19" s="1381" t="s">
        <v>5</v>
      </c>
      <c r="U19" s="1382">
        <f>H19</f>
        <v>100</v>
      </c>
      <c r="V19" s="1381" t="s">
        <v>5</v>
      </c>
      <c r="W19" s="1382">
        <f>J19</f>
        <v>100</v>
      </c>
      <c r="X19" s="1375"/>
      <c r="Y19" s="3900"/>
      <c r="Z19" s="1383" t="str">
        <f>Q19</f>
        <v>交通便捷度</v>
      </c>
      <c r="AA19" s="1384">
        <f t="shared" si="3"/>
        <v>1</v>
      </c>
      <c r="AB19" s="1384">
        <f t="shared" si="4"/>
        <v>1</v>
      </c>
      <c r="AC19" s="1384">
        <f t="shared" si="5"/>
        <v>1</v>
      </c>
    </row>
    <row r="20" spans="1:29" ht="15">
      <c r="A20" s="500"/>
      <c r="B20" s="880"/>
      <c r="C20" s="544" t="s">
        <v>3262</v>
      </c>
      <c r="D20" s="523"/>
      <c r="E20" s="524" t="s">
        <v>3262</v>
      </c>
      <c r="F20" s="523"/>
      <c r="G20" s="524" t="s">
        <v>3262</v>
      </c>
      <c r="H20" s="523"/>
      <c r="I20" s="524" t="s">
        <v>3262</v>
      </c>
      <c r="J20" s="523"/>
      <c r="K20" s="499"/>
      <c r="L20" s="1859"/>
      <c r="M20" s="1851"/>
      <c r="N20" s="1851"/>
      <c r="O20" s="1858"/>
      <c r="P20" s="3900"/>
      <c r="Q20" s="1380"/>
      <c r="R20" s="1381"/>
      <c r="S20" s="1382"/>
      <c r="T20" s="1381"/>
      <c r="U20" s="1382"/>
      <c r="V20" s="1381"/>
      <c r="W20" s="1382"/>
      <c r="X20" s="1375"/>
      <c r="Y20" s="3900"/>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00"/>
      <c r="Q21" s="1380" t="str">
        <f t="shared" ref="Q21:Q35" si="8">B21</f>
        <v>区域土地利用方向</v>
      </c>
      <c r="R21" s="1381" t="s">
        <v>5</v>
      </c>
      <c r="S21" s="1382">
        <f>F21</f>
        <v>100</v>
      </c>
      <c r="T21" s="1381" t="s">
        <v>5</v>
      </c>
      <c r="U21" s="1382">
        <f>H21</f>
        <v>100</v>
      </c>
      <c r="V21" s="1381" t="s">
        <v>5</v>
      </c>
      <c r="W21" s="1382">
        <f>J21</f>
        <v>100</v>
      </c>
      <c r="X21" s="1375"/>
      <c r="Y21" s="3900"/>
      <c r="Z21" s="1383" t="str">
        <f>Q21</f>
        <v>区域土地利用方向</v>
      </c>
      <c r="AA21" s="1384">
        <f t="shared" si="3"/>
        <v>1</v>
      </c>
      <c r="AB21" s="1384">
        <f t="shared" si="4"/>
        <v>1</v>
      </c>
      <c r="AC21" s="1384">
        <f t="shared" si="5"/>
        <v>1</v>
      </c>
    </row>
    <row r="22" spans="1:29" ht="15">
      <c r="A22" s="483"/>
      <c r="B22" s="563"/>
      <c r="C22" s="544" t="s">
        <v>3262</v>
      </c>
      <c r="D22" s="523"/>
      <c r="E22" s="524" t="s">
        <v>3262</v>
      </c>
      <c r="F22" s="525"/>
      <c r="G22" s="524" t="s">
        <v>3262</v>
      </c>
      <c r="H22" s="525"/>
      <c r="I22" s="524" t="s">
        <v>3262</v>
      </c>
      <c r="J22" s="525"/>
      <c r="K22" s="1203"/>
      <c r="L22" s="1859"/>
      <c r="M22" s="1851"/>
      <c r="N22" s="1851"/>
      <c r="O22" s="1858"/>
      <c r="P22" s="3900"/>
      <c r="Q22" s="1380"/>
      <c r="R22" s="1381"/>
      <c r="S22" s="1382"/>
      <c r="T22" s="1381"/>
      <c r="U22" s="1382"/>
      <c r="V22" s="1381"/>
      <c r="W22" s="1382"/>
      <c r="X22" s="1375"/>
      <c r="Y22" s="3900"/>
      <c r="Z22" s="1383"/>
      <c r="AA22" s="1384"/>
      <c r="AB22" s="1384"/>
      <c r="AC22" s="1384"/>
    </row>
    <row r="23" spans="1:29" ht="15">
      <c r="A23" s="483"/>
      <c r="B23" s="880" t="s">
        <v>547</v>
      </c>
      <c r="C23" s="833" t="str">
        <f>估价对象房地状况!G18</f>
        <v>较好</v>
      </c>
      <c r="D23" s="527">
        <v>100</v>
      </c>
      <c r="E23" s="530" t="s">
        <v>3262</v>
      </c>
      <c r="F23" s="527">
        <f>SUMIF(90:90,E24,91:91)-SUMIF(90:90,C24,91:91)+100</f>
        <v>100</v>
      </c>
      <c r="G23" s="530" t="s">
        <v>3262</v>
      </c>
      <c r="H23" s="527">
        <f>SUMIF(90:90,G24,91:91)-SUMIF(90:90,C24,91:91)+100</f>
        <v>100</v>
      </c>
      <c r="I23" s="530" t="s">
        <v>3262</v>
      </c>
      <c r="J23" s="527">
        <f>SUMIF(90:90,I24,91:91)-SUMIF(90:90,C24,91:91)+100</f>
        <v>100</v>
      </c>
      <c r="K23" s="503">
        <v>2</v>
      </c>
      <c r="L23" s="1859"/>
      <c r="M23" s="1851"/>
      <c r="N23" s="1851"/>
      <c r="O23" s="1858"/>
      <c r="P23" s="3900"/>
      <c r="Q23" s="1380" t="str">
        <f t="shared" si="8"/>
        <v>环境状况</v>
      </c>
      <c r="R23" s="1381" t="s">
        <v>5</v>
      </c>
      <c r="S23" s="1382">
        <f>F23</f>
        <v>100</v>
      </c>
      <c r="T23" s="1381" t="s">
        <v>5</v>
      </c>
      <c r="U23" s="1382">
        <f>H23</f>
        <v>100</v>
      </c>
      <c r="V23" s="1381" t="s">
        <v>5</v>
      </c>
      <c r="W23" s="1382">
        <f>J23</f>
        <v>100</v>
      </c>
      <c r="X23" s="1375"/>
      <c r="Y23" s="3900"/>
      <c r="Z23" s="1383" t="str">
        <f>Q23</f>
        <v>环境状况</v>
      </c>
      <c r="AA23" s="1384">
        <f t="shared" si="3"/>
        <v>1</v>
      </c>
      <c r="AB23" s="1384">
        <f t="shared" si="4"/>
        <v>1</v>
      </c>
      <c r="AC23" s="1384">
        <f t="shared" si="5"/>
        <v>1</v>
      </c>
    </row>
    <row r="24" spans="1:29" ht="15">
      <c r="A24" s="483"/>
      <c r="B24" s="563"/>
      <c r="C24" s="544" t="s">
        <v>3262</v>
      </c>
      <c r="D24" s="523"/>
      <c r="E24" s="522" t="s">
        <v>3262</v>
      </c>
      <c r="F24" s="523"/>
      <c r="G24" s="522" t="s">
        <v>3262</v>
      </c>
      <c r="H24" s="523"/>
      <c r="I24" s="522" t="s">
        <v>3262</v>
      </c>
      <c r="J24" s="523"/>
      <c r="K24" s="499"/>
      <c r="L24" s="1859"/>
      <c r="M24" s="1851"/>
      <c r="N24" s="1851"/>
      <c r="O24" s="1858"/>
      <c r="P24" s="3900"/>
      <c r="Q24" s="1380"/>
      <c r="R24" s="1381"/>
      <c r="S24" s="1382"/>
      <c r="T24" s="1381"/>
      <c r="U24" s="1382"/>
      <c r="V24" s="1381"/>
      <c r="W24" s="1382"/>
      <c r="X24" s="1375"/>
      <c r="Y24" s="3900"/>
      <c r="Z24" s="1383"/>
      <c r="AA24" s="1384">
        <v>1</v>
      </c>
      <c r="AB24" s="1384">
        <v>1</v>
      </c>
      <c r="AC24" s="1384">
        <v>1</v>
      </c>
    </row>
    <row r="25" spans="1:29" s="1113" customFormat="1" ht="15">
      <c r="A25" s="545"/>
      <c r="B25" s="2195" t="s">
        <v>1827</v>
      </c>
      <c r="C25" s="833" t="str">
        <f>估价对象房地状况!G19</f>
        <v>一般</v>
      </c>
      <c r="D25" s="527">
        <v>100</v>
      </c>
      <c r="E25" s="530" t="s">
        <v>3264</v>
      </c>
      <c r="F25" s="527">
        <f>SUMIF(92:92,E26,93:93)-SUMIF(92:92,C26,93:93)+100</f>
        <v>100</v>
      </c>
      <c r="G25" s="530" t="s">
        <v>3264</v>
      </c>
      <c r="H25" s="527">
        <f>SUMIF(92:92,G26,93:93)-SUMIF(92:92,C26,93:93)+100</f>
        <v>100</v>
      </c>
      <c r="I25" s="530" t="s">
        <v>3264</v>
      </c>
      <c r="J25" s="527">
        <f>SUMIF(92:92,I26,93:93)-SUMIF(92:92,C26,93:93)+100</f>
        <v>100</v>
      </c>
      <c r="K25" s="503">
        <v>2</v>
      </c>
      <c r="L25" s="1852"/>
      <c r="M25" s="1853"/>
      <c r="N25" s="1853"/>
      <c r="O25" s="1854"/>
      <c r="P25" s="3900"/>
      <c r="Q25" s="1045" t="str">
        <f t="shared" si="8"/>
        <v>公共配套设施</v>
      </c>
      <c r="R25" s="1376" t="s">
        <v>5</v>
      </c>
      <c r="S25" s="1377">
        <f>F25</f>
        <v>100</v>
      </c>
      <c r="T25" s="1376" t="s">
        <v>5</v>
      </c>
      <c r="U25" s="1377">
        <f>H25</f>
        <v>100</v>
      </c>
      <c r="V25" s="1376" t="s">
        <v>5</v>
      </c>
      <c r="W25" s="1377">
        <f>J25</f>
        <v>100</v>
      </c>
      <c r="X25" s="1378"/>
      <c r="Y25" s="3900"/>
      <c r="Z25" s="1044" t="str">
        <f>Q25</f>
        <v>公共配套设施</v>
      </c>
      <c r="AA25" s="1384">
        <f>D25/F25</f>
        <v>1</v>
      </c>
      <c r="AB25" s="1384">
        <f>D25/H25</f>
        <v>1</v>
      </c>
      <c r="AC25" s="1384">
        <f>D25/J25</f>
        <v>1</v>
      </c>
    </row>
    <row r="26" spans="1:29" s="1113" customFormat="1" ht="15">
      <c r="A26" s="545"/>
      <c r="B26" s="563"/>
      <c r="C26" s="2194" t="s">
        <v>3264</v>
      </c>
      <c r="D26" s="523"/>
      <c r="E26" s="522" t="s">
        <v>3264</v>
      </c>
      <c r="F26" s="523"/>
      <c r="G26" s="522" t="s">
        <v>3264</v>
      </c>
      <c r="H26" s="523"/>
      <c r="I26" s="522" t="s">
        <v>3264</v>
      </c>
      <c r="J26" s="523"/>
      <c r="K26" s="499"/>
      <c r="L26" s="1852"/>
      <c r="M26" s="1853"/>
      <c r="N26" s="1853"/>
      <c r="O26" s="1854"/>
      <c r="P26" s="3900"/>
      <c r="Q26" s="1045"/>
      <c r="R26" s="1376"/>
      <c r="S26" s="1377"/>
      <c r="T26" s="1376"/>
      <c r="U26" s="1377"/>
      <c r="V26" s="1376"/>
      <c r="W26" s="1377"/>
      <c r="X26" s="1378"/>
      <c r="Y26" s="3900"/>
      <c r="Z26" s="1044"/>
      <c r="AA26" s="1379">
        <v>1</v>
      </c>
      <c r="AB26" s="1379">
        <v>1</v>
      </c>
      <c r="AC26" s="1379">
        <v>1</v>
      </c>
    </row>
    <row r="27" spans="1:29" s="1113" customFormat="1" ht="15">
      <c r="A27" s="545"/>
      <c r="B27" s="2195" t="s">
        <v>1828</v>
      </c>
      <c r="C27" s="833" t="str">
        <f>估价对象房地状况!G20</f>
        <v>七通</v>
      </c>
      <c r="D27" s="527">
        <v>100</v>
      </c>
      <c r="E27" s="530" t="s">
        <v>3267</v>
      </c>
      <c r="F27" s="527">
        <f>SUMIF(94:94,E28,95:95)-SUMIF(94:94,C28,95:95)+100</f>
        <v>100</v>
      </c>
      <c r="G27" s="530" t="s">
        <v>3267</v>
      </c>
      <c r="H27" s="527">
        <f>SUMIF(94:94,G28,95:95)-SUMIF(94:94,C28,95:95)+100</f>
        <v>100</v>
      </c>
      <c r="I27" s="530" t="s">
        <v>3267</v>
      </c>
      <c r="J27" s="527">
        <f>SUMIF(94:94,I28,95:95)-SUMIF(94:94,C28,95:95)+100</f>
        <v>100</v>
      </c>
      <c r="K27" s="503">
        <v>1</v>
      </c>
      <c r="L27" s="1852"/>
      <c r="M27" s="1853"/>
      <c r="N27" s="1853"/>
      <c r="O27" s="1854"/>
      <c r="P27" s="3900"/>
      <c r="Q27" s="2186" t="str">
        <f>B27</f>
        <v>基础设施水平</v>
      </c>
      <c r="R27" s="1376" t="s">
        <v>5</v>
      </c>
      <c r="S27" s="1377">
        <f>F27</f>
        <v>100</v>
      </c>
      <c r="T27" s="1376" t="s">
        <v>5</v>
      </c>
      <c r="U27" s="1377">
        <f>H27</f>
        <v>100</v>
      </c>
      <c r="V27" s="1376" t="s">
        <v>5</v>
      </c>
      <c r="W27" s="1377">
        <f>J27</f>
        <v>100</v>
      </c>
      <c r="X27" s="1378"/>
      <c r="Y27" s="3900"/>
      <c r="Z27" s="2185" t="str">
        <f>Q27</f>
        <v>基础设施水平</v>
      </c>
      <c r="AA27" s="1384">
        <f>D27/F27</f>
        <v>1</v>
      </c>
      <c r="AB27" s="1384">
        <f>D27/H27</f>
        <v>1</v>
      </c>
      <c r="AC27" s="1384">
        <f>D27/J27</f>
        <v>1</v>
      </c>
    </row>
    <row r="28" spans="1:29" s="1113" customFormat="1" ht="15">
      <c r="A28" s="545"/>
      <c r="B28" s="563"/>
      <c r="C28" s="2194" t="s">
        <v>3267</v>
      </c>
      <c r="D28" s="523"/>
      <c r="E28" s="547" t="s">
        <v>3267</v>
      </c>
      <c r="F28" s="523"/>
      <c r="G28" s="547" t="s">
        <v>3267</v>
      </c>
      <c r="H28" s="523"/>
      <c r="I28" s="547" t="s">
        <v>3267</v>
      </c>
      <c r="J28" s="523"/>
      <c r="K28" s="499"/>
      <c r="L28" s="1852"/>
      <c r="M28" s="1853"/>
      <c r="N28" s="1853"/>
      <c r="O28" s="1854"/>
      <c r="P28" s="3900"/>
      <c r="Q28" s="2186"/>
      <c r="R28" s="1376"/>
      <c r="S28" s="1377"/>
      <c r="T28" s="1376"/>
      <c r="U28" s="1377"/>
      <c r="V28" s="1376"/>
      <c r="W28" s="1377"/>
      <c r="X28" s="1378"/>
      <c r="Y28" s="3900"/>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00"/>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00"/>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00"/>
      <c r="Q30" s="1380" t="str">
        <f t="shared" si="8"/>
        <v>毗邻道路的类型与等级</v>
      </c>
      <c r="R30" s="1381" t="s">
        <v>5</v>
      </c>
      <c r="S30" s="1382">
        <f t="shared" si="9"/>
        <v>100</v>
      </c>
      <c r="T30" s="1381" t="s">
        <v>5</v>
      </c>
      <c r="U30" s="1382">
        <f t="shared" si="10"/>
        <v>100</v>
      </c>
      <c r="V30" s="1381" t="s">
        <v>5</v>
      </c>
      <c r="W30" s="1382">
        <f t="shared" si="11"/>
        <v>100</v>
      </c>
      <c r="X30" s="1375"/>
      <c r="Y30" s="3900"/>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00"/>
      <c r="Q31" s="1380"/>
      <c r="R31" s="1381"/>
      <c r="S31" s="1382"/>
      <c r="T31" s="1381"/>
      <c r="U31" s="1382"/>
      <c r="V31" s="1381"/>
      <c r="W31" s="1382"/>
      <c r="X31" s="1375"/>
      <c r="Y31" s="3900"/>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00"/>
      <c r="Q32" s="1380" t="str">
        <f t="shared" si="8"/>
        <v>土地级别</v>
      </c>
      <c r="R32" s="1381" t="s">
        <v>5</v>
      </c>
      <c r="S32" s="1382">
        <f t="shared" si="9"/>
        <v>100</v>
      </c>
      <c r="T32" s="1381" t="s">
        <v>5</v>
      </c>
      <c r="U32" s="1382">
        <f t="shared" si="10"/>
        <v>100</v>
      </c>
      <c r="V32" s="1381" t="s">
        <v>5</v>
      </c>
      <c r="W32" s="1382">
        <f t="shared" si="11"/>
        <v>100</v>
      </c>
      <c r="X32" s="1375"/>
      <c r="Y32" s="3900"/>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00"/>
      <c r="Q33" s="1380">
        <f t="shared" si="8"/>
        <v>111</v>
      </c>
      <c r="R33" s="1381" t="s">
        <v>5</v>
      </c>
      <c r="S33" s="1382">
        <f t="shared" si="9"/>
        <v>100</v>
      </c>
      <c r="T33" s="1381" t="s">
        <v>5</v>
      </c>
      <c r="U33" s="1382">
        <f t="shared" si="10"/>
        <v>100</v>
      </c>
      <c r="V33" s="1381" t="s">
        <v>5</v>
      </c>
      <c r="W33" s="1382">
        <f t="shared" si="11"/>
        <v>100</v>
      </c>
      <c r="X33" s="1375"/>
      <c r="Y33" s="3900"/>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01" t="s">
        <v>499</v>
      </c>
      <c r="Q34" s="1380">
        <f t="shared" si="8"/>
        <v>111</v>
      </c>
      <c r="R34" s="1381" t="s">
        <v>5</v>
      </c>
      <c r="S34" s="1382">
        <f t="shared" si="9"/>
        <v>100</v>
      </c>
      <c r="T34" s="1381" t="s">
        <v>5</v>
      </c>
      <c r="U34" s="1382">
        <f t="shared" si="10"/>
        <v>100</v>
      </c>
      <c r="V34" s="1381" t="s">
        <v>5</v>
      </c>
      <c r="W34" s="1382">
        <f t="shared" si="11"/>
        <v>100</v>
      </c>
      <c r="X34" s="1375"/>
      <c r="Y34" s="3902"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02"/>
      <c r="Q35" s="1380">
        <f t="shared" si="8"/>
        <v>111</v>
      </c>
      <c r="R35" s="1385" t="s">
        <v>5</v>
      </c>
      <c r="S35" s="1386">
        <f t="shared" si="9"/>
        <v>100</v>
      </c>
      <c r="T35" s="1385" t="s">
        <v>5</v>
      </c>
      <c r="U35" s="1386">
        <f t="shared" si="10"/>
        <v>100</v>
      </c>
      <c r="V35" s="1385" t="s">
        <v>5</v>
      </c>
      <c r="W35" s="1386">
        <f t="shared" si="11"/>
        <v>100</v>
      </c>
      <c r="X35" s="1387"/>
      <c r="Y35" s="3902"/>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02"/>
      <c r="Q36" s="1380" t="str">
        <f>B36</f>
        <v>宗地面积</v>
      </c>
      <c r="R36" s="1381" t="s">
        <v>5</v>
      </c>
      <c r="S36" s="1382">
        <f t="shared" si="9"/>
        <v>96</v>
      </c>
      <c r="T36" s="1381" t="s">
        <v>5</v>
      </c>
      <c r="U36" s="1382">
        <f t="shared" si="10"/>
        <v>100</v>
      </c>
      <c r="V36" s="1381" t="s">
        <v>5</v>
      </c>
      <c r="W36" s="1382">
        <f t="shared" si="11"/>
        <v>98</v>
      </c>
      <c r="X36" s="1375"/>
      <c r="Y36" s="3902"/>
      <c r="Z36" s="1383" t="str">
        <f t="shared" si="12"/>
        <v>宗地面积</v>
      </c>
      <c r="AA36" s="1384">
        <f t="shared" si="3"/>
        <v>1.0416666666666667</v>
      </c>
      <c r="AB36" s="1384">
        <f t="shared" si="4"/>
        <v>1</v>
      </c>
      <c r="AC36" s="1384">
        <f t="shared" si="5"/>
        <v>1.0204081632653061</v>
      </c>
    </row>
    <row r="37" spans="1:29" ht="15">
      <c r="A37" s="562"/>
      <c r="B37" s="495" t="s">
        <v>502</v>
      </c>
      <c r="C37" s="567" t="s">
        <v>3491</v>
      </c>
      <c r="D37" s="508">
        <v>100</v>
      </c>
      <c r="E37" s="567" t="s">
        <v>3491</v>
      </c>
      <c r="F37" s="508">
        <f>SUMIF(111:111,E37,112:112)-SUMIF(111:111,C37,112:112)+100</f>
        <v>100</v>
      </c>
      <c r="G37" s="567" t="s">
        <v>3491</v>
      </c>
      <c r="H37" s="508">
        <f>SUMIF(111:111,G37,112:112)-SUMIF(111:111,C37,112:112)+100</f>
        <v>100</v>
      </c>
      <c r="I37" s="567" t="s">
        <v>3491</v>
      </c>
      <c r="J37" s="508">
        <f>SUMIF(111:111,I37,112:112)-SUMIF(111:111,C37,112:112)+100</f>
        <v>100</v>
      </c>
      <c r="K37" s="552">
        <v>2</v>
      </c>
      <c r="L37" s="1859"/>
      <c r="M37" s="1851"/>
      <c r="N37" s="1851"/>
      <c r="O37" s="1858"/>
      <c r="P37" s="3902"/>
      <c r="Q37" s="1380" t="str">
        <f t="shared" ref="Q37:Q42" si="13">B37</f>
        <v>宗地形状</v>
      </c>
      <c r="R37" s="1381" t="s">
        <v>5</v>
      </c>
      <c r="S37" s="1382">
        <f t="shared" si="9"/>
        <v>100</v>
      </c>
      <c r="T37" s="1381" t="s">
        <v>5</v>
      </c>
      <c r="U37" s="1382">
        <f t="shared" si="10"/>
        <v>100</v>
      </c>
      <c r="V37" s="1381" t="s">
        <v>5</v>
      </c>
      <c r="W37" s="1382">
        <f t="shared" si="11"/>
        <v>100</v>
      </c>
      <c r="X37" s="1375"/>
      <c r="Y37" s="3902"/>
      <c r="Z37" s="1383" t="str">
        <f t="shared" si="12"/>
        <v>宗地形状</v>
      </c>
      <c r="AA37" s="1384">
        <f t="shared" si="3"/>
        <v>1</v>
      </c>
      <c r="AB37" s="1384">
        <f t="shared" si="4"/>
        <v>1</v>
      </c>
      <c r="AC37" s="1384">
        <f t="shared" si="5"/>
        <v>1</v>
      </c>
    </row>
    <row r="38" spans="1:29" s="1113" customFormat="1" ht="15">
      <c r="A38" s="568"/>
      <c r="B38" s="1645" t="s">
        <v>1772</v>
      </c>
      <c r="C38" s="569" t="s">
        <v>3506</v>
      </c>
      <c r="D38" s="245">
        <v>100</v>
      </c>
      <c r="E38" s="569" t="s">
        <v>3506</v>
      </c>
      <c r="F38" s="508">
        <f>SUMIF(113:113,E38,114:114)-SUMIF(113:113,C38,114:114)+100</f>
        <v>100</v>
      </c>
      <c r="G38" s="569" t="s">
        <v>3506</v>
      </c>
      <c r="H38" s="508">
        <f>SUMIF(113:113,G38,114:114)-SUMIF(113:113,C38,114:114)+100</f>
        <v>100</v>
      </c>
      <c r="I38" s="569" t="s">
        <v>3506</v>
      </c>
      <c r="J38" s="508">
        <f>SUMIF(113:113,I38,114:114)-SUMIF(113:113,C38,114:114)+100</f>
        <v>100</v>
      </c>
      <c r="K38" s="552">
        <v>1</v>
      </c>
      <c r="L38" s="1852"/>
      <c r="M38" s="1853"/>
      <c r="N38" s="1853"/>
      <c r="O38" s="1854"/>
      <c r="P38" s="3902"/>
      <c r="Q38" s="1380" t="str">
        <f t="shared" si="13"/>
        <v>宗地开发程度</v>
      </c>
      <c r="R38" s="1376" t="s">
        <v>5</v>
      </c>
      <c r="S38" s="1377">
        <f t="shared" si="9"/>
        <v>100</v>
      </c>
      <c r="T38" s="1376" t="s">
        <v>5</v>
      </c>
      <c r="U38" s="1377">
        <f t="shared" si="10"/>
        <v>100</v>
      </c>
      <c r="V38" s="1376" t="s">
        <v>5</v>
      </c>
      <c r="W38" s="1377">
        <f t="shared" si="11"/>
        <v>100</v>
      </c>
      <c r="X38" s="1378"/>
      <c r="Y38" s="3902"/>
      <c r="Z38" s="1044" t="str">
        <f t="shared" si="12"/>
        <v>宗地开发程度</v>
      </c>
      <c r="AA38" s="1379">
        <f t="shared" si="3"/>
        <v>1</v>
      </c>
      <c r="AB38" s="1379">
        <f t="shared" si="4"/>
        <v>1</v>
      </c>
      <c r="AC38" s="1379">
        <f t="shared" si="5"/>
        <v>1</v>
      </c>
    </row>
    <row r="39" spans="1:29" ht="15.75" thickBot="1">
      <c r="A39" s="562"/>
      <c r="B39" s="495" t="s">
        <v>504</v>
      </c>
      <c r="C39" s="567" t="s">
        <v>3262</v>
      </c>
      <c r="D39" s="508">
        <v>100</v>
      </c>
      <c r="E39" s="567" t="s">
        <v>3262</v>
      </c>
      <c r="F39" s="508">
        <f>SUMIF(115:115,E39,116:116)-SUMIF(115:115,C39,116:116)+100</f>
        <v>100</v>
      </c>
      <c r="G39" s="567" t="s">
        <v>3262</v>
      </c>
      <c r="H39" s="508">
        <f>SUMIF(115:115,G39,116:116)-SUMIF(115:115,C39,116:116)+100</f>
        <v>100</v>
      </c>
      <c r="I39" s="567" t="s">
        <v>3262</v>
      </c>
      <c r="J39" s="508">
        <f>SUMIF(115:115,I39,116:116)-SUMIF(115:115,C39,116:116)+100</f>
        <v>100</v>
      </c>
      <c r="K39" s="552">
        <v>2</v>
      </c>
      <c r="L39" s="1859"/>
      <c r="M39" s="1851"/>
      <c r="N39" s="1851"/>
      <c r="O39" s="1858"/>
      <c r="P39" s="3902" t="s">
        <v>549</v>
      </c>
      <c r="Q39" s="1380" t="str">
        <f t="shared" si="13"/>
        <v>工程地质条件</v>
      </c>
      <c r="R39" s="1381" t="s">
        <v>5</v>
      </c>
      <c r="S39" s="1382">
        <f t="shared" si="9"/>
        <v>100</v>
      </c>
      <c r="T39" s="1381" t="s">
        <v>5</v>
      </c>
      <c r="U39" s="1382">
        <f t="shared" si="10"/>
        <v>100</v>
      </c>
      <c r="V39" s="1381" t="s">
        <v>5</v>
      </c>
      <c r="W39" s="1382">
        <f t="shared" si="11"/>
        <v>100</v>
      </c>
      <c r="X39" s="1375"/>
      <c r="Y39" s="3902"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02"/>
      <c r="Q40" s="1380">
        <f t="shared" si="13"/>
        <v>111</v>
      </c>
      <c r="R40" s="1381" t="s">
        <v>5</v>
      </c>
      <c r="S40" s="1382">
        <f t="shared" si="9"/>
        <v>100</v>
      </c>
      <c r="T40" s="1381" t="s">
        <v>5</v>
      </c>
      <c r="U40" s="1382">
        <f t="shared" si="10"/>
        <v>100</v>
      </c>
      <c r="V40" s="1381" t="s">
        <v>5</v>
      </c>
      <c r="W40" s="1382">
        <f t="shared" si="11"/>
        <v>100</v>
      </c>
      <c r="X40" s="1375"/>
      <c r="Y40" s="3902"/>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02"/>
      <c r="Q41" s="1380">
        <f t="shared" si="13"/>
        <v>111</v>
      </c>
      <c r="R41" s="1381" t="s">
        <v>5</v>
      </c>
      <c r="S41" s="1382">
        <f t="shared" si="9"/>
        <v>100</v>
      </c>
      <c r="T41" s="1381" t="s">
        <v>5</v>
      </c>
      <c r="U41" s="1382">
        <f t="shared" si="10"/>
        <v>100</v>
      </c>
      <c r="V41" s="1381" t="s">
        <v>5</v>
      </c>
      <c r="W41" s="1382">
        <f t="shared" si="11"/>
        <v>100</v>
      </c>
      <c r="X41" s="1375"/>
      <c r="Y41" s="3902"/>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02"/>
      <c r="Q42" s="1380">
        <f t="shared" si="13"/>
        <v>111</v>
      </c>
      <c r="R42" s="1385" t="s">
        <v>5</v>
      </c>
      <c r="S42" s="1386">
        <f t="shared" si="9"/>
        <v>100</v>
      </c>
      <c r="T42" s="1385" t="s">
        <v>5</v>
      </c>
      <c r="U42" s="1386">
        <f t="shared" si="10"/>
        <v>100</v>
      </c>
      <c r="V42" s="1385" t="s">
        <v>5</v>
      </c>
      <c r="W42" s="1386">
        <f t="shared" si="11"/>
        <v>100</v>
      </c>
      <c r="X42" s="1387"/>
      <c r="Y42" s="3902"/>
      <c r="Z42" s="1388">
        <f t="shared" si="12"/>
        <v>111</v>
      </c>
      <c r="AA42" s="1384">
        <f t="shared" si="3"/>
        <v>1</v>
      </c>
      <c r="AB42" s="1384">
        <f t="shared" si="4"/>
        <v>1</v>
      </c>
      <c r="AC42" s="1384">
        <f t="shared" si="5"/>
        <v>1</v>
      </c>
    </row>
    <row r="43" spans="1:29" ht="15">
      <c r="A43" s="575" t="s">
        <v>505</v>
      </c>
      <c r="B43" s="576" t="s">
        <v>3501</v>
      </c>
      <c r="C43" s="577" t="s">
        <v>0</v>
      </c>
      <c r="D43" s="578"/>
      <c r="E43" s="579">
        <f>土地案例!AP2</f>
        <v>89640</v>
      </c>
      <c r="F43" s="580"/>
      <c r="G43" s="581">
        <f>土地案例!AP3</f>
        <v>70070</v>
      </c>
      <c r="H43" s="582"/>
      <c r="I43" s="579">
        <f>土地案例!AP4</f>
        <v>70027</v>
      </c>
      <c r="J43" s="582"/>
      <c r="K43" s="1196"/>
      <c r="L43" s="1861"/>
      <c r="M43" s="1851"/>
      <c r="N43" s="1851"/>
      <c r="O43" s="1862"/>
      <c r="P43" s="3897" t="str">
        <f>A43</f>
        <v>成交单价</v>
      </c>
      <c r="Q43" s="3897"/>
      <c r="R43" s="3913">
        <f>E43</f>
        <v>89640</v>
      </c>
      <c r="S43" s="3913"/>
      <c r="T43" s="3913">
        <f>G43</f>
        <v>70070</v>
      </c>
      <c r="U43" s="3913"/>
      <c r="V43" s="3913">
        <f>I43</f>
        <v>70027</v>
      </c>
      <c r="W43" s="3913"/>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97" t="str">
        <f>A44</f>
        <v>比较价格（元/平方米）</v>
      </c>
      <c r="Q44" s="3897"/>
      <c r="R44" s="3922">
        <f>ROUND(PRODUCT(R43,AA9:AA42),0)</f>
        <v>93844</v>
      </c>
      <c r="S44" s="3922"/>
      <c r="T44" s="3922" t="e">
        <f>ROUND(PRODUCT(T43,AB9:AB42),0)</f>
        <v>#DIV/0!</v>
      </c>
      <c r="U44" s="3922"/>
      <c r="V44" s="3922" t="e">
        <f>ROUND(PRODUCT(V43,AC9:AC42),0)</f>
        <v>#DIV/0!</v>
      </c>
      <c r="W44" s="3922"/>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03" t="str">
        <f>A45</f>
        <v>估价对象XX用房的比较价格（楼面单价，元/平方米）</v>
      </c>
      <c r="Q45" s="3904"/>
      <c r="R45" s="3931" t="e">
        <f>ROUND(IF(D44="简单平均",AVERAGE(R44:W44),R44*F44+T44*H44+V44*J44),0)</f>
        <v>#DIV/0!</v>
      </c>
      <c r="S45" s="3931"/>
      <c r="T45" s="3931"/>
      <c r="U45" s="3931"/>
      <c r="V45" s="3931"/>
      <c r="W45" s="3931"/>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27" t="s">
        <v>1640</v>
      </c>
      <c r="H52" s="3928"/>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29"/>
      <c r="H53" s="3930"/>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3504</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3480</v>
      </c>
      <c r="D98" s="654" t="s">
        <v>3482</v>
      </c>
      <c r="E98" s="654" t="s">
        <v>3484</v>
      </c>
      <c r="F98" s="654" t="s">
        <v>3486</v>
      </c>
      <c r="G98" s="654" t="s">
        <v>3488</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3490</v>
      </c>
      <c r="D111" s="3661" t="s">
        <v>3492</v>
      </c>
      <c r="E111" s="3661" t="s">
        <v>3493</v>
      </c>
      <c r="F111" s="3661" t="s">
        <v>3494</v>
      </c>
      <c r="G111" s="3661" t="s">
        <v>3495</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3267</v>
      </c>
      <c r="D113" s="1228" t="s">
        <v>3505</v>
      </c>
      <c r="E113" s="1228" t="s">
        <v>3506</v>
      </c>
      <c r="F113" s="1228" t="s">
        <v>3507</v>
      </c>
      <c r="G113" s="1228" t="s">
        <v>3503</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42" t="s">
        <v>2437</v>
      </c>
      <c r="B20" s="3945" t="s">
        <v>2447</v>
      </c>
      <c r="C20" s="3247" t="s">
        <v>2448</v>
      </c>
      <c r="D20" s="3248"/>
      <c r="E20" s="3249">
        <v>1</v>
      </c>
      <c r="F20" s="3250" t="s">
        <v>2449</v>
      </c>
      <c r="G20" s="1030"/>
      <c r="H20" s="1020"/>
      <c r="I20" s="1020"/>
    </row>
    <row r="21" spans="1:13" s="1403" customFormat="1">
      <c r="A21" s="3943"/>
      <c r="B21" s="3941"/>
      <c r="C21" s="3251" t="s">
        <v>2450</v>
      </c>
      <c r="D21" s="3252"/>
      <c r="E21" s="3253">
        <v>1</v>
      </c>
      <c r="F21" s="3250" t="s">
        <v>2451</v>
      </c>
      <c r="G21" s="1030"/>
      <c r="H21" s="1020"/>
      <c r="I21" s="1020"/>
    </row>
    <row r="22" spans="1:13" s="1403" customFormat="1">
      <c r="A22" s="3943"/>
      <c r="B22" s="3941"/>
      <c r="C22" s="3251" t="s">
        <v>2452</v>
      </c>
      <c r="D22" s="3252"/>
      <c r="E22" s="3253">
        <v>0.9</v>
      </c>
      <c r="F22" s="3250" t="s">
        <v>2453</v>
      </c>
      <c r="G22" s="1030"/>
      <c r="H22" s="1020"/>
      <c r="I22" s="1020"/>
    </row>
    <row r="23" spans="1:13" s="1403" customFormat="1">
      <c r="A23" s="3943"/>
      <c r="B23" s="3941"/>
      <c r="C23" s="3251" t="s">
        <v>2454</v>
      </c>
      <c r="D23" s="3252"/>
      <c r="E23" s="3253">
        <v>0.9</v>
      </c>
      <c r="F23" s="3250" t="s">
        <v>2455</v>
      </c>
      <c r="G23" s="1030"/>
      <c r="H23" s="1020"/>
      <c r="I23" s="1020"/>
    </row>
    <row r="24" spans="1:13" s="1403" customFormat="1">
      <c r="A24" s="3943"/>
      <c r="B24" s="3941"/>
      <c r="C24" s="3251" t="s">
        <v>2456</v>
      </c>
      <c r="D24" s="3252"/>
      <c r="E24" s="3253">
        <v>0.8</v>
      </c>
      <c r="F24" s="3250" t="s">
        <v>2457</v>
      </c>
      <c r="G24" s="1030"/>
      <c r="H24" s="1020"/>
      <c r="I24" s="1020"/>
    </row>
    <row r="25" spans="1:13" s="1403" customFormat="1" ht="14.25" thickBot="1">
      <c r="A25" s="3944"/>
      <c r="B25" s="3946"/>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7" t="s">
        <v>2442</v>
      </c>
      <c r="B27" s="3945" t="s">
        <v>2442</v>
      </c>
      <c r="C27" s="3247" t="s">
        <v>2462</v>
      </c>
      <c r="D27" s="3248"/>
      <c r="E27" s="3249">
        <v>1</v>
      </c>
      <c r="F27" s="3250" t="s">
        <v>2463</v>
      </c>
      <c r="G27" s="1030"/>
      <c r="H27" s="1020"/>
      <c r="I27" s="1020"/>
    </row>
    <row r="28" spans="1:13" s="1403" customFormat="1">
      <c r="A28" s="3948"/>
      <c r="B28" s="3941"/>
      <c r="C28" s="3251" t="s">
        <v>2464</v>
      </c>
      <c r="D28" s="3252"/>
      <c r="E28" s="3253">
        <v>1</v>
      </c>
      <c r="F28" s="3250" t="s">
        <v>2465</v>
      </c>
      <c r="G28" s="1030"/>
      <c r="H28" s="1020"/>
      <c r="I28" s="1020"/>
    </row>
    <row r="29" spans="1:13" s="1403" customFormat="1">
      <c r="A29" s="3948"/>
      <c r="B29" s="3941"/>
      <c r="C29" s="3251" t="s">
        <v>2466</v>
      </c>
      <c r="D29" s="3252"/>
      <c r="E29" s="3253">
        <v>0.8</v>
      </c>
      <c r="F29" s="3250" t="s">
        <v>2467</v>
      </c>
      <c r="G29" s="1030"/>
      <c r="H29" s="1020"/>
      <c r="I29" s="1020"/>
    </row>
    <row r="30" spans="1:13" s="1403" customFormat="1">
      <c r="A30" s="3948"/>
      <c r="B30" s="3941"/>
      <c r="C30" s="3251" t="s">
        <v>2468</v>
      </c>
      <c r="D30" s="3252"/>
      <c r="E30" s="3253">
        <v>0.8</v>
      </c>
      <c r="F30" s="3250" t="s">
        <v>2469</v>
      </c>
      <c r="G30" s="1030"/>
      <c r="H30" s="1020"/>
      <c r="I30" s="1020"/>
    </row>
    <row r="31" spans="1:13" s="1403" customFormat="1">
      <c r="A31" s="3948"/>
      <c r="B31" s="3941"/>
      <c r="C31" s="3251" t="s">
        <v>2470</v>
      </c>
      <c r="D31" s="3252"/>
      <c r="E31" s="3253">
        <v>0.8</v>
      </c>
      <c r="F31" s="3250" t="s">
        <v>2471</v>
      </c>
      <c r="G31" s="1030"/>
      <c r="H31" s="1020"/>
      <c r="I31" s="1020"/>
    </row>
    <row r="32" spans="1:13" s="1403" customFormat="1">
      <c r="A32" s="3948"/>
      <c r="B32" s="3941"/>
      <c r="C32" s="3251" t="s">
        <v>2472</v>
      </c>
      <c r="D32" s="3252"/>
      <c r="E32" s="3253">
        <v>0.7</v>
      </c>
      <c r="F32" s="3250" t="s">
        <v>2473</v>
      </c>
      <c r="G32" s="1030"/>
      <c r="H32" s="1020"/>
      <c r="I32" s="1020"/>
    </row>
    <row r="33" spans="1:9" s="1403" customFormat="1">
      <c r="A33" s="3948"/>
      <c r="B33" s="3941"/>
      <c r="C33" s="3251" t="s">
        <v>2474</v>
      </c>
      <c r="D33" s="3252"/>
      <c r="E33" s="3253">
        <v>0.8</v>
      </c>
      <c r="F33" s="3250" t="s">
        <v>2475</v>
      </c>
      <c r="G33" s="1030"/>
      <c r="H33" s="1020"/>
      <c r="I33" s="1020"/>
    </row>
    <row r="34" spans="1:9" s="1403" customFormat="1">
      <c r="A34" s="3948"/>
      <c r="B34" s="3941"/>
      <c r="C34" s="3251" t="s">
        <v>2476</v>
      </c>
      <c r="D34" s="3252"/>
      <c r="E34" s="3253">
        <v>0.6</v>
      </c>
      <c r="F34" s="3250" t="s">
        <v>2477</v>
      </c>
      <c r="G34" s="1030"/>
      <c r="H34" s="1020"/>
      <c r="I34" s="1020"/>
    </row>
    <row r="35" spans="1:9" s="1403" customFormat="1">
      <c r="A35" s="3948"/>
      <c r="B35" s="3941"/>
      <c r="C35" s="3251" t="s">
        <v>2478</v>
      </c>
      <c r="D35" s="3252"/>
      <c r="E35" s="3253">
        <v>0.2</v>
      </c>
      <c r="F35" s="3250" t="s">
        <v>2479</v>
      </c>
      <c r="G35" s="1030"/>
      <c r="H35" s="1020"/>
      <c r="I35" s="1020"/>
    </row>
    <row r="36" spans="1:9" s="1403" customFormat="1">
      <c r="A36" s="3948"/>
      <c r="B36" s="3941"/>
      <c r="C36" s="3251" t="s">
        <v>2480</v>
      </c>
      <c r="D36" s="3252"/>
      <c r="E36" s="3253">
        <v>0.2</v>
      </c>
      <c r="F36" s="3250" t="s">
        <v>2481</v>
      </c>
      <c r="G36" s="1030"/>
      <c r="H36" s="1020"/>
      <c r="I36" s="1020"/>
    </row>
    <row r="37" spans="1:9" s="1403" customFormat="1">
      <c r="A37" s="3948"/>
      <c r="B37" s="3939" t="s">
        <v>2482</v>
      </c>
      <c r="C37" s="3251" t="s">
        <v>2483</v>
      </c>
      <c r="D37" s="3252"/>
      <c r="E37" s="3253">
        <v>0.6</v>
      </c>
      <c r="F37" s="3250" t="s">
        <v>2484</v>
      </c>
      <c r="G37" s="1030"/>
      <c r="H37" s="1020"/>
      <c r="I37" s="1020"/>
    </row>
    <row r="38" spans="1:9" s="1403" customFormat="1">
      <c r="A38" s="3948"/>
      <c r="B38" s="3941"/>
      <c r="C38" s="3251" t="s">
        <v>2485</v>
      </c>
      <c r="D38" s="3252"/>
      <c r="E38" s="3253">
        <v>0.6</v>
      </c>
      <c r="F38" s="3250" t="s">
        <v>2486</v>
      </c>
      <c r="G38" s="1030"/>
      <c r="H38" s="1020"/>
      <c r="I38" s="1020"/>
    </row>
    <row r="39" spans="1:9" s="1403" customFormat="1" ht="14.25" thickBot="1">
      <c r="A39" s="3949"/>
      <c r="B39" s="3946"/>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42" t="s">
        <v>2440</v>
      </c>
      <c r="B41" s="3945" t="s">
        <v>2491</v>
      </c>
      <c r="C41" s="3247" t="s">
        <v>2492</v>
      </c>
      <c r="D41" s="3248"/>
      <c r="E41" s="3249">
        <v>1</v>
      </c>
      <c r="F41" s="3250" t="s">
        <v>2493</v>
      </c>
      <c r="G41" s="1030"/>
      <c r="H41" s="1020"/>
      <c r="I41" s="1020"/>
    </row>
    <row r="42" spans="1:9" s="1403" customFormat="1">
      <c r="A42" s="3943"/>
      <c r="B42" s="3941"/>
      <c r="C42" s="3251" t="s">
        <v>2494</v>
      </c>
      <c r="D42" s="3252"/>
      <c r="E42" s="3253">
        <v>1</v>
      </c>
      <c r="F42" s="3250" t="s">
        <v>2495</v>
      </c>
      <c r="G42" s="1030"/>
      <c r="H42" s="1020"/>
      <c r="I42" s="1020"/>
    </row>
    <row r="43" spans="1:9" s="1403" customFormat="1">
      <c r="A43" s="3943"/>
      <c r="B43" s="3940"/>
      <c r="C43" s="3251" t="s">
        <v>2496</v>
      </c>
      <c r="D43" s="3252"/>
      <c r="E43" s="3253">
        <v>1.5</v>
      </c>
      <c r="F43" s="3250" t="s">
        <v>2497</v>
      </c>
      <c r="G43" s="1030"/>
      <c r="H43" s="1020"/>
      <c r="I43" s="1020"/>
    </row>
    <row r="44" spans="1:9" s="1403" customFormat="1">
      <c r="A44" s="3943"/>
      <c r="B44" s="3262" t="s">
        <v>2442</v>
      </c>
      <c r="C44" s="3251" t="s">
        <v>2441</v>
      </c>
      <c r="D44" s="3252"/>
      <c r="E44" s="3253">
        <v>2</v>
      </c>
      <c r="F44" s="3250" t="s">
        <v>2498</v>
      </c>
      <c r="G44" s="1030"/>
      <c r="H44" s="1020"/>
      <c r="I44" s="1020"/>
    </row>
    <row r="45" spans="1:9" s="1403" customFormat="1">
      <c r="A45" s="3943"/>
      <c r="B45" s="3939" t="s">
        <v>2499</v>
      </c>
      <c r="C45" s="3251" t="s">
        <v>2500</v>
      </c>
      <c r="D45" s="3252"/>
      <c r="E45" s="3253">
        <v>1</v>
      </c>
      <c r="F45" s="3250" t="s">
        <v>2501</v>
      </c>
      <c r="G45" s="1030"/>
      <c r="H45" s="1020"/>
      <c r="I45" s="1020"/>
    </row>
    <row r="46" spans="1:9" s="1403" customFormat="1">
      <c r="A46" s="3943"/>
      <c r="B46" s="3941"/>
      <c r="C46" s="3251" t="s">
        <v>2502</v>
      </c>
      <c r="D46" s="3252"/>
      <c r="E46" s="3253">
        <v>1</v>
      </c>
      <c r="F46" s="3250" t="s">
        <v>2503</v>
      </c>
      <c r="G46" s="1030"/>
      <c r="H46" s="1020"/>
      <c r="I46" s="1020"/>
    </row>
    <row r="47" spans="1:9" s="1403" customFormat="1">
      <c r="A47" s="3943"/>
      <c r="B47" s="3941"/>
      <c r="C47" s="3251" t="s">
        <v>2504</v>
      </c>
      <c r="D47" s="3252"/>
      <c r="E47" s="3253">
        <v>1</v>
      </c>
      <c r="F47" s="3250" t="s">
        <v>2505</v>
      </c>
      <c r="G47" s="1030"/>
      <c r="H47" s="1020"/>
      <c r="I47" s="1020"/>
    </row>
    <row r="48" spans="1:9" s="1403" customFormat="1">
      <c r="A48" s="3943"/>
      <c r="B48" s="3941"/>
      <c r="C48" s="3251" t="s">
        <v>2506</v>
      </c>
      <c r="D48" s="3252"/>
      <c r="E48" s="3253">
        <v>1</v>
      </c>
      <c r="F48" s="3250" t="s">
        <v>2507</v>
      </c>
      <c r="G48" s="1030"/>
      <c r="H48" s="1020"/>
      <c r="I48" s="1020"/>
    </row>
    <row r="49" spans="1:9" s="1403" customFormat="1">
      <c r="A49" s="3943"/>
      <c r="B49" s="3941"/>
      <c r="C49" s="3251" t="s">
        <v>2508</v>
      </c>
      <c r="D49" s="3252"/>
      <c r="E49" s="3253">
        <v>1</v>
      </c>
      <c r="F49" s="3250" t="s">
        <v>2509</v>
      </c>
      <c r="G49" s="1030"/>
      <c r="H49" s="1020"/>
      <c r="I49" s="1020"/>
    </row>
    <row r="50" spans="1:9" s="1403" customFormat="1">
      <c r="A50" s="3943"/>
      <c r="B50" s="3941"/>
      <c r="C50" s="3251" t="s">
        <v>2510</v>
      </c>
      <c r="D50" s="3252"/>
      <c r="E50" s="3253">
        <v>1</v>
      </c>
      <c r="F50" s="3250" t="s">
        <v>2511</v>
      </c>
      <c r="G50" s="1030"/>
      <c r="H50" s="1020"/>
      <c r="I50" s="1020"/>
    </row>
    <row r="51" spans="1:9" s="1403" customFormat="1" ht="14.25" thickBot="1">
      <c r="A51" s="3944"/>
      <c r="B51" s="3946"/>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39" t="s">
        <v>2515</v>
      </c>
      <c r="C73" s="3240" t="s">
        <v>2516</v>
      </c>
      <c r="D73" s="3240" t="s">
        <v>2517</v>
      </c>
      <c r="E73" s="3263">
        <v>0.2</v>
      </c>
      <c r="F73" s="3262">
        <v>25</v>
      </c>
      <c r="H73" s="1020">
        <f>SUMIF(C71:C139,基准地价!C8,E71:E139)</f>
        <v>0</v>
      </c>
    </row>
    <row r="74" spans="1:8" s="1020" customFormat="1" ht="24">
      <c r="A74" s="3262">
        <v>2</v>
      </c>
      <c r="B74" s="3941"/>
      <c r="C74" s="3240" t="s">
        <v>2518</v>
      </c>
      <c r="D74" s="3240" t="s">
        <v>2519</v>
      </c>
      <c r="E74" s="3263">
        <v>0.2</v>
      </c>
      <c r="F74" s="3262">
        <v>25</v>
      </c>
    </row>
    <row r="75" spans="1:8" s="1020" customFormat="1" ht="24">
      <c r="A75" s="3262">
        <v>3</v>
      </c>
      <c r="B75" s="3941"/>
      <c r="C75" s="3240" t="s">
        <v>2520</v>
      </c>
      <c r="D75" s="3240" t="s">
        <v>2521</v>
      </c>
      <c r="E75" s="3263">
        <v>0.2</v>
      </c>
      <c r="F75" s="3262">
        <v>25</v>
      </c>
    </row>
    <row r="76" spans="1:8" s="1020" customFormat="1">
      <c r="A76" s="3262">
        <v>4</v>
      </c>
      <c r="B76" s="3941"/>
      <c r="C76" s="3240" t="s">
        <v>2522</v>
      </c>
      <c r="D76" s="3240" t="s">
        <v>2523</v>
      </c>
      <c r="E76" s="3263">
        <v>0.15</v>
      </c>
      <c r="F76" s="3262">
        <v>20</v>
      </c>
    </row>
    <row r="77" spans="1:8" s="1020" customFormat="1" ht="24">
      <c r="A77" s="3262">
        <v>5</v>
      </c>
      <c r="B77" s="3941"/>
      <c r="C77" s="3240" t="s">
        <v>2524</v>
      </c>
      <c r="D77" s="3240" t="s">
        <v>2525</v>
      </c>
      <c r="E77" s="3263">
        <v>0.15</v>
      </c>
      <c r="F77" s="3262">
        <v>20</v>
      </c>
    </row>
    <row r="78" spans="1:8" s="1020" customFormat="1" ht="24">
      <c r="A78" s="3262">
        <v>6</v>
      </c>
      <c r="B78" s="3941"/>
      <c r="C78" s="3240" t="s">
        <v>2526</v>
      </c>
      <c r="D78" s="3240" t="s">
        <v>2527</v>
      </c>
      <c r="E78" s="3263">
        <v>0.15</v>
      </c>
      <c r="F78" s="3262">
        <v>20</v>
      </c>
    </row>
    <row r="79" spans="1:8" s="1020" customFormat="1" ht="24">
      <c r="A79" s="3262">
        <v>7</v>
      </c>
      <c r="B79" s="3941"/>
      <c r="C79" s="3240" t="s">
        <v>2528</v>
      </c>
      <c r="D79" s="3240" t="s">
        <v>2529</v>
      </c>
      <c r="E79" s="3263">
        <v>0.15</v>
      </c>
      <c r="F79" s="3262">
        <v>20</v>
      </c>
    </row>
    <row r="80" spans="1:8" s="1020" customFormat="1" ht="24">
      <c r="A80" s="3262">
        <v>8</v>
      </c>
      <c r="B80" s="3941"/>
      <c r="C80" s="3240" t="s">
        <v>2530</v>
      </c>
      <c r="D80" s="3240" t="s">
        <v>2531</v>
      </c>
      <c r="E80" s="3263">
        <v>0.1</v>
      </c>
      <c r="F80" s="3262">
        <v>15</v>
      </c>
    </row>
    <row r="81" spans="1:6" s="1020" customFormat="1" ht="24">
      <c r="A81" s="3262">
        <v>9</v>
      </c>
      <c r="B81" s="3941"/>
      <c r="C81" s="3240" t="s">
        <v>2532</v>
      </c>
      <c r="D81" s="3240" t="s">
        <v>2533</v>
      </c>
      <c r="E81" s="3263">
        <v>0.1</v>
      </c>
      <c r="F81" s="3262">
        <v>15</v>
      </c>
    </row>
    <row r="82" spans="1:6" s="1020" customFormat="1" ht="24">
      <c r="A82" s="3262">
        <v>10</v>
      </c>
      <c r="B82" s="3941"/>
      <c r="C82" s="3240" t="s">
        <v>2534</v>
      </c>
      <c r="D82" s="3240" t="s">
        <v>2535</v>
      </c>
      <c r="E82" s="3263">
        <v>0.1</v>
      </c>
      <c r="F82" s="3262">
        <v>15</v>
      </c>
    </row>
    <row r="83" spans="1:6" s="1020" customFormat="1" ht="24">
      <c r="A83" s="3262">
        <v>11</v>
      </c>
      <c r="B83" s="3941"/>
      <c r="C83" s="3240" t="s">
        <v>2536</v>
      </c>
      <c r="D83" s="3240" t="s">
        <v>2537</v>
      </c>
      <c r="E83" s="3263">
        <v>0.1</v>
      </c>
      <c r="F83" s="3262">
        <v>15</v>
      </c>
    </row>
    <row r="84" spans="1:6" s="1020" customFormat="1" ht="24">
      <c r="A84" s="3262">
        <v>12</v>
      </c>
      <c r="B84" s="3941"/>
      <c r="C84" s="3240" t="s">
        <v>2538</v>
      </c>
      <c r="D84" s="3240" t="s">
        <v>2539</v>
      </c>
      <c r="E84" s="3263">
        <v>0.1</v>
      </c>
      <c r="F84" s="3262">
        <v>15</v>
      </c>
    </row>
    <row r="85" spans="1:6" s="1020" customFormat="1">
      <c r="A85" s="3262">
        <v>13</v>
      </c>
      <c r="B85" s="3941"/>
      <c r="C85" s="3240" t="s">
        <v>2540</v>
      </c>
      <c r="D85" s="3240" t="s">
        <v>2541</v>
      </c>
      <c r="E85" s="3263">
        <v>0.1</v>
      </c>
      <c r="F85" s="3262">
        <v>15</v>
      </c>
    </row>
    <row r="86" spans="1:6" s="1020" customFormat="1">
      <c r="A86" s="3262">
        <v>14</v>
      </c>
      <c r="B86" s="3941"/>
      <c r="C86" s="3240" t="s">
        <v>2542</v>
      </c>
      <c r="D86" s="3240" t="s">
        <v>2543</v>
      </c>
      <c r="E86" s="3263">
        <v>0.1</v>
      </c>
      <c r="F86" s="3262">
        <v>15</v>
      </c>
    </row>
    <row r="87" spans="1:6" s="1020" customFormat="1">
      <c r="A87" s="3262">
        <v>15</v>
      </c>
      <c r="B87" s="3941"/>
      <c r="C87" s="3240" t="s">
        <v>2544</v>
      </c>
      <c r="D87" s="3240" t="s">
        <v>2545</v>
      </c>
      <c r="E87" s="3263">
        <v>0.1</v>
      </c>
      <c r="F87" s="3262">
        <v>15</v>
      </c>
    </row>
    <row r="88" spans="1:6" s="1020" customFormat="1" ht="24">
      <c r="A88" s="3262">
        <v>16</v>
      </c>
      <c r="B88" s="3941"/>
      <c r="C88" s="3240" t="s">
        <v>2546</v>
      </c>
      <c r="D88" s="3240" t="s">
        <v>2547</v>
      </c>
      <c r="E88" s="3263">
        <v>0.1</v>
      </c>
      <c r="F88" s="3262">
        <v>15</v>
      </c>
    </row>
    <row r="89" spans="1:6" s="1020" customFormat="1" ht="24">
      <c r="A89" s="3262">
        <v>17</v>
      </c>
      <c r="B89" s="3940"/>
      <c r="C89" s="3240" t="s">
        <v>2548</v>
      </c>
      <c r="D89" s="3240" t="s">
        <v>2549</v>
      </c>
      <c r="E89" s="3263">
        <v>0.1</v>
      </c>
      <c r="F89" s="3262">
        <v>15</v>
      </c>
    </row>
    <row r="90" spans="1:6" s="1020" customFormat="1">
      <c r="A90" s="3262">
        <v>18</v>
      </c>
      <c r="B90" s="3939" t="s">
        <v>2550</v>
      </c>
      <c r="C90" s="3240" t="s">
        <v>2551</v>
      </c>
      <c r="D90" s="3240" t="s">
        <v>2552</v>
      </c>
      <c r="E90" s="3263">
        <v>0.2</v>
      </c>
      <c r="F90" s="3262">
        <v>25</v>
      </c>
    </row>
    <row r="91" spans="1:6" s="1020" customFormat="1" ht="24">
      <c r="A91" s="3262">
        <v>19</v>
      </c>
      <c r="B91" s="3941"/>
      <c r="C91" s="3240" t="s">
        <v>2553</v>
      </c>
      <c r="D91" s="3240" t="s">
        <v>2554</v>
      </c>
      <c r="E91" s="3263">
        <v>0.2</v>
      </c>
      <c r="F91" s="3262">
        <v>25</v>
      </c>
    </row>
    <row r="92" spans="1:6" s="1020" customFormat="1">
      <c r="A92" s="3262">
        <v>20</v>
      </c>
      <c r="B92" s="3941"/>
      <c r="C92" s="3240" t="s">
        <v>2555</v>
      </c>
      <c r="D92" s="3240" t="s">
        <v>2556</v>
      </c>
      <c r="E92" s="3263">
        <v>0.15</v>
      </c>
      <c r="F92" s="3262">
        <v>20</v>
      </c>
    </row>
    <row r="93" spans="1:6" s="1020" customFormat="1" ht="24">
      <c r="A93" s="3262">
        <v>21</v>
      </c>
      <c r="B93" s="3941"/>
      <c r="C93" s="3240" t="s">
        <v>2557</v>
      </c>
      <c r="D93" s="3240" t="s">
        <v>2558</v>
      </c>
      <c r="E93" s="3263">
        <v>0.15</v>
      </c>
      <c r="F93" s="3262">
        <v>20</v>
      </c>
    </row>
    <row r="94" spans="1:6" s="1020" customFormat="1" ht="24">
      <c r="A94" s="3262">
        <v>22</v>
      </c>
      <c r="B94" s="3941"/>
      <c r="C94" s="3240" t="s">
        <v>2559</v>
      </c>
      <c r="D94" s="3240" t="s">
        <v>2560</v>
      </c>
      <c r="E94" s="3263">
        <v>0.15</v>
      </c>
      <c r="F94" s="3262">
        <v>20</v>
      </c>
    </row>
    <row r="95" spans="1:6" s="1020" customFormat="1" ht="36">
      <c r="A95" s="3262">
        <v>23</v>
      </c>
      <c r="B95" s="3941"/>
      <c r="C95" s="3240" t="s">
        <v>2561</v>
      </c>
      <c r="D95" s="3240" t="s">
        <v>2562</v>
      </c>
      <c r="E95" s="3263">
        <v>0.15</v>
      </c>
      <c r="F95" s="3262">
        <v>20</v>
      </c>
    </row>
    <row r="96" spans="1:6" s="1020" customFormat="1">
      <c r="A96" s="3262">
        <v>24</v>
      </c>
      <c r="B96" s="3941"/>
      <c r="C96" s="3240" t="s">
        <v>2563</v>
      </c>
      <c r="D96" s="3240" t="s">
        <v>2564</v>
      </c>
      <c r="E96" s="3263">
        <v>0.1</v>
      </c>
      <c r="F96" s="3262">
        <v>15</v>
      </c>
    </row>
    <row r="97" spans="1:6" s="1020" customFormat="1" ht="24">
      <c r="A97" s="3262">
        <v>25</v>
      </c>
      <c r="B97" s="3941"/>
      <c r="C97" s="3240" t="s">
        <v>2565</v>
      </c>
      <c r="D97" s="3240" t="s">
        <v>2566</v>
      </c>
      <c r="E97" s="3263">
        <v>0.1</v>
      </c>
      <c r="F97" s="3262">
        <v>15</v>
      </c>
    </row>
    <row r="98" spans="1:6" s="1020" customFormat="1" ht="24">
      <c r="A98" s="3262">
        <v>26</v>
      </c>
      <c r="B98" s="3941"/>
      <c r="C98" s="3240" t="s">
        <v>2567</v>
      </c>
      <c r="D98" s="3240" t="s">
        <v>2568</v>
      </c>
      <c r="E98" s="3263">
        <v>0.1</v>
      </c>
      <c r="F98" s="3262">
        <v>15</v>
      </c>
    </row>
    <row r="99" spans="1:6" s="1020" customFormat="1" ht="24">
      <c r="A99" s="3262">
        <v>27</v>
      </c>
      <c r="B99" s="3941"/>
      <c r="C99" s="3240" t="s">
        <v>2569</v>
      </c>
      <c r="D99" s="3240" t="s">
        <v>2570</v>
      </c>
      <c r="E99" s="3263">
        <v>0.1</v>
      </c>
      <c r="F99" s="3262">
        <v>15</v>
      </c>
    </row>
    <row r="100" spans="1:6" s="1020" customFormat="1" ht="24">
      <c r="A100" s="3262">
        <v>28</v>
      </c>
      <c r="B100" s="3941"/>
      <c r="C100" s="3240" t="s">
        <v>2571</v>
      </c>
      <c r="D100" s="3240" t="s">
        <v>2572</v>
      </c>
      <c r="E100" s="3263">
        <v>0.1</v>
      </c>
      <c r="F100" s="3262">
        <v>15</v>
      </c>
    </row>
    <row r="101" spans="1:6" s="1020" customFormat="1" ht="24">
      <c r="A101" s="3262">
        <v>29</v>
      </c>
      <c r="B101" s="3941"/>
      <c r="C101" s="3240" t="s">
        <v>2573</v>
      </c>
      <c r="D101" s="3240" t="s">
        <v>2574</v>
      </c>
      <c r="E101" s="3263">
        <v>0.1</v>
      </c>
      <c r="F101" s="3262">
        <v>15</v>
      </c>
    </row>
    <row r="102" spans="1:6" s="1020" customFormat="1" ht="24">
      <c r="A102" s="3262">
        <v>30</v>
      </c>
      <c r="B102" s="3941"/>
      <c r="C102" s="3240" t="s">
        <v>2575</v>
      </c>
      <c r="D102" s="3240" t="s">
        <v>2576</v>
      </c>
      <c r="E102" s="3263">
        <v>0.1</v>
      </c>
      <c r="F102" s="3262">
        <v>15</v>
      </c>
    </row>
    <row r="103" spans="1:6" s="1020" customFormat="1" ht="24">
      <c r="A103" s="3262">
        <v>31</v>
      </c>
      <c r="B103" s="3941"/>
      <c r="C103" s="3240" t="s">
        <v>2577</v>
      </c>
      <c r="D103" s="3240" t="s">
        <v>2578</v>
      </c>
      <c r="E103" s="3263">
        <v>0.1</v>
      </c>
      <c r="F103" s="3262">
        <v>15</v>
      </c>
    </row>
    <row r="104" spans="1:6" s="1020" customFormat="1" ht="24">
      <c r="A104" s="3262">
        <v>32</v>
      </c>
      <c r="B104" s="3941"/>
      <c r="C104" s="3240" t="s">
        <v>2579</v>
      </c>
      <c r="D104" s="3240" t="s">
        <v>2580</v>
      </c>
      <c r="E104" s="3263">
        <v>0.1</v>
      </c>
      <c r="F104" s="3262">
        <v>15</v>
      </c>
    </row>
    <row r="105" spans="1:6" s="1020" customFormat="1" ht="24">
      <c r="A105" s="3262">
        <v>33</v>
      </c>
      <c r="B105" s="3941"/>
      <c r="C105" s="3240" t="s">
        <v>2581</v>
      </c>
      <c r="D105" s="3240" t="s">
        <v>2582</v>
      </c>
      <c r="E105" s="3263">
        <v>0.1</v>
      </c>
      <c r="F105" s="3262">
        <v>15</v>
      </c>
    </row>
    <row r="106" spans="1:6" s="1020" customFormat="1" ht="24">
      <c r="A106" s="3262">
        <v>34</v>
      </c>
      <c r="B106" s="3940"/>
      <c r="C106" s="3240" t="s">
        <v>2583</v>
      </c>
      <c r="D106" s="3240" t="s">
        <v>2584</v>
      </c>
      <c r="E106" s="3263">
        <v>0.1</v>
      </c>
      <c r="F106" s="3262">
        <v>15</v>
      </c>
    </row>
    <row r="107" spans="1:6" s="1020" customFormat="1" ht="24">
      <c r="A107" s="3262">
        <v>35</v>
      </c>
      <c r="B107" s="3939" t="s">
        <v>2585</v>
      </c>
      <c r="C107" s="3262" t="s">
        <v>2586</v>
      </c>
      <c r="D107" s="3240" t="s">
        <v>2587</v>
      </c>
      <c r="E107" s="3263">
        <v>0.15</v>
      </c>
      <c r="F107" s="3262">
        <v>20</v>
      </c>
    </row>
    <row r="108" spans="1:6" s="1020" customFormat="1" ht="24">
      <c r="A108" s="3262">
        <v>36</v>
      </c>
      <c r="B108" s="3941"/>
      <c r="C108" s="3262" t="s">
        <v>2588</v>
      </c>
      <c r="D108" s="3240" t="s">
        <v>2589</v>
      </c>
      <c r="E108" s="3263">
        <v>0.15</v>
      </c>
      <c r="F108" s="3262">
        <v>20</v>
      </c>
    </row>
    <row r="109" spans="1:6" s="1020" customFormat="1" ht="24">
      <c r="A109" s="3262">
        <v>37</v>
      </c>
      <c r="B109" s="3941"/>
      <c r="C109" s="3262" t="s">
        <v>2590</v>
      </c>
      <c r="D109" s="3240" t="s">
        <v>2591</v>
      </c>
      <c r="E109" s="3263">
        <v>0.15</v>
      </c>
      <c r="F109" s="3262">
        <v>20</v>
      </c>
    </row>
    <row r="110" spans="1:6" s="1020" customFormat="1">
      <c r="A110" s="3262">
        <v>38</v>
      </c>
      <c r="B110" s="3941"/>
      <c r="C110" s="3262" t="s">
        <v>2592</v>
      </c>
      <c r="D110" s="3240" t="s">
        <v>2593</v>
      </c>
      <c r="E110" s="3263">
        <v>0.1</v>
      </c>
      <c r="F110" s="3262">
        <v>15</v>
      </c>
    </row>
    <row r="111" spans="1:6" s="1020" customFormat="1" ht="24">
      <c r="A111" s="3262">
        <v>39</v>
      </c>
      <c r="B111" s="3941"/>
      <c r="C111" s="3262" t="s">
        <v>2594</v>
      </c>
      <c r="D111" s="3240" t="s">
        <v>2595</v>
      </c>
      <c r="E111" s="3263">
        <v>0.1</v>
      </c>
      <c r="F111" s="3262">
        <v>15</v>
      </c>
    </row>
    <row r="112" spans="1:6" s="1020" customFormat="1" ht="24">
      <c r="A112" s="3262">
        <v>40</v>
      </c>
      <c r="B112" s="3940"/>
      <c r="C112" s="3262" t="s">
        <v>2596</v>
      </c>
      <c r="D112" s="3240" t="s">
        <v>2597</v>
      </c>
      <c r="E112" s="3263">
        <v>0.1</v>
      </c>
      <c r="F112" s="3262">
        <v>15</v>
      </c>
    </row>
    <row r="113" spans="1:6" s="1020" customFormat="1" ht="24">
      <c r="A113" s="3262">
        <v>41</v>
      </c>
      <c r="B113" s="3938" t="s">
        <v>2598</v>
      </c>
      <c r="C113" s="3262" t="s">
        <v>2599</v>
      </c>
      <c r="D113" s="3240" t="s">
        <v>2600</v>
      </c>
      <c r="E113" s="3263">
        <v>0.1</v>
      </c>
      <c r="F113" s="3262">
        <v>15</v>
      </c>
    </row>
    <row r="114" spans="1:6" s="1020" customFormat="1">
      <c r="A114" s="3262">
        <v>42</v>
      </c>
      <c r="B114" s="3938"/>
      <c r="C114" s="3262" t="s">
        <v>2601</v>
      </c>
      <c r="D114" s="3240" t="s">
        <v>2602</v>
      </c>
      <c r="E114" s="3263">
        <v>0.1</v>
      </c>
      <c r="F114" s="3262">
        <v>15</v>
      </c>
    </row>
    <row r="115" spans="1:6" s="1020" customFormat="1" ht="24">
      <c r="A115" s="3262">
        <v>43</v>
      </c>
      <c r="B115" s="3938"/>
      <c r="C115" s="3262" t="s">
        <v>2603</v>
      </c>
      <c r="D115" s="3240" t="s">
        <v>2604</v>
      </c>
      <c r="E115" s="3263">
        <v>0.1</v>
      </c>
      <c r="F115" s="3262">
        <v>15</v>
      </c>
    </row>
    <row r="116" spans="1:6" s="1020" customFormat="1" ht="24">
      <c r="A116" s="3262">
        <v>44</v>
      </c>
      <c r="B116" s="3939" t="s">
        <v>2605</v>
      </c>
      <c r="C116" s="3262" t="s">
        <v>2606</v>
      </c>
      <c r="D116" s="3240" t="s">
        <v>2607</v>
      </c>
      <c r="E116" s="3263">
        <v>0.1</v>
      </c>
      <c r="F116" s="3262">
        <v>15</v>
      </c>
    </row>
    <row r="117" spans="1:6" s="1020" customFormat="1" ht="24">
      <c r="A117" s="3262">
        <v>45</v>
      </c>
      <c r="B117" s="3940"/>
      <c r="C117" s="3240" t="s">
        <v>2608</v>
      </c>
      <c r="D117" s="3240" t="s">
        <v>2609</v>
      </c>
      <c r="E117" s="3263">
        <v>0.1</v>
      </c>
      <c r="F117" s="3262">
        <v>15</v>
      </c>
    </row>
    <row r="118" spans="1:6" s="1020" customFormat="1" ht="24">
      <c r="A118" s="3262">
        <v>46</v>
      </c>
      <c r="B118" s="3939" t="s">
        <v>2610</v>
      </c>
      <c r="C118" s="3262" t="s">
        <v>2611</v>
      </c>
      <c r="D118" s="3240" t="s">
        <v>2612</v>
      </c>
      <c r="E118" s="3263">
        <v>0.1</v>
      </c>
      <c r="F118" s="3262">
        <v>15</v>
      </c>
    </row>
    <row r="119" spans="1:6" s="1020" customFormat="1" ht="24">
      <c r="A119" s="3262">
        <v>47</v>
      </c>
      <c r="B119" s="3940"/>
      <c r="C119" s="3262" t="s">
        <v>2613</v>
      </c>
      <c r="D119" s="3240" t="s">
        <v>2614</v>
      </c>
      <c r="E119" s="3263">
        <v>0.1</v>
      </c>
      <c r="F119" s="3262">
        <v>15</v>
      </c>
    </row>
    <row r="120" spans="1:6" s="1020" customFormat="1" ht="24">
      <c r="A120" s="3262">
        <v>48</v>
      </c>
      <c r="B120" s="3939" t="s">
        <v>2615</v>
      </c>
      <c r="C120" s="3262" t="s">
        <v>2616</v>
      </c>
      <c r="D120" s="3240" t="s">
        <v>2617</v>
      </c>
      <c r="E120" s="3263">
        <v>0.1</v>
      </c>
      <c r="F120" s="3262">
        <v>15</v>
      </c>
    </row>
    <row r="121" spans="1:6" s="1020" customFormat="1">
      <c r="A121" s="3262">
        <v>49</v>
      </c>
      <c r="B121" s="3940"/>
      <c r="C121" s="3262" t="s">
        <v>2618</v>
      </c>
      <c r="D121" s="3240" t="s">
        <v>2619</v>
      </c>
      <c r="E121" s="3263">
        <v>0.1</v>
      </c>
      <c r="F121" s="3262">
        <v>15</v>
      </c>
    </row>
    <row r="122" spans="1:6" s="1020" customFormat="1" ht="24">
      <c r="A122" s="3262">
        <v>50</v>
      </c>
      <c r="B122" s="3938" t="s">
        <v>2620</v>
      </c>
      <c r="C122" s="3262" t="s">
        <v>2621</v>
      </c>
      <c r="D122" s="3240" t="s">
        <v>2622</v>
      </c>
      <c r="E122" s="3263">
        <v>0.1</v>
      </c>
      <c r="F122" s="3262">
        <v>15</v>
      </c>
    </row>
    <row r="123" spans="1:6" s="1020" customFormat="1" ht="24">
      <c r="A123" s="3262">
        <v>51</v>
      </c>
      <c r="B123" s="3938"/>
      <c r="C123" s="3262" t="s">
        <v>2623</v>
      </c>
      <c r="D123" s="3240" t="s">
        <v>2624</v>
      </c>
      <c r="E123" s="3263">
        <v>0.1</v>
      </c>
      <c r="F123" s="3262">
        <v>15</v>
      </c>
    </row>
    <row r="124" spans="1:6" s="1020" customFormat="1" ht="24">
      <c r="A124" s="3262">
        <v>52</v>
      </c>
      <c r="B124" s="3938" t="s">
        <v>2625</v>
      </c>
      <c r="C124" s="3262" t="s">
        <v>2626</v>
      </c>
      <c r="D124" s="3240" t="s">
        <v>2627</v>
      </c>
      <c r="E124" s="3263">
        <v>0.1</v>
      </c>
      <c r="F124" s="3262">
        <v>15</v>
      </c>
    </row>
    <row r="125" spans="1:6" s="1020" customFormat="1" ht="24">
      <c r="A125" s="3262">
        <v>53</v>
      </c>
      <c r="B125" s="3938"/>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38" t="s">
        <v>2633</v>
      </c>
      <c r="C127" s="3262" t="s">
        <v>2634</v>
      </c>
      <c r="D127" s="3240" t="s">
        <v>2635</v>
      </c>
      <c r="E127" s="3263">
        <v>0.1</v>
      </c>
      <c r="F127" s="3262">
        <v>15</v>
      </c>
    </row>
    <row r="128" spans="1:6">
      <c r="A128" s="3262">
        <v>56</v>
      </c>
      <c r="B128" s="3938"/>
      <c r="C128" s="3262" t="s">
        <v>2636</v>
      </c>
      <c r="D128" s="3240" t="s">
        <v>2637</v>
      </c>
      <c r="E128" s="3263">
        <v>0.1</v>
      </c>
      <c r="F128" s="3262">
        <v>15</v>
      </c>
    </row>
    <row r="129" spans="1:14" ht="24">
      <c r="A129" s="3262">
        <v>57</v>
      </c>
      <c r="B129" s="3938"/>
      <c r="C129" s="3262" t="s">
        <v>2638</v>
      </c>
      <c r="D129" s="3240" t="s">
        <v>2639</v>
      </c>
      <c r="E129" s="3263">
        <v>0.1</v>
      </c>
      <c r="F129" s="3262">
        <v>15</v>
      </c>
    </row>
    <row r="130" spans="1:14" ht="24">
      <c r="A130" s="3262">
        <v>58</v>
      </c>
      <c r="B130" s="3938" t="s">
        <v>2640</v>
      </c>
      <c r="C130" s="3262" t="s">
        <v>2641</v>
      </c>
      <c r="D130" s="3240" t="s">
        <v>2642</v>
      </c>
      <c r="E130" s="3263">
        <v>0.1</v>
      </c>
      <c r="F130" s="3262">
        <v>15</v>
      </c>
    </row>
    <row r="131" spans="1:14" ht="24">
      <c r="A131" s="3262">
        <v>59</v>
      </c>
      <c r="B131" s="3938"/>
      <c r="C131" s="3262" t="s">
        <v>2643</v>
      </c>
      <c r="D131" s="3240" t="s">
        <v>2644</v>
      </c>
      <c r="E131" s="3263">
        <v>0.1</v>
      </c>
      <c r="F131" s="3262">
        <v>15</v>
      </c>
    </row>
    <row r="132" spans="1:14" ht="24">
      <c r="A132" s="3262">
        <v>60</v>
      </c>
      <c r="B132" s="3939" t="s">
        <v>2645</v>
      </c>
      <c r="C132" s="3262" t="s">
        <v>2646</v>
      </c>
      <c r="D132" s="3240" t="s">
        <v>2647</v>
      </c>
      <c r="E132" s="3263">
        <v>0.1</v>
      </c>
      <c r="F132" s="3262">
        <v>15</v>
      </c>
    </row>
    <row r="133" spans="1:14" ht="24">
      <c r="A133" s="3262">
        <v>61</v>
      </c>
      <c r="B133" s="3940"/>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38" t="s">
        <v>2653</v>
      </c>
      <c r="C135" s="3262" t="s">
        <v>2654</v>
      </c>
      <c r="D135" s="3240" t="s">
        <v>2655</v>
      </c>
      <c r="E135" s="3263">
        <v>0.1</v>
      </c>
      <c r="F135" s="3262">
        <v>15</v>
      </c>
    </row>
    <row r="136" spans="1:14">
      <c r="A136" s="3262">
        <v>64</v>
      </c>
      <c r="B136" s="3938"/>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0" t="s">
        <v>2801</v>
      </c>
      <c r="B1" s="3950"/>
      <c r="C1" s="3950"/>
      <c r="D1" s="3950"/>
      <c r="E1" s="3950"/>
      <c r="F1" s="3950"/>
      <c r="G1" s="3951"/>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2"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3"/>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14730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3176</v>
      </c>
      <c r="B1" s="3954"/>
      <c r="C1" s="3954"/>
      <c r="D1" s="3954"/>
      <c r="E1" s="3954"/>
      <c r="F1" s="3955"/>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56" t="s">
        <v>3014</v>
      </c>
      <c r="B1" s="3956"/>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59" t="s">
        <v>1854</v>
      </c>
      <c r="C1" s="3959"/>
      <c r="D1" s="3959"/>
      <c r="E1" s="3959"/>
      <c r="F1" s="3959"/>
      <c r="G1" s="3958" t="s">
        <v>1855</v>
      </c>
      <c r="H1" s="3958"/>
      <c r="I1" s="3958"/>
      <c r="J1" s="3958"/>
      <c r="K1" s="3958"/>
      <c r="L1" s="3958"/>
      <c r="N1" s="3958" t="s">
        <v>1856</v>
      </c>
      <c r="O1" s="3958"/>
      <c r="P1" s="3958"/>
      <c r="Q1" s="3958"/>
      <c r="S1" s="3958" t="s">
        <v>1857</v>
      </c>
      <c r="T1" s="3958"/>
      <c r="U1" s="3958"/>
      <c r="V1" s="3958"/>
      <c r="X1" s="3957" t="s">
        <v>1917</v>
      </c>
      <c r="Y1" s="3958"/>
      <c r="Z1" s="3958"/>
      <c r="AA1" s="3958"/>
      <c r="AB1" s="3958"/>
      <c r="AD1" s="3957" t="s">
        <v>1921</v>
      </c>
      <c r="AE1" s="3958"/>
      <c r="AF1" s="3958"/>
      <c r="AG1" s="3958"/>
      <c r="AH1" s="3958"/>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61">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61"/>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61"/>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67"/>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66">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61"/>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61"/>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67"/>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66">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61"/>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61"/>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2"/>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61"/>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61"/>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2"/>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61"/>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61"/>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2"/>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3">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4"/>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4"/>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5"/>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61"/>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61"/>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2"/>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61">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61">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2">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61">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61">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2">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61">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61">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2">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61">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61">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2">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61">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61">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2">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61">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61">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2">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61">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61">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2">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61">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61">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2">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0">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61">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61">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2">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0">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61">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61">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2">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C44" sqref="C44"/>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68" t="s">
        <v>2787</v>
      </c>
      <c r="S1" s="3969"/>
      <c r="T1" s="3969"/>
      <c r="U1" s="3969"/>
      <c r="V1" s="3969"/>
      <c r="W1" s="3969"/>
      <c r="X1" s="3337"/>
      <c r="Y1" s="3968" t="s">
        <v>2798</v>
      </c>
      <c r="Z1" s="3969"/>
      <c r="AA1" s="3969"/>
      <c r="AB1" s="3969"/>
      <c r="AC1" s="3969"/>
      <c r="AD1" s="3969"/>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68" t="s">
        <v>2794</v>
      </c>
      <c r="S21" s="3969"/>
      <c r="T21" s="3969"/>
      <c r="U21" s="3969"/>
      <c r="V21" s="3969"/>
      <c r="W21" s="3969"/>
      <c r="X21" s="3337"/>
      <c r="Y21" s="3968" t="s">
        <v>1921</v>
      </c>
      <c r="Z21" s="3969"/>
      <c r="AA21" s="3969"/>
      <c r="AB21" s="3969"/>
      <c r="AC21" s="3969"/>
      <c r="AD21" s="3969"/>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1" t="s">
        <v>1803</v>
      </c>
      <c r="C8" s="1606">
        <f ca="1">ROUND(F8*F10*F9*(1-F11)/10000,0)</f>
        <v>0</v>
      </c>
      <c r="D8" s="1603" t="s">
        <v>1813</v>
      </c>
      <c r="E8" s="58" t="s">
        <v>585</v>
      </c>
      <c r="F8" s="749">
        <f ca="1">INDIRECT("'数据-取费表'!u"&amp;$G$1)</f>
        <v>0</v>
      </c>
      <c r="G8" s="1400"/>
      <c r="H8" s="2145" t="s">
        <v>1353</v>
      </c>
      <c r="I8" s="3971" t="s">
        <v>1803</v>
      </c>
      <c r="J8" s="747">
        <f ca="1">ROUND(M8*M10*M9*(1-M11)/10000,0)</f>
        <v>0</v>
      </c>
      <c r="K8" s="330" t="s">
        <v>1813</v>
      </c>
      <c r="L8" s="748" t="s">
        <v>1267</v>
      </c>
      <c r="M8" s="749">
        <f ca="1">INDIRECT("'数据-取费表'!z"&amp;$G$1)</f>
        <v>0</v>
      </c>
    </row>
    <row r="9" spans="1:25" ht="18" customHeight="1">
      <c r="A9" s="2141"/>
      <c r="B9" s="3972"/>
      <c r="C9" s="1607"/>
      <c r="D9" s="1604"/>
      <c r="E9" s="58" t="s">
        <v>586</v>
      </c>
      <c r="F9" s="749">
        <f ca="1">IF(INDIRECT("'数据-取费表'!ah"&amp;$G$1)="",INDIRECT("'数据-取费表'!k"&amp;$G$1),INDIRECT("'数据-取费表'!ah"&amp;$G$1))</f>
        <v>0</v>
      </c>
      <c r="G9" s="1400"/>
      <c r="H9" s="2130"/>
      <c r="I9" s="3972"/>
      <c r="J9" s="752"/>
      <c r="K9" s="753"/>
      <c r="L9" s="748" t="s">
        <v>1268</v>
      </c>
      <c r="M9" s="749">
        <f ca="1">F9</f>
        <v>0</v>
      </c>
    </row>
    <row r="10" spans="1:25" ht="18" customHeight="1">
      <c r="A10" s="2134"/>
      <c r="B10" s="3973"/>
      <c r="C10" s="1607"/>
      <c r="D10" s="1604"/>
      <c r="E10" s="58" t="s">
        <v>587</v>
      </c>
      <c r="F10" s="749">
        <f ca="1">INDIRECT("'数据-取费表'!ai"&amp;$G$1)</f>
        <v>0</v>
      </c>
      <c r="G10" s="1400"/>
      <c r="H10" s="2130"/>
      <c r="I10" s="3973"/>
      <c r="J10" s="752"/>
      <c r="K10" s="753"/>
      <c r="L10" s="748" t="s">
        <v>1269</v>
      </c>
      <c r="M10" s="749">
        <f ca="1">INDIRECT("'数据-取费表'!ai"&amp;$G$1)</f>
        <v>0</v>
      </c>
    </row>
    <row r="11" spans="1:25" ht="18" customHeight="1">
      <c r="A11" s="750"/>
      <c r="B11" s="3974"/>
      <c r="C11" s="1607"/>
      <c r="D11" s="1604"/>
      <c r="E11" s="58" t="s">
        <v>588</v>
      </c>
      <c r="F11" s="758">
        <f ca="1">INDIRECT("'数据-取费表'!w"&amp;$G$1)</f>
        <v>0</v>
      </c>
      <c r="G11" s="1400"/>
      <c r="H11" s="2146"/>
      <c r="I11" s="3973"/>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0.05</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0"/>
      <c r="J36" s="1797"/>
      <c r="K36" s="1798"/>
      <c r="L36" s="1797"/>
      <c r="M36" s="1797"/>
    </row>
    <row r="37" spans="1:18" ht="18" customHeight="1">
      <c r="A37" s="778"/>
      <c r="B37" s="757"/>
      <c r="C37" s="66"/>
      <c r="D37" s="779"/>
      <c r="E37" s="748" t="s">
        <v>621</v>
      </c>
      <c r="F37" s="749">
        <f ca="1">INDIRECT("'数据-取费表'!r"&amp;$G$1)</f>
        <v>0</v>
      </c>
      <c r="G37" s="1780"/>
      <c r="H37" s="1783"/>
      <c r="I37" s="3970"/>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5"/>
      <c r="L54" s="3976"/>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8" zoomScale="80" zoomScaleNormal="60" zoomScaleSheetLayoutView="80" workbookViewId="0">
      <selection activeCell="I47" sqref="I47"/>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3551</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1050754</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118532</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905" t="s">
        <v>471</v>
      </c>
      <c r="D4" s="3906"/>
      <c r="E4" s="3932" t="s">
        <v>472</v>
      </c>
      <c r="F4" s="3933"/>
      <c r="G4" s="3905" t="s">
        <v>473</v>
      </c>
      <c r="H4" s="3906"/>
      <c r="I4" s="3905" t="s">
        <v>474</v>
      </c>
      <c r="J4" s="3906"/>
      <c r="K4" s="816" t="s">
        <v>475</v>
      </c>
      <c r="L4" s="1850"/>
      <c r="M4" s="1851"/>
      <c r="N4" s="1851"/>
      <c r="O4" s="1851"/>
      <c r="P4" s="3907" t="s">
        <v>476</v>
      </c>
      <c r="Q4" s="3908"/>
      <c r="R4" s="3891" t="s">
        <v>472</v>
      </c>
      <c r="S4" s="3892"/>
      <c r="T4" s="3891" t="s">
        <v>473</v>
      </c>
      <c r="U4" s="3892"/>
      <c r="V4" s="3913" t="s">
        <v>474</v>
      </c>
      <c r="W4" s="3913"/>
      <c r="X4" s="1375"/>
      <c r="Y4" s="3891" t="s">
        <v>476</v>
      </c>
      <c r="Z4" s="3892"/>
      <c r="AA4" s="3886" t="s">
        <v>472</v>
      </c>
      <c r="AB4" s="3886" t="s">
        <v>473</v>
      </c>
      <c r="AC4" s="3886" t="s">
        <v>474</v>
      </c>
    </row>
    <row r="5" spans="1:29" ht="15">
      <c r="A5" s="483"/>
      <c r="B5" s="484"/>
      <c r="C5" s="3977" t="s">
        <v>3790</v>
      </c>
      <c r="D5" s="3917"/>
      <c r="E5" s="4027" t="str">
        <f>案例!A3</f>
        <v>畅茜园馥霞里</v>
      </c>
      <c r="F5" s="4028"/>
      <c r="G5" s="3916" t="str">
        <f>案例!A4</f>
        <v>融创香山壹号院</v>
      </c>
      <c r="H5" s="3917"/>
      <c r="I5" s="4029" t="str">
        <f>案例!A6</f>
        <v>颐和金茂府</v>
      </c>
      <c r="J5" s="4030"/>
      <c r="K5" s="817"/>
      <c r="L5" s="1850"/>
      <c r="M5" s="1851"/>
      <c r="N5" s="1851"/>
      <c r="O5" s="1851"/>
      <c r="P5" s="3909"/>
      <c r="Q5" s="3910"/>
      <c r="R5" s="3893"/>
      <c r="S5" s="3894"/>
      <c r="T5" s="3893"/>
      <c r="U5" s="3894"/>
      <c r="V5" s="3913"/>
      <c r="W5" s="3913"/>
      <c r="X5" s="1375"/>
      <c r="Y5" s="3893"/>
      <c r="Z5" s="3894"/>
      <c r="AA5" s="3887"/>
      <c r="AB5" s="3887"/>
      <c r="AC5" s="3887"/>
    </row>
    <row r="6" spans="1:29" ht="15.75" thickBot="1">
      <c r="A6" s="485"/>
      <c r="B6" s="486"/>
      <c r="C6" s="3914" t="s">
        <v>2182</v>
      </c>
      <c r="D6" s="3915"/>
      <c r="E6" s="3936" t="s">
        <v>2182</v>
      </c>
      <c r="F6" s="3937"/>
      <c r="G6" s="3914" t="s">
        <v>2182</v>
      </c>
      <c r="H6" s="3915"/>
      <c r="I6" s="3914" t="s">
        <v>2182</v>
      </c>
      <c r="J6" s="3915"/>
      <c r="K6" s="817" t="s">
        <v>477</v>
      </c>
      <c r="L6" s="1850"/>
      <c r="M6" s="1851"/>
      <c r="N6" s="1851"/>
      <c r="O6" s="1851"/>
      <c r="P6" s="3911"/>
      <c r="Q6" s="3912"/>
      <c r="R6" s="3893"/>
      <c r="S6" s="3894"/>
      <c r="T6" s="3895"/>
      <c r="U6" s="3896"/>
      <c r="V6" s="3913"/>
      <c r="W6" s="3913"/>
      <c r="X6" s="1375"/>
      <c r="Y6" s="3895"/>
      <c r="Z6" s="3896"/>
      <c r="AA6" s="3888"/>
      <c r="AB6" s="3888"/>
      <c r="AC6" s="3888"/>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44835</v>
      </c>
      <c r="J7" s="488">
        <f>SUMIF(58:58,YEAR(I7)&amp;"-"&amp;MONTH(I7),59:59)</f>
        <v>100</v>
      </c>
      <c r="K7" s="818"/>
      <c r="L7" s="1852"/>
      <c r="M7" s="1853"/>
      <c r="N7" s="1853"/>
      <c r="O7" s="1853"/>
      <c r="P7" s="3889" t="s">
        <v>479</v>
      </c>
      <c r="Q7" s="3898"/>
      <c r="R7" s="1376" t="s">
        <v>10</v>
      </c>
      <c r="S7" s="1377">
        <f t="shared" ref="S7:S15" si="0">F7</f>
        <v>100</v>
      </c>
      <c r="T7" s="1376" t="s">
        <v>10</v>
      </c>
      <c r="U7" s="1377">
        <f t="shared" ref="U7:U15" si="1">H7</f>
        <v>100</v>
      </c>
      <c r="V7" s="1376" t="s">
        <v>10</v>
      </c>
      <c r="W7" s="1377">
        <f t="shared" ref="W7:W15" si="2">J7</f>
        <v>100</v>
      </c>
      <c r="X7" s="1378"/>
      <c r="Y7" s="3889" t="s">
        <v>479</v>
      </c>
      <c r="Z7" s="3890"/>
      <c r="AA7" s="1379">
        <f>D7/F7</f>
        <v>1</v>
      </c>
      <c r="AB7" s="1379">
        <f>D7/H7</f>
        <v>1</v>
      </c>
      <c r="AC7" s="1379">
        <f>D7/J7</f>
        <v>1</v>
      </c>
    </row>
    <row r="8" spans="1:29" s="1113" customFormat="1" ht="15.75" thickBot="1">
      <c r="A8" s="2385"/>
      <c r="B8" s="2392" t="s">
        <v>480</v>
      </c>
      <c r="C8" s="493" t="s">
        <v>524</v>
      </c>
      <c r="D8" s="488">
        <v>100</v>
      </c>
      <c r="E8" s="819" t="s">
        <v>3475</v>
      </c>
      <c r="F8" s="490">
        <f>SUMIF(61:61,E8,62:62)-SUMIF(61:61,C8,62:62)+100</f>
        <v>100</v>
      </c>
      <c r="G8" s="819" t="s">
        <v>3475</v>
      </c>
      <c r="H8" s="488">
        <f>SUMIF(61:61,G8,62:62)-SUMIF(61:61,C8,62:62)+100</f>
        <v>100</v>
      </c>
      <c r="I8" s="819" t="s">
        <v>3475</v>
      </c>
      <c r="J8" s="488">
        <f>SUMIF(61:61,I8,62:62)-SUMIF(61:61,C8,62:62)+100</f>
        <v>100</v>
      </c>
      <c r="K8" s="818"/>
      <c r="L8" s="1852"/>
      <c r="M8" s="1853"/>
      <c r="N8" s="1853"/>
      <c r="O8" s="1853"/>
      <c r="P8" s="3889" t="s">
        <v>482</v>
      </c>
      <c r="Q8" s="3890"/>
      <c r="R8" s="1376" t="s">
        <v>10</v>
      </c>
      <c r="S8" s="1377">
        <f t="shared" si="0"/>
        <v>100</v>
      </c>
      <c r="T8" s="1376" t="s">
        <v>10</v>
      </c>
      <c r="U8" s="1377">
        <f t="shared" si="1"/>
        <v>100</v>
      </c>
      <c r="V8" s="1376" t="s">
        <v>10</v>
      </c>
      <c r="W8" s="1377">
        <f t="shared" si="2"/>
        <v>100</v>
      </c>
      <c r="X8" s="1378"/>
      <c r="Y8" s="3889" t="s">
        <v>482</v>
      </c>
      <c r="Z8" s="3890"/>
      <c r="AA8" s="1379">
        <f t="shared" ref="AA8:AA46" si="3">D8/F8</f>
        <v>1</v>
      </c>
      <c r="AB8" s="1379">
        <f t="shared" ref="AB8:AB46" si="4">D8/H8</f>
        <v>1</v>
      </c>
      <c r="AC8" s="1379">
        <f t="shared" ref="AC8:AC46" si="5">D8/J8</f>
        <v>1</v>
      </c>
    </row>
    <row r="9" spans="1:29" s="1113" customFormat="1" ht="15">
      <c r="A9" s="2386"/>
      <c r="B9" s="2393" t="s">
        <v>2034</v>
      </c>
      <c r="C9" s="3665" t="s">
        <v>3549</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97" t="s">
        <v>484</v>
      </c>
      <c r="Q9" s="1045" t="str">
        <f t="shared" ref="Q9:Q15" si="6">B9</f>
        <v>用途</v>
      </c>
      <c r="R9" s="1376" t="s">
        <v>5</v>
      </c>
      <c r="S9" s="1377">
        <f t="shared" si="0"/>
        <v>100</v>
      </c>
      <c r="T9" s="1376" t="s">
        <v>5</v>
      </c>
      <c r="U9" s="1377">
        <f t="shared" si="1"/>
        <v>100</v>
      </c>
      <c r="V9" s="1376" t="s">
        <v>5</v>
      </c>
      <c r="W9" s="1377">
        <f t="shared" si="2"/>
        <v>100</v>
      </c>
      <c r="X9" s="1378"/>
      <c r="Y9" s="3849"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3550</v>
      </c>
      <c r="F10" s="824">
        <f>SUMIF(65:65,E10,66:66)-SUMIF(65:65,C10,66:66)+100</f>
        <v>100</v>
      </c>
      <c r="G10" s="3647" t="s">
        <v>3550</v>
      </c>
      <c r="H10" s="245">
        <f>SUMIF(65:65,G10,66:66)-SUMIF(65:65,C10,66:66)+100</f>
        <v>100</v>
      </c>
      <c r="I10" s="3647" t="s">
        <v>3550</v>
      </c>
      <c r="J10" s="245">
        <f>SUMIF(65:65,I10,66:66)-SUMIF(65:65,C10,66:66)+100</f>
        <v>100</v>
      </c>
      <c r="K10" s="818"/>
      <c r="L10" s="1855"/>
      <c r="M10" s="1894"/>
      <c r="N10" s="1894"/>
      <c r="O10" s="1856"/>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1.75</v>
      </c>
      <c r="F11" s="824">
        <f>LOOKUP(E11,68:68,69:69)-LOOKUP(C11,68:68,69:69)+100</f>
        <v>95</v>
      </c>
      <c r="G11" s="501">
        <f>案例!F11</f>
        <v>1.5</v>
      </c>
      <c r="H11" s="245">
        <f>LOOKUP(G11,68:68,69:69)-LOOKUP(C11,68:68,69:69)+100</f>
        <v>95</v>
      </c>
      <c r="I11" s="501">
        <f>案例!F13</f>
        <v>1.5</v>
      </c>
      <c r="J11" s="245">
        <f>LOOKUP(I11,68:68,69:69)-LOOKUP(C11,68:68,69:69)+100</f>
        <v>95</v>
      </c>
      <c r="K11" s="825">
        <f>'比较法-住宅、综合'!K13</f>
        <v>2.5</v>
      </c>
      <c r="L11" s="1857"/>
      <c r="M11" s="1851"/>
      <c r="N11" s="1851"/>
      <c r="O11" s="1858"/>
      <c r="P11" s="3897"/>
      <c r="Q11" s="1045" t="str">
        <f t="shared" si="6"/>
        <v>容积率</v>
      </c>
      <c r="R11" s="1376" t="s">
        <v>8</v>
      </c>
      <c r="S11" s="1377">
        <f t="shared" si="0"/>
        <v>95</v>
      </c>
      <c r="T11" s="1376" t="s">
        <v>8</v>
      </c>
      <c r="U11" s="1377">
        <f t="shared" si="1"/>
        <v>95</v>
      </c>
      <c r="V11" s="1376" t="s">
        <v>8</v>
      </c>
      <c r="W11" s="1377">
        <f t="shared" si="2"/>
        <v>95</v>
      </c>
      <c r="X11" s="1378"/>
      <c r="Y11" s="3849"/>
      <c r="Z11" s="1044" t="str">
        <f t="shared" si="7"/>
        <v>容积率</v>
      </c>
      <c r="AA11" s="1379">
        <f t="shared" si="3"/>
        <v>1.0526315789473684</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97"/>
      <c r="Q12" s="1045">
        <f t="shared" si="6"/>
        <v>111</v>
      </c>
      <c r="R12" s="1376" t="s">
        <v>8</v>
      </c>
      <c r="S12" s="1377">
        <f t="shared" si="0"/>
        <v>100</v>
      </c>
      <c r="T12" s="1376" t="s">
        <v>8</v>
      </c>
      <c r="U12" s="1377">
        <f t="shared" si="1"/>
        <v>100</v>
      </c>
      <c r="V12" s="1376" t="s">
        <v>8</v>
      </c>
      <c r="W12" s="1377">
        <f t="shared" si="2"/>
        <v>100</v>
      </c>
      <c r="X12" s="1378"/>
      <c r="Y12" s="3849"/>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97"/>
      <c r="Q13" s="1045">
        <f t="shared" si="6"/>
        <v>111</v>
      </c>
      <c r="R13" s="1376" t="s">
        <v>8</v>
      </c>
      <c r="S13" s="1377">
        <f t="shared" si="0"/>
        <v>100</v>
      </c>
      <c r="T13" s="1376" t="s">
        <v>8</v>
      </c>
      <c r="U13" s="1377">
        <f t="shared" si="1"/>
        <v>100</v>
      </c>
      <c r="V13" s="1376" t="s">
        <v>8</v>
      </c>
      <c r="W13" s="1377">
        <f t="shared" si="2"/>
        <v>100</v>
      </c>
      <c r="X13" s="1378"/>
      <c r="Y13" s="3849"/>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97"/>
      <c r="Q14" s="1045">
        <f t="shared" si="6"/>
        <v>111</v>
      </c>
      <c r="R14" s="1376" t="s">
        <v>8</v>
      </c>
      <c r="S14" s="1377">
        <f t="shared" si="0"/>
        <v>100</v>
      </c>
      <c r="T14" s="1376" t="s">
        <v>8</v>
      </c>
      <c r="U14" s="1377">
        <f t="shared" si="1"/>
        <v>100</v>
      </c>
      <c r="V14" s="1376" t="s">
        <v>8</v>
      </c>
      <c r="W14" s="1377">
        <f t="shared" si="2"/>
        <v>100</v>
      </c>
      <c r="X14" s="1378"/>
      <c r="Y14" s="3849"/>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3262</v>
      </c>
      <c r="F15" s="519">
        <f>SUMIF(76:76,E16,77:77)-SUMIF(76:76,C16,77:77)+100</f>
        <v>100</v>
      </c>
      <c r="G15" s="518" t="s">
        <v>3262</v>
      </c>
      <c r="H15" s="517">
        <f>SUMIF(76:76,G16,77:77)-SUMIF(76:76,C16,77:77)+100</f>
        <v>100</v>
      </c>
      <c r="I15" s="518" t="s">
        <v>3262</v>
      </c>
      <c r="J15" s="517">
        <f>SUMIF(76:76,I16,77:77)-SUMIF(76:76,C16,77:77)+100</f>
        <v>100</v>
      </c>
      <c r="K15" s="829">
        <v>2</v>
      </c>
      <c r="L15" s="1859"/>
      <c r="M15" s="1851"/>
      <c r="N15" s="1851"/>
      <c r="O15" s="1858"/>
      <c r="P15" s="3899" t="s">
        <v>489</v>
      </c>
      <c r="Q15" s="1380" t="str">
        <f t="shared" si="6"/>
        <v>居住社区成熟度</v>
      </c>
      <c r="R15" s="1381" t="s">
        <v>8</v>
      </c>
      <c r="S15" s="1382">
        <f t="shared" si="0"/>
        <v>100</v>
      </c>
      <c r="T15" s="1381" t="s">
        <v>8</v>
      </c>
      <c r="U15" s="1382">
        <f t="shared" si="1"/>
        <v>100</v>
      </c>
      <c r="V15" s="1381" t="s">
        <v>8</v>
      </c>
      <c r="W15" s="1382">
        <f t="shared" si="2"/>
        <v>100</v>
      </c>
      <c r="X15" s="1375"/>
      <c r="Y15" s="3899" t="s">
        <v>489</v>
      </c>
      <c r="Z15" s="1383" t="str">
        <f t="shared" si="7"/>
        <v>居住社区成熟度</v>
      </c>
      <c r="AA15" s="1384">
        <f t="shared" si="3"/>
        <v>1</v>
      </c>
      <c r="AB15" s="1384">
        <f t="shared" si="4"/>
        <v>1</v>
      </c>
      <c r="AC15" s="1384">
        <f t="shared" si="5"/>
        <v>1</v>
      </c>
    </row>
    <row r="16" spans="1:29" ht="15.75" thickBot="1">
      <c r="A16" s="500"/>
      <c r="B16" s="830"/>
      <c r="C16" s="544" t="s">
        <v>3262</v>
      </c>
      <c r="D16" s="523"/>
      <c r="E16" s="524" t="s">
        <v>3262</v>
      </c>
      <c r="F16" s="525"/>
      <c r="G16" s="524" t="s">
        <v>3262</v>
      </c>
      <c r="H16" s="527"/>
      <c r="I16" s="524" t="s">
        <v>3262</v>
      </c>
      <c r="J16" s="523"/>
      <c r="K16" s="831"/>
      <c r="L16" s="1859"/>
      <c r="M16" s="1851"/>
      <c r="N16" s="1851"/>
      <c r="O16" s="1858"/>
      <c r="P16" s="3900"/>
      <c r="Q16" s="1380"/>
      <c r="R16" s="1381"/>
      <c r="S16" s="1382"/>
      <c r="T16" s="1381"/>
      <c r="U16" s="1382"/>
      <c r="V16" s="1381"/>
      <c r="W16" s="1382"/>
      <c r="X16" s="1375"/>
      <c r="Y16" s="3900"/>
      <c r="Z16" s="1383"/>
      <c r="AA16" s="1384">
        <v>1</v>
      </c>
      <c r="AB16" s="1384">
        <v>1</v>
      </c>
      <c r="AC16" s="1384">
        <v>1</v>
      </c>
    </row>
    <row r="17" spans="1:29" ht="15">
      <c r="A17" s="500"/>
      <c r="B17" s="832" t="s">
        <v>262</v>
      </c>
      <c r="C17" s="833" t="str">
        <f>估价对象房地状况!C6</f>
        <v>一般</v>
      </c>
      <c r="D17" s="527">
        <v>100</v>
      </c>
      <c r="E17" s="518" t="s">
        <v>3262</v>
      </c>
      <c r="F17" s="531">
        <f>SUMIF(78:78,E18,79:79)-SUMIF(78:78,C18,79:79)+100</f>
        <v>102</v>
      </c>
      <c r="G17" s="530" t="s">
        <v>3264</v>
      </c>
      <c r="H17" s="533">
        <f>SUMIF(78:78,G18,79:79)-SUMIF(78:78,C18,79:79)+100</f>
        <v>100</v>
      </c>
      <c r="I17" s="530" t="s">
        <v>3264</v>
      </c>
      <c r="J17" s="533">
        <f>SUMIF(78:78,I18,79:79)-SUMIF(78:78,C18,79:79)+100</f>
        <v>100</v>
      </c>
      <c r="K17" s="829">
        <v>2</v>
      </c>
      <c r="L17" s="1859"/>
      <c r="M17" s="1851"/>
      <c r="N17" s="1851"/>
      <c r="O17" s="1858"/>
      <c r="P17" s="3900"/>
      <c r="Q17" s="1380" t="str">
        <f>B17</f>
        <v>交通便捷度</v>
      </c>
      <c r="R17" s="1381" t="s">
        <v>8</v>
      </c>
      <c r="S17" s="1382">
        <f>F17</f>
        <v>102</v>
      </c>
      <c r="T17" s="1381" t="s">
        <v>8</v>
      </c>
      <c r="U17" s="1382">
        <f>H17</f>
        <v>100</v>
      </c>
      <c r="V17" s="1381" t="s">
        <v>8</v>
      </c>
      <c r="W17" s="1382">
        <f>J17</f>
        <v>100</v>
      </c>
      <c r="X17" s="1375"/>
      <c r="Y17" s="3900"/>
      <c r="Z17" s="1383" t="str">
        <f>Q17</f>
        <v>交通便捷度</v>
      </c>
      <c r="AA17" s="1384">
        <f t="shared" si="3"/>
        <v>0.98039215686274506</v>
      </c>
      <c r="AB17" s="1384">
        <f t="shared" si="4"/>
        <v>1</v>
      </c>
      <c r="AC17" s="1384">
        <f t="shared" si="5"/>
        <v>1</v>
      </c>
    </row>
    <row r="18" spans="1:29" ht="15.75" thickBot="1">
      <c r="A18" s="500"/>
      <c r="B18" s="563"/>
      <c r="C18" s="834" t="s">
        <v>3264</v>
      </c>
      <c r="D18" s="527"/>
      <c r="E18" s="524" t="s">
        <v>3262</v>
      </c>
      <c r="F18" s="531"/>
      <c r="G18" s="536" t="s">
        <v>3264</v>
      </c>
      <c r="H18" s="523"/>
      <c r="I18" s="536" t="s">
        <v>3264</v>
      </c>
      <c r="J18" s="523"/>
      <c r="K18" s="831"/>
      <c r="L18" s="1859"/>
      <c r="M18" s="1851"/>
      <c r="N18" s="1851"/>
      <c r="O18" s="1858"/>
      <c r="P18" s="3900"/>
      <c r="Q18" s="1380"/>
      <c r="R18" s="1381"/>
      <c r="S18" s="1382"/>
      <c r="T18" s="1381"/>
      <c r="U18" s="1382"/>
      <c r="V18" s="1381"/>
      <c r="W18" s="1382"/>
      <c r="X18" s="1375"/>
      <c r="Y18" s="3900"/>
      <c r="Z18" s="1383"/>
      <c r="AA18" s="1384">
        <v>1</v>
      </c>
      <c r="AB18" s="1384">
        <v>1</v>
      </c>
      <c r="AC18" s="1384">
        <v>1</v>
      </c>
    </row>
    <row r="19" spans="1:29" ht="15">
      <c r="A19" s="500"/>
      <c r="B19" s="2202" t="s">
        <v>1825</v>
      </c>
      <c r="C19" s="833" t="str">
        <f>估价对象房地状况!C7</f>
        <v>一般</v>
      </c>
      <c r="D19" s="533">
        <v>100</v>
      </c>
      <c r="E19" s="518" t="s">
        <v>3262</v>
      </c>
      <c r="F19" s="539">
        <f>SUMIF(80:80,E20,81:81)-SUMIF(80:80,C20,81:81)+100</f>
        <v>102</v>
      </c>
      <c r="G19" s="538" t="s">
        <v>3264</v>
      </c>
      <c r="H19" s="527">
        <f>SUMIF(80:80,G20,81:81)-SUMIF(80:80,C20,81:81)+100</f>
        <v>100</v>
      </c>
      <c r="I19" s="538" t="s">
        <v>3264</v>
      </c>
      <c r="J19" s="527">
        <f>SUMIF(80:80,I20,81:81)-SUMIF(80:80,C20,81:81)+100</f>
        <v>100</v>
      </c>
      <c r="K19" s="829">
        <v>2</v>
      </c>
      <c r="L19" s="1859"/>
      <c r="M19" s="1851"/>
      <c r="N19" s="1851"/>
      <c r="O19" s="1858"/>
      <c r="P19" s="3900"/>
      <c r="Q19" s="1380" t="str">
        <f>B19</f>
        <v>公共配套设施</v>
      </c>
      <c r="R19" s="1381" t="s">
        <v>8</v>
      </c>
      <c r="S19" s="1382">
        <f>F19</f>
        <v>102</v>
      </c>
      <c r="T19" s="1381" t="s">
        <v>8</v>
      </c>
      <c r="U19" s="1382">
        <f>H19</f>
        <v>100</v>
      </c>
      <c r="V19" s="1381" t="s">
        <v>8</v>
      </c>
      <c r="W19" s="1382">
        <f>J19</f>
        <v>100</v>
      </c>
      <c r="X19" s="1375"/>
      <c r="Y19" s="3900"/>
      <c r="Z19" s="1383" t="str">
        <f>Q19</f>
        <v>公共配套设施</v>
      </c>
      <c r="AA19" s="1384">
        <f t="shared" si="3"/>
        <v>0.98039215686274506</v>
      </c>
      <c r="AB19" s="1384">
        <f t="shared" si="4"/>
        <v>1</v>
      </c>
      <c r="AC19" s="1384">
        <f t="shared" si="5"/>
        <v>1</v>
      </c>
    </row>
    <row r="20" spans="1:29" ht="15">
      <c r="A20" s="500"/>
      <c r="B20" s="563"/>
      <c r="C20" s="544" t="s">
        <v>3264</v>
      </c>
      <c r="D20" s="523"/>
      <c r="E20" s="524" t="s">
        <v>3262</v>
      </c>
      <c r="F20" s="525"/>
      <c r="G20" s="524" t="s">
        <v>3264</v>
      </c>
      <c r="H20" s="523"/>
      <c r="I20" s="524" t="s">
        <v>3264</v>
      </c>
      <c r="J20" s="523"/>
      <c r="K20" s="831"/>
      <c r="L20" s="1859"/>
      <c r="M20" s="1851"/>
      <c r="N20" s="1851"/>
      <c r="O20" s="1858"/>
      <c r="P20" s="3900"/>
      <c r="Q20" s="1380"/>
      <c r="R20" s="1381"/>
      <c r="S20" s="1382"/>
      <c r="T20" s="1381"/>
      <c r="U20" s="1382"/>
      <c r="V20" s="1381"/>
      <c r="W20" s="1382"/>
      <c r="X20" s="1375"/>
      <c r="Y20" s="3900"/>
      <c r="Z20" s="1383"/>
      <c r="AA20" s="1384">
        <v>1</v>
      </c>
      <c r="AB20" s="1384">
        <v>1</v>
      </c>
      <c r="AC20" s="1384">
        <v>1</v>
      </c>
    </row>
    <row r="21" spans="1:29" ht="15">
      <c r="A21" s="500"/>
      <c r="B21" s="2195" t="s">
        <v>1837</v>
      </c>
      <c r="C21" s="833" t="str">
        <f>估价对象房地状况!C8</f>
        <v>七通</v>
      </c>
      <c r="D21" s="533">
        <v>100</v>
      </c>
      <c r="E21" s="540" t="s">
        <v>3267</v>
      </c>
      <c r="F21" s="539">
        <f>SUMIF(82:82,E22,83:83)-SUMIF(82:82,C22,83:83)+100</f>
        <v>100</v>
      </c>
      <c r="G21" s="540" t="s">
        <v>3267</v>
      </c>
      <c r="H21" s="533">
        <f>SUMIF(82:82,G22,83:83)-SUMIF(82:82,C22,83:83)+100</f>
        <v>100</v>
      </c>
      <c r="I21" s="540" t="s">
        <v>3267</v>
      </c>
      <c r="J21" s="533">
        <f>SUMIF(82:82,I22,83:83)-SUMIF(82:82,C22,83:83)+100</f>
        <v>100</v>
      </c>
      <c r="K21" s="829">
        <v>1</v>
      </c>
      <c r="L21" s="1859"/>
      <c r="M21" s="1851"/>
      <c r="N21" s="1851"/>
      <c r="O21" s="1858"/>
      <c r="P21" s="3900"/>
      <c r="Q21" s="2187" t="str">
        <f>B21</f>
        <v>基础设施水平</v>
      </c>
      <c r="R21" s="1381" t="s">
        <v>8</v>
      </c>
      <c r="S21" s="1382">
        <f>F21</f>
        <v>100</v>
      </c>
      <c r="T21" s="1381" t="s">
        <v>8</v>
      </c>
      <c r="U21" s="1382">
        <f>H21</f>
        <v>100</v>
      </c>
      <c r="V21" s="1381" t="s">
        <v>8</v>
      </c>
      <c r="W21" s="1382">
        <f>J21</f>
        <v>100</v>
      </c>
      <c r="X21" s="2189"/>
      <c r="Y21" s="3900"/>
      <c r="Z21" s="2188" t="str">
        <f>Q21</f>
        <v>基础设施水平</v>
      </c>
      <c r="AA21" s="1384">
        <f>D21/F21</f>
        <v>1</v>
      </c>
      <c r="AB21" s="1384">
        <f>D21/H21</f>
        <v>1</v>
      </c>
      <c r="AC21" s="1384">
        <f>D21/J21</f>
        <v>1</v>
      </c>
    </row>
    <row r="22" spans="1:29" ht="15">
      <c r="A22" s="500"/>
      <c r="B22" s="880"/>
      <c r="C22" s="834" t="s">
        <v>3267</v>
      </c>
      <c r="D22" s="523"/>
      <c r="E22" s="834" t="s">
        <v>3267</v>
      </c>
      <c r="F22" s="525"/>
      <c r="G22" s="834" t="s">
        <v>3267</v>
      </c>
      <c r="H22" s="523"/>
      <c r="I22" s="834" t="s">
        <v>3267</v>
      </c>
      <c r="J22" s="523"/>
      <c r="K22" s="2201"/>
      <c r="L22" s="1859"/>
      <c r="M22" s="1851"/>
      <c r="N22" s="1851"/>
      <c r="O22" s="1858"/>
      <c r="P22" s="3900"/>
      <c r="Q22" s="2187"/>
      <c r="R22" s="1381"/>
      <c r="S22" s="1382"/>
      <c r="T22" s="1381"/>
      <c r="U22" s="1382"/>
      <c r="V22" s="1381"/>
      <c r="W22" s="1382"/>
      <c r="X22" s="2189"/>
      <c r="Y22" s="3900"/>
      <c r="Z22" s="2188"/>
      <c r="AA22" s="1384">
        <v>1</v>
      </c>
      <c r="AB22" s="1384">
        <v>1</v>
      </c>
      <c r="AC22" s="1384">
        <v>1</v>
      </c>
    </row>
    <row r="23" spans="1:29" ht="15">
      <c r="A23" s="500"/>
      <c r="B23" s="832" t="s">
        <v>263</v>
      </c>
      <c r="C23" s="833" t="str">
        <f>估价对象房地状况!C9</f>
        <v>较好</v>
      </c>
      <c r="D23" s="527">
        <v>100</v>
      </c>
      <c r="E23" s="530" t="s">
        <v>3262</v>
      </c>
      <c r="F23" s="531">
        <f>SUMIF(84:84,E24,85:85)-SUMIF(84:84,C24,85:85)+100</f>
        <v>100</v>
      </c>
      <c r="G23" s="530" t="s">
        <v>3262</v>
      </c>
      <c r="H23" s="527">
        <f>SUMIF(84:84,G24,85:85)-SUMIF(84:84,C24,85:85)+100</f>
        <v>100</v>
      </c>
      <c r="I23" s="530" t="s">
        <v>3262</v>
      </c>
      <c r="J23" s="527">
        <f>SUMIF(84:84,I24,85:85)-SUMIF(84:84,C24,85:85)+100</f>
        <v>100</v>
      </c>
      <c r="K23" s="829">
        <v>2</v>
      </c>
      <c r="L23" s="1859"/>
      <c r="M23" s="1851"/>
      <c r="N23" s="1851"/>
      <c r="O23" s="1858"/>
      <c r="P23" s="3900"/>
      <c r="Q23" s="1380" t="str">
        <f>B23</f>
        <v>自然及人文环境</v>
      </c>
      <c r="R23" s="1381" t="s">
        <v>8</v>
      </c>
      <c r="S23" s="1382">
        <f>F23</f>
        <v>100</v>
      </c>
      <c r="T23" s="1381" t="s">
        <v>8</v>
      </c>
      <c r="U23" s="1382">
        <f>H23</f>
        <v>100</v>
      </c>
      <c r="V23" s="1381" t="s">
        <v>8</v>
      </c>
      <c r="W23" s="1382">
        <f>J23</f>
        <v>100</v>
      </c>
      <c r="X23" s="1375"/>
      <c r="Y23" s="3900"/>
      <c r="Z23" s="1383" t="str">
        <f>Q23</f>
        <v>自然及人文环境</v>
      </c>
      <c r="AA23" s="1384">
        <f t="shared" si="3"/>
        <v>1</v>
      </c>
      <c r="AB23" s="1384">
        <f t="shared" si="4"/>
        <v>1</v>
      </c>
      <c r="AC23" s="1384">
        <f t="shared" si="5"/>
        <v>1</v>
      </c>
    </row>
    <row r="24" spans="1:29" ht="15">
      <c r="A24" s="500"/>
      <c r="B24" s="563"/>
      <c r="C24" s="544" t="s">
        <v>3262</v>
      </c>
      <c r="D24" s="523"/>
      <c r="E24" s="524" t="s">
        <v>3262</v>
      </c>
      <c r="F24" s="525"/>
      <c r="G24" s="524" t="s">
        <v>3262</v>
      </c>
      <c r="H24" s="523"/>
      <c r="I24" s="524" t="s">
        <v>3262</v>
      </c>
      <c r="J24" s="523"/>
      <c r="K24" s="831"/>
      <c r="L24" s="1859"/>
      <c r="M24" s="1851"/>
      <c r="N24" s="1851"/>
      <c r="O24" s="1858"/>
      <c r="P24" s="3900"/>
      <c r="Q24" s="1380"/>
      <c r="R24" s="1381"/>
      <c r="S24" s="1382"/>
      <c r="T24" s="1381"/>
      <c r="U24" s="1382"/>
      <c r="V24" s="1381"/>
      <c r="W24" s="1382"/>
      <c r="X24" s="1375"/>
      <c r="Y24" s="3900"/>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00"/>
      <c r="Q25" s="1380" t="str">
        <f t="shared" ref="Q25:Q46" si="8">B25</f>
        <v>楼层-1</v>
      </c>
      <c r="R25" s="1381" t="s">
        <v>8</v>
      </c>
      <c r="S25" s="1382">
        <f>F25</f>
        <v>100</v>
      </c>
      <c r="T25" s="1381" t="s">
        <v>8</v>
      </c>
      <c r="U25" s="1382">
        <f>H25</f>
        <v>100</v>
      </c>
      <c r="V25" s="1381" t="s">
        <v>8</v>
      </c>
      <c r="W25" s="1382">
        <f>J25</f>
        <v>100</v>
      </c>
      <c r="X25" s="1375"/>
      <c r="Y25" s="3900"/>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00"/>
      <c r="Q26" s="1380" t="str">
        <f t="shared" si="8"/>
        <v>朝向</v>
      </c>
      <c r="R26" s="1381" t="s">
        <v>8</v>
      </c>
      <c r="S26" s="1382">
        <f>F26</f>
        <v>100</v>
      </c>
      <c r="T26" s="1381" t="s">
        <v>8</v>
      </c>
      <c r="U26" s="1382">
        <f>H26</f>
        <v>100</v>
      </c>
      <c r="V26" s="1381" t="s">
        <v>8</v>
      </c>
      <c r="W26" s="1382">
        <f>J26</f>
        <v>100</v>
      </c>
      <c r="X26" s="1375"/>
      <c r="Y26" s="3900"/>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00"/>
      <c r="Q27" s="1045" t="str">
        <f t="shared" si="8"/>
        <v>道路级别</v>
      </c>
      <c r="R27" s="1376" t="s">
        <v>8</v>
      </c>
      <c r="S27" s="1377">
        <f>F27</f>
        <v>100</v>
      </c>
      <c r="T27" s="1376" t="s">
        <v>8</v>
      </c>
      <c r="U27" s="1377">
        <f>H27</f>
        <v>100</v>
      </c>
      <c r="V27" s="1376" t="s">
        <v>8</v>
      </c>
      <c r="W27" s="1377">
        <f>J27</f>
        <v>100</v>
      </c>
      <c r="X27" s="1378"/>
      <c r="Y27" s="3900"/>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00"/>
      <c r="Q28" s="1380">
        <f t="shared" si="8"/>
        <v>111</v>
      </c>
      <c r="R28" s="1381" t="s">
        <v>8</v>
      </c>
      <c r="S28" s="1382">
        <f t="shared" ref="S28:S46" si="9">F28</f>
        <v>100</v>
      </c>
      <c r="T28" s="1381" t="s">
        <v>8</v>
      </c>
      <c r="U28" s="1382">
        <f t="shared" ref="U28:U46" si="10">H28</f>
        <v>100</v>
      </c>
      <c r="V28" s="1381" t="s">
        <v>8</v>
      </c>
      <c r="W28" s="1382">
        <f t="shared" ref="W28:W46" si="11">J28</f>
        <v>100</v>
      </c>
      <c r="X28" s="1375"/>
      <c r="Y28" s="3900"/>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00"/>
      <c r="Q29" s="1380">
        <f t="shared" si="8"/>
        <v>111</v>
      </c>
      <c r="R29" s="1381" t="s">
        <v>8</v>
      </c>
      <c r="S29" s="1382">
        <f t="shared" si="9"/>
        <v>100</v>
      </c>
      <c r="T29" s="1381" t="s">
        <v>8</v>
      </c>
      <c r="U29" s="1382">
        <f t="shared" si="10"/>
        <v>100</v>
      </c>
      <c r="V29" s="1381" t="s">
        <v>8</v>
      </c>
      <c r="W29" s="1382">
        <f t="shared" si="11"/>
        <v>100</v>
      </c>
      <c r="X29" s="1375"/>
      <c r="Y29" s="3900"/>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00"/>
      <c r="Q30" s="1380">
        <f t="shared" si="8"/>
        <v>111</v>
      </c>
      <c r="R30" s="1381" t="s">
        <v>8</v>
      </c>
      <c r="S30" s="1382">
        <f t="shared" si="9"/>
        <v>100</v>
      </c>
      <c r="T30" s="1381" t="s">
        <v>8</v>
      </c>
      <c r="U30" s="1382">
        <f t="shared" si="10"/>
        <v>100</v>
      </c>
      <c r="V30" s="1381" t="s">
        <v>8</v>
      </c>
      <c r="W30" s="1382">
        <f t="shared" si="11"/>
        <v>100</v>
      </c>
      <c r="X30" s="1375"/>
      <c r="Y30" s="3900"/>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00"/>
      <c r="Q31" s="1380">
        <f t="shared" si="8"/>
        <v>111</v>
      </c>
      <c r="R31" s="1381" t="s">
        <v>8</v>
      </c>
      <c r="S31" s="1382">
        <f t="shared" si="9"/>
        <v>100</v>
      </c>
      <c r="T31" s="1381" t="s">
        <v>8</v>
      </c>
      <c r="U31" s="1382">
        <f t="shared" si="10"/>
        <v>100</v>
      </c>
      <c r="V31" s="1381" t="s">
        <v>8</v>
      </c>
      <c r="W31" s="1382">
        <f t="shared" si="11"/>
        <v>100</v>
      </c>
      <c r="X31" s="1375"/>
      <c r="Y31" s="3900"/>
      <c r="Z31" s="1383">
        <f t="shared" si="12"/>
        <v>111</v>
      </c>
      <c r="AA31" s="1384">
        <f t="shared" si="3"/>
        <v>1</v>
      </c>
      <c r="AB31" s="1384">
        <f t="shared" si="4"/>
        <v>1</v>
      </c>
      <c r="AC31" s="1384">
        <f t="shared" si="5"/>
        <v>1</v>
      </c>
    </row>
    <row r="32" spans="1:29" ht="15">
      <c r="A32" s="2379" t="s">
        <v>2033</v>
      </c>
      <c r="B32" s="164" t="s">
        <v>672</v>
      </c>
      <c r="C32" s="839" t="s">
        <v>3770</v>
      </c>
      <c r="D32" s="565">
        <v>100</v>
      </c>
      <c r="E32" s="839" t="s">
        <v>3776</v>
      </c>
      <c r="F32" s="543">
        <f>SUMIF(100:100,E32,101:101)-SUMIF(100:100,C32,101:101)+100</f>
        <v>90</v>
      </c>
      <c r="G32" s="839" t="s">
        <v>3776</v>
      </c>
      <c r="H32" s="565">
        <f>SUMIF(100:100,G32,101:101)-SUMIF(100:100,C32,101:101)+100</f>
        <v>90</v>
      </c>
      <c r="I32" s="839" t="s">
        <v>3776</v>
      </c>
      <c r="J32" s="508">
        <f>SUMIF(100:100,I32,101:101)-SUMIF(100:100,C32,101:101)+100</f>
        <v>90</v>
      </c>
      <c r="K32" s="825">
        <v>10</v>
      </c>
      <c r="L32" s="1859"/>
      <c r="M32" s="1851"/>
      <c r="N32" s="1851"/>
      <c r="O32" s="1858"/>
      <c r="P32" s="3901" t="s">
        <v>499</v>
      </c>
      <c r="Q32" s="1380" t="str">
        <f t="shared" si="8"/>
        <v>建筑类型</v>
      </c>
      <c r="R32" s="1381" t="s">
        <v>8</v>
      </c>
      <c r="S32" s="1382">
        <f t="shared" si="9"/>
        <v>90</v>
      </c>
      <c r="T32" s="1381" t="s">
        <v>8</v>
      </c>
      <c r="U32" s="1382">
        <f t="shared" si="10"/>
        <v>90</v>
      </c>
      <c r="V32" s="1381" t="s">
        <v>8</v>
      </c>
      <c r="W32" s="1382">
        <f t="shared" si="11"/>
        <v>90</v>
      </c>
      <c r="X32" s="1375"/>
      <c r="Y32" s="3902" t="s">
        <v>499</v>
      </c>
      <c r="Z32" s="1383" t="str">
        <f t="shared" si="12"/>
        <v>建筑类型</v>
      </c>
      <c r="AA32" s="1384">
        <f t="shared" si="3"/>
        <v>1.1111111111111112</v>
      </c>
      <c r="AB32" s="1384">
        <f t="shared" si="4"/>
        <v>1.1111111111111112</v>
      </c>
      <c r="AC32" s="1384">
        <f t="shared" si="5"/>
        <v>1.1111111111111112</v>
      </c>
    </row>
    <row r="33" spans="1:29" s="1195" customFormat="1" ht="15">
      <c r="A33" s="571"/>
      <c r="B33" s="495" t="s">
        <v>673</v>
      </c>
      <c r="C33" s="840">
        <f>'数据-汇总表'!E3</f>
        <v>165052.29999999999</v>
      </c>
      <c r="D33" s="245">
        <v>100</v>
      </c>
      <c r="E33" s="840">
        <f>案例!E10*10000</f>
        <v>163000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02"/>
      <c r="Q33" s="1409" t="str">
        <f t="shared" si="8"/>
        <v>项目建筑规模</v>
      </c>
      <c r="R33" s="1385" t="s">
        <v>8</v>
      </c>
      <c r="S33" s="1386">
        <f t="shared" si="9"/>
        <v>100</v>
      </c>
      <c r="T33" s="1385" t="s">
        <v>8</v>
      </c>
      <c r="U33" s="1386">
        <f t="shared" si="10"/>
        <v>98</v>
      </c>
      <c r="V33" s="1385" t="s">
        <v>8</v>
      </c>
      <c r="W33" s="1386">
        <f t="shared" si="11"/>
        <v>98</v>
      </c>
      <c r="X33" s="1387"/>
      <c r="Y33" s="3902"/>
      <c r="Z33" s="1388" t="str">
        <f t="shared" si="12"/>
        <v>项目建筑规模</v>
      </c>
      <c r="AA33" s="1384">
        <f t="shared" si="3"/>
        <v>1</v>
      </c>
      <c r="AB33" s="1384">
        <f t="shared" si="4"/>
        <v>1.0204081632653061</v>
      </c>
      <c r="AC33" s="1384">
        <f t="shared" si="5"/>
        <v>1.0204081632653061</v>
      </c>
    </row>
    <row r="34" spans="1:29" ht="15">
      <c r="A34" s="562"/>
      <c r="B34" s="495" t="s">
        <v>674</v>
      </c>
      <c r="C34" s="841" t="s">
        <v>3530</v>
      </c>
      <c r="D34" s="508">
        <v>100</v>
      </c>
      <c r="E34" s="841" t="s">
        <v>3530</v>
      </c>
      <c r="F34" s="543">
        <f>SUMIF(105:105,E34,106:106)-SUMIF(105:105,C34,106:106)+100</f>
        <v>100</v>
      </c>
      <c r="G34" s="841" t="s">
        <v>3530</v>
      </c>
      <c r="H34" s="508">
        <f>SUMIF(105:105,G34,106:106)-SUMIF(105:105,C34,106:106)+100</f>
        <v>100</v>
      </c>
      <c r="I34" s="841" t="s">
        <v>3530</v>
      </c>
      <c r="J34" s="508">
        <f>SUMIF(105:105,I34,106:106)-SUMIF(105:105,C34,106:106)+100</f>
        <v>100</v>
      </c>
      <c r="K34" s="825">
        <v>2</v>
      </c>
      <c r="L34" s="1859"/>
      <c r="M34" s="1851"/>
      <c r="N34" s="1851"/>
      <c r="O34" s="1858"/>
      <c r="P34" s="3902"/>
      <c r="Q34" s="1380" t="str">
        <f t="shared" si="8"/>
        <v>建筑结构</v>
      </c>
      <c r="R34" s="1381" t="s">
        <v>8</v>
      </c>
      <c r="S34" s="1382">
        <f t="shared" si="9"/>
        <v>100</v>
      </c>
      <c r="T34" s="1381" t="s">
        <v>8</v>
      </c>
      <c r="U34" s="1382">
        <f t="shared" si="10"/>
        <v>100</v>
      </c>
      <c r="V34" s="1381" t="s">
        <v>8</v>
      </c>
      <c r="W34" s="1382">
        <f t="shared" si="11"/>
        <v>100</v>
      </c>
      <c r="X34" s="1375"/>
      <c r="Y34" s="3902"/>
      <c r="Z34" s="1383" t="str">
        <f t="shared" si="12"/>
        <v>建筑结构</v>
      </c>
      <c r="AA34" s="1384">
        <f t="shared" si="3"/>
        <v>1</v>
      </c>
      <c r="AB34" s="1384">
        <f t="shared" si="4"/>
        <v>1</v>
      </c>
      <c r="AC34" s="1384">
        <f t="shared" si="5"/>
        <v>1</v>
      </c>
    </row>
    <row r="35" spans="1:29" ht="15">
      <c r="A35" s="562"/>
      <c r="B35" s="495" t="s">
        <v>675</v>
      </c>
      <c r="C35" s="567" t="s">
        <v>3534</v>
      </c>
      <c r="D35" s="508">
        <v>100</v>
      </c>
      <c r="E35" s="567" t="s">
        <v>3534</v>
      </c>
      <c r="F35" s="543">
        <f>SUMIF(107:107,E35,108:108)-SUMIF(107:107,C35,108:108)+100</f>
        <v>100</v>
      </c>
      <c r="G35" s="567" t="s">
        <v>3534</v>
      </c>
      <c r="H35" s="508">
        <f>SUMIF(107:107,G35,108:108)-SUMIF(107:107,C35,108:108)+100</f>
        <v>100</v>
      </c>
      <c r="I35" s="567" t="s">
        <v>3534</v>
      </c>
      <c r="J35" s="508">
        <f>SUMIF(107:107,I35,108:108)-SUMIF(107:107,C35,108:108)+100</f>
        <v>100</v>
      </c>
      <c r="K35" s="825">
        <v>2</v>
      </c>
      <c r="L35" s="1859"/>
      <c r="M35" s="1851"/>
      <c r="N35" s="1851"/>
      <c r="O35" s="1858"/>
      <c r="P35" s="3902"/>
      <c r="Q35" s="1380" t="str">
        <f t="shared" si="8"/>
        <v>建筑品质</v>
      </c>
      <c r="R35" s="1381" t="s">
        <v>8</v>
      </c>
      <c r="S35" s="1382">
        <f t="shared" si="9"/>
        <v>100</v>
      </c>
      <c r="T35" s="1381" t="s">
        <v>8</v>
      </c>
      <c r="U35" s="1382">
        <f t="shared" si="10"/>
        <v>100</v>
      </c>
      <c r="V35" s="1381" t="s">
        <v>8</v>
      </c>
      <c r="W35" s="1382">
        <f t="shared" si="11"/>
        <v>100</v>
      </c>
      <c r="X35" s="1375"/>
      <c r="Y35" s="3902"/>
      <c r="Z35" s="1383" t="str">
        <f t="shared" si="12"/>
        <v>建筑品质</v>
      </c>
      <c r="AA35" s="1384">
        <f t="shared" si="3"/>
        <v>1</v>
      </c>
      <c r="AB35" s="1384">
        <f t="shared" si="4"/>
        <v>1</v>
      </c>
      <c r="AC35" s="1384">
        <f t="shared" si="5"/>
        <v>1</v>
      </c>
    </row>
    <row r="36" spans="1:29" ht="15">
      <c r="A36" s="562"/>
      <c r="B36" s="495" t="s">
        <v>676</v>
      </c>
      <c r="C36" s="567" t="s">
        <v>3539</v>
      </c>
      <c r="D36" s="508">
        <v>100</v>
      </c>
      <c r="E36" s="567" t="s">
        <v>3539</v>
      </c>
      <c r="F36" s="543">
        <f>SUMIF(109:109,E36,110:110)-SUMIF(109:109,C36,110:110)+100</f>
        <v>100</v>
      </c>
      <c r="G36" s="567" t="s">
        <v>3539</v>
      </c>
      <c r="H36" s="508">
        <f>SUMIF(109:109,G36,110:110)-SUMIF(109:109,C36,110:110)+100</f>
        <v>100</v>
      </c>
      <c r="I36" s="567" t="s">
        <v>3539</v>
      </c>
      <c r="J36" s="508">
        <f>SUMIF(109:109,I36,110:110)-SUMIF(109:109,C36,110:110)+100</f>
        <v>100</v>
      </c>
      <c r="K36" s="825">
        <v>2</v>
      </c>
      <c r="L36" s="1859"/>
      <c r="M36" s="1851"/>
      <c r="N36" s="1851"/>
      <c r="O36" s="1858"/>
      <c r="P36" s="3902"/>
      <c r="Q36" s="1380" t="str">
        <f t="shared" si="8"/>
        <v>公共部分装修</v>
      </c>
      <c r="R36" s="1381" t="s">
        <v>8</v>
      </c>
      <c r="S36" s="1382">
        <f t="shared" si="9"/>
        <v>100</v>
      </c>
      <c r="T36" s="1381" t="s">
        <v>8</v>
      </c>
      <c r="U36" s="1382">
        <f t="shared" si="10"/>
        <v>100</v>
      </c>
      <c r="V36" s="1381" t="s">
        <v>8</v>
      </c>
      <c r="W36" s="1382">
        <f t="shared" si="11"/>
        <v>100</v>
      </c>
      <c r="X36" s="1375"/>
      <c r="Y36" s="3902"/>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02"/>
      <c r="Q37" s="1045" t="str">
        <f t="shared" si="8"/>
        <v>成新度</v>
      </c>
      <c r="R37" s="1376" t="s">
        <v>8</v>
      </c>
      <c r="S37" s="1377">
        <f t="shared" si="9"/>
        <v>100</v>
      </c>
      <c r="T37" s="1376" t="s">
        <v>8</v>
      </c>
      <c r="U37" s="1377">
        <f t="shared" si="10"/>
        <v>100</v>
      </c>
      <c r="V37" s="1376" t="s">
        <v>8</v>
      </c>
      <c r="W37" s="1377">
        <f t="shared" si="11"/>
        <v>100</v>
      </c>
      <c r="X37" s="1378"/>
      <c r="Y37" s="3902"/>
      <c r="Z37" s="1044" t="str">
        <f t="shared" si="12"/>
        <v>成新度</v>
      </c>
      <c r="AA37" s="1379">
        <f t="shared" si="3"/>
        <v>1</v>
      </c>
      <c r="AB37" s="1379">
        <f t="shared" si="4"/>
        <v>1</v>
      </c>
      <c r="AC37" s="1379">
        <f t="shared" si="5"/>
        <v>1</v>
      </c>
    </row>
    <row r="38" spans="1:29" ht="15">
      <c r="A38" s="562"/>
      <c r="B38" s="495" t="s">
        <v>678</v>
      </c>
      <c r="C38" s="567" t="s">
        <v>3544</v>
      </c>
      <c r="D38" s="508">
        <v>100</v>
      </c>
      <c r="E38" s="567" t="s">
        <v>3544</v>
      </c>
      <c r="F38" s="543">
        <f>SUMIF(114:114,E38,115:115)-SUMIF(114:114,C38,115:115)+100</f>
        <v>100</v>
      </c>
      <c r="G38" s="567" t="s">
        <v>3544</v>
      </c>
      <c r="H38" s="508">
        <f>SUMIF(114:114,G38,115:115)-SUMIF(114:114,C38,115:115)+100</f>
        <v>100</v>
      </c>
      <c r="I38" s="567" t="s">
        <v>3544</v>
      </c>
      <c r="J38" s="508">
        <f>SUMIF(114:114,I38,115:115)-SUMIF(114:114,C38,115:115)+100</f>
        <v>100</v>
      </c>
      <c r="K38" s="825">
        <v>2</v>
      </c>
      <c r="L38" s="1859"/>
      <c r="M38" s="1851"/>
      <c r="N38" s="1851"/>
      <c r="O38" s="1858"/>
      <c r="P38" s="3902" t="s">
        <v>499</v>
      </c>
      <c r="Q38" s="1380" t="str">
        <f t="shared" si="8"/>
        <v>物业管理</v>
      </c>
      <c r="R38" s="1381" t="s">
        <v>8</v>
      </c>
      <c r="S38" s="1382">
        <f t="shared" si="9"/>
        <v>100</v>
      </c>
      <c r="T38" s="1381" t="s">
        <v>8</v>
      </c>
      <c r="U38" s="1382">
        <f t="shared" si="10"/>
        <v>100</v>
      </c>
      <c r="V38" s="1381" t="s">
        <v>8</v>
      </c>
      <c r="W38" s="1382">
        <f t="shared" si="11"/>
        <v>100</v>
      </c>
      <c r="X38" s="1375"/>
      <c r="Y38" s="3902" t="s">
        <v>499</v>
      </c>
      <c r="Z38" s="1383" t="str">
        <f t="shared" si="12"/>
        <v>物业管理</v>
      </c>
      <c r="AA38" s="1384">
        <f t="shared" si="3"/>
        <v>1</v>
      </c>
      <c r="AB38" s="1384">
        <f t="shared" si="4"/>
        <v>1</v>
      </c>
      <c r="AC38" s="1384">
        <f t="shared" si="5"/>
        <v>1</v>
      </c>
    </row>
    <row r="39" spans="1:29" ht="15">
      <c r="A39" s="562"/>
      <c r="B39" s="1645" t="s">
        <v>1843</v>
      </c>
      <c r="C39" s="567" t="s">
        <v>3505</v>
      </c>
      <c r="D39" s="508">
        <v>100</v>
      </c>
      <c r="E39" s="567" t="s">
        <v>3267</v>
      </c>
      <c r="F39" s="543">
        <f>SUMIF(116:116,E39,117:117)-SUMIF(116:116,C39,117:117)+100</f>
        <v>101</v>
      </c>
      <c r="G39" s="567" t="s">
        <v>3267</v>
      </c>
      <c r="H39" s="508">
        <f>SUMIF(116:116,G39,117:117)-SUMIF(116:116,C39,117:117)+100</f>
        <v>101</v>
      </c>
      <c r="I39" s="567" t="s">
        <v>3267</v>
      </c>
      <c r="J39" s="508">
        <f>SUMIF(116:116,I39,117:117)-SUMIF(116:116,C39,117:117)+100</f>
        <v>101</v>
      </c>
      <c r="K39" s="825">
        <v>1</v>
      </c>
      <c r="L39" s="1859"/>
      <c r="M39" s="1851"/>
      <c r="N39" s="1851"/>
      <c r="O39" s="1858"/>
      <c r="P39" s="3902"/>
      <c r="Q39" s="1380" t="str">
        <f t="shared" si="8"/>
        <v>市政基础设施</v>
      </c>
      <c r="R39" s="1381" t="s">
        <v>8</v>
      </c>
      <c r="S39" s="1382">
        <f t="shared" si="9"/>
        <v>101</v>
      </c>
      <c r="T39" s="1381" t="s">
        <v>8</v>
      </c>
      <c r="U39" s="1382">
        <f t="shared" si="10"/>
        <v>101</v>
      </c>
      <c r="V39" s="1381" t="s">
        <v>8</v>
      </c>
      <c r="W39" s="1382">
        <f t="shared" si="11"/>
        <v>101</v>
      </c>
      <c r="X39" s="1375"/>
      <c r="Y39" s="3902"/>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02"/>
      <c r="Q40" s="1380" t="str">
        <f t="shared" si="8"/>
        <v>房型</v>
      </c>
      <c r="R40" s="1381" t="s">
        <v>8</v>
      </c>
      <c r="S40" s="1382">
        <f t="shared" si="9"/>
        <v>100</v>
      </c>
      <c r="T40" s="1381" t="s">
        <v>8</v>
      </c>
      <c r="U40" s="1382">
        <f t="shared" si="10"/>
        <v>100</v>
      </c>
      <c r="V40" s="1381" t="s">
        <v>8</v>
      </c>
      <c r="W40" s="1382">
        <f t="shared" si="11"/>
        <v>100</v>
      </c>
      <c r="X40" s="1375"/>
      <c r="Y40" s="3902"/>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02"/>
      <c r="Q41" s="1409" t="str">
        <f t="shared" si="8"/>
        <v>单套/主力户型建筑面积</v>
      </c>
      <c r="R41" s="1385" t="s">
        <v>8</v>
      </c>
      <c r="S41" s="1386">
        <f t="shared" si="9"/>
        <v>100</v>
      </c>
      <c r="T41" s="1385" t="s">
        <v>8</v>
      </c>
      <c r="U41" s="1386">
        <f t="shared" si="10"/>
        <v>100</v>
      </c>
      <c r="V41" s="1385" t="s">
        <v>8</v>
      </c>
      <c r="W41" s="1386">
        <f t="shared" si="11"/>
        <v>100</v>
      </c>
      <c r="X41" s="1387"/>
      <c r="Y41" s="3902"/>
      <c r="Z41" s="1388" t="str">
        <f t="shared" si="12"/>
        <v>单套/主力户型建筑面积</v>
      </c>
      <c r="AA41" s="1384">
        <f t="shared" si="3"/>
        <v>1</v>
      </c>
      <c r="AB41" s="1384">
        <f t="shared" si="4"/>
        <v>1</v>
      </c>
      <c r="AC41" s="1384">
        <f t="shared" si="5"/>
        <v>1</v>
      </c>
    </row>
    <row r="42" spans="1:29" ht="15">
      <c r="A42" s="562"/>
      <c r="B42" s="495" t="s">
        <v>681</v>
      </c>
      <c r="C42" s="567" t="s">
        <v>3793</v>
      </c>
      <c r="D42" s="508">
        <v>100</v>
      </c>
      <c r="E42" s="567" t="s">
        <v>3762</v>
      </c>
      <c r="F42" s="543">
        <f>SUMIF(122:122,E42,123:123)-SUMIF(122:122,C42,123:123)+100</f>
        <v>99</v>
      </c>
      <c r="G42" s="567" t="s">
        <v>3539</v>
      </c>
      <c r="H42" s="508">
        <f>SUMIF(122:122,G42,123:123)-SUMIF(122:122,C42,123:123)+100</f>
        <v>102</v>
      </c>
      <c r="I42" s="567" t="s">
        <v>3539</v>
      </c>
      <c r="J42" s="508">
        <f>SUMIF(122:122,I42,123:123)-SUMIF(122:122,C42,123:123)+100</f>
        <v>102</v>
      </c>
      <c r="K42" s="825">
        <v>1</v>
      </c>
      <c r="L42" s="1859"/>
      <c r="M42" s="1851"/>
      <c r="N42" s="1851"/>
      <c r="O42" s="1858"/>
      <c r="P42" s="3902"/>
      <c r="Q42" s="1380" t="str">
        <f t="shared" si="8"/>
        <v>内部装修</v>
      </c>
      <c r="R42" s="1381" t="s">
        <v>8</v>
      </c>
      <c r="S42" s="1382">
        <f t="shared" si="9"/>
        <v>99</v>
      </c>
      <c r="T42" s="1381" t="s">
        <v>8</v>
      </c>
      <c r="U42" s="1382">
        <f t="shared" si="10"/>
        <v>102</v>
      </c>
      <c r="V42" s="1381" t="s">
        <v>8</v>
      </c>
      <c r="W42" s="1382">
        <f t="shared" si="11"/>
        <v>102</v>
      </c>
      <c r="X42" s="1375"/>
      <c r="Y42" s="3902"/>
      <c r="Z42" s="1383" t="str">
        <f t="shared" si="12"/>
        <v>内部装修</v>
      </c>
      <c r="AA42" s="1384">
        <f t="shared" si="3"/>
        <v>1.0101010101010102</v>
      </c>
      <c r="AB42" s="1384">
        <f t="shared" si="4"/>
        <v>0.98039215686274506</v>
      </c>
      <c r="AC42" s="1384">
        <f t="shared" si="5"/>
        <v>0.98039215686274506</v>
      </c>
    </row>
    <row r="43" spans="1:29" ht="27.75" thickBot="1">
      <c r="A43" s="562"/>
      <c r="B43" s="495" t="s">
        <v>682</v>
      </c>
      <c r="C43" s="567" t="s">
        <v>3262</v>
      </c>
      <c r="D43" s="508">
        <v>100</v>
      </c>
      <c r="E43" s="567" t="s">
        <v>3262</v>
      </c>
      <c r="F43" s="543">
        <f>SUMIF(124:124,E43,125:125)-SUMIF(124:124,C43,125:125)+100</f>
        <v>100</v>
      </c>
      <c r="G43" s="567" t="s">
        <v>3262</v>
      </c>
      <c r="H43" s="508">
        <f>SUMIF(124:124,G43,125:125)-SUMIF(124:124,C43,125:125)+100</f>
        <v>100</v>
      </c>
      <c r="I43" s="567" t="s">
        <v>3262</v>
      </c>
      <c r="J43" s="508">
        <f>SUMIF(124:124,I43,125:125)-SUMIF(124:124,C43,125:125)+100</f>
        <v>100</v>
      </c>
      <c r="K43" s="825">
        <v>2</v>
      </c>
      <c r="L43" s="1859"/>
      <c r="M43" s="1851"/>
      <c r="N43" s="1851"/>
      <c r="O43" s="1858"/>
      <c r="P43" s="3902"/>
      <c r="Q43" s="1380" t="str">
        <f t="shared" si="8"/>
        <v>内部装修维护情况</v>
      </c>
      <c r="R43" s="1381" t="s">
        <v>8</v>
      </c>
      <c r="S43" s="1382">
        <f t="shared" si="9"/>
        <v>100</v>
      </c>
      <c r="T43" s="1381" t="s">
        <v>8</v>
      </c>
      <c r="U43" s="1382">
        <f t="shared" si="10"/>
        <v>100</v>
      </c>
      <c r="V43" s="1381" t="s">
        <v>8</v>
      </c>
      <c r="W43" s="1382">
        <f t="shared" si="11"/>
        <v>100</v>
      </c>
      <c r="X43" s="1375"/>
      <c r="Y43" s="3902"/>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02"/>
      <c r="Q44" s="1045">
        <f t="shared" si="8"/>
        <v>111</v>
      </c>
      <c r="R44" s="1376" t="s">
        <v>8</v>
      </c>
      <c r="S44" s="1377">
        <f t="shared" si="9"/>
        <v>100</v>
      </c>
      <c r="T44" s="1376" t="s">
        <v>8</v>
      </c>
      <c r="U44" s="1377">
        <f t="shared" si="10"/>
        <v>100</v>
      </c>
      <c r="V44" s="1376" t="s">
        <v>8</v>
      </c>
      <c r="W44" s="1377">
        <f t="shared" si="11"/>
        <v>100</v>
      </c>
      <c r="X44" s="1378"/>
      <c r="Y44" s="3902"/>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02"/>
      <c r="Q45" s="1380">
        <f t="shared" si="8"/>
        <v>111</v>
      </c>
      <c r="R45" s="1381" t="s">
        <v>8</v>
      </c>
      <c r="S45" s="1382">
        <f t="shared" si="9"/>
        <v>100</v>
      </c>
      <c r="T45" s="1381" t="s">
        <v>8</v>
      </c>
      <c r="U45" s="1382">
        <f t="shared" si="10"/>
        <v>100</v>
      </c>
      <c r="V45" s="1381" t="s">
        <v>8</v>
      </c>
      <c r="W45" s="1382">
        <f t="shared" si="11"/>
        <v>100</v>
      </c>
      <c r="X45" s="1375"/>
      <c r="Y45" s="3902"/>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80"/>
      <c r="Q46" s="1380">
        <f t="shared" si="8"/>
        <v>111</v>
      </c>
      <c r="R46" s="1381" t="s">
        <v>7</v>
      </c>
      <c r="S46" s="1382">
        <f t="shared" si="9"/>
        <v>100</v>
      </c>
      <c r="T46" s="1381" t="s">
        <v>7</v>
      </c>
      <c r="U46" s="1382">
        <f t="shared" si="10"/>
        <v>100</v>
      </c>
      <c r="V46" s="1381" t="s">
        <v>7</v>
      </c>
      <c r="W46" s="1382">
        <f t="shared" si="11"/>
        <v>100</v>
      </c>
      <c r="X46" s="1375"/>
      <c r="Y46" s="3980"/>
      <c r="Z46" s="1383">
        <f t="shared" si="12"/>
        <v>111</v>
      </c>
      <c r="AA46" s="1384">
        <f t="shared" si="3"/>
        <v>1</v>
      </c>
      <c r="AB46" s="1384">
        <f t="shared" si="4"/>
        <v>1</v>
      </c>
      <c r="AC46" s="1384">
        <f t="shared" si="5"/>
        <v>1</v>
      </c>
    </row>
    <row r="47" spans="1:29" ht="15">
      <c r="A47" s="575" t="s">
        <v>683</v>
      </c>
      <c r="B47" s="845"/>
      <c r="C47" s="2228" t="s">
        <v>6</v>
      </c>
      <c r="D47" s="2229"/>
      <c r="E47" s="2230">
        <v>101000</v>
      </c>
      <c r="F47" s="2231"/>
      <c r="G47" s="2232">
        <f>案例!C4</f>
        <v>112650</v>
      </c>
      <c r="H47" s="2233"/>
      <c r="I47" s="2230">
        <f>案例!C6</f>
        <v>96283</v>
      </c>
      <c r="J47" s="2233"/>
      <c r="K47" s="1410"/>
      <c r="L47" s="1861"/>
      <c r="M47" s="1862"/>
      <c r="N47" s="1851"/>
      <c r="O47" s="1862"/>
      <c r="P47" s="3897" t="str">
        <f>A47</f>
        <v>成交单价（元/平方米）</v>
      </c>
      <c r="Q47" s="3897"/>
      <c r="R47" s="3979">
        <f>E47</f>
        <v>101000</v>
      </c>
      <c r="S47" s="3979"/>
      <c r="T47" s="3979">
        <f>G47</f>
        <v>112650</v>
      </c>
      <c r="U47" s="3979"/>
      <c r="V47" s="3979">
        <f>I47</f>
        <v>96283</v>
      </c>
      <c r="W47" s="3979"/>
      <c r="X47" s="1370"/>
      <c r="Y47" s="1389"/>
      <c r="Z47" s="1370"/>
      <c r="AA47" s="1370"/>
      <c r="AB47" s="1370"/>
      <c r="AC47" s="1370"/>
    </row>
    <row r="48" spans="1:29" ht="15.75" thickBot="1">
      <c r="A48" s="583" t="s">
        <v>2038</v>
      </c>
      <c r="B48" s="846"/>
      <c r="C48" s="2234">
        <f>R49</f>
        <v>118532</v>
      </c>
      <c r="D48" s="2749" t="s">
        <v>2246</v>
      </c>
      <c r="E48" s="2235">
        <f>R48</f>
        <v>113553</v>
      </c>
      <c r="F48" s="2750"/>
      <c r="G48" s="2234">
        <f>T48</f>
        <v>130502</v>
      </c>
      <c r="H48" s="2750"/>
      <c r="I48" s="2235">
        <f>V48</f>
        <v>111541</v>
      </c>
      <c r="J48" s="2750"/>
      <c r="K48" s="2758">
        <f>F48+H48+J48</f>
        <v>0</v>
      </c>
      <c r="L48" s="1861"/>
      <c r="M48" s="1862"/>
      <c r="N48" s="1862"/>
      <c r="O48" s="1862"/>
      <c r="P48" s="3897" t="str">
        <f>A48</f>
        <v>比较价格（元/平方米）</v>
      </c>
      <c r="Q48" s="3897"/>
      <c r="R48" s="3979">
        <f>IF(F1="售价",ROUND(PRODUCT(R47,AA7:AA46),0),ROUND(PRODUCT(R47,AA7:AA46),1))</f>
        <v>113553</v>
      </c>
      <c r="S48" s="3979"/>
      <c r="T48" s="3979">
        <f>IF(F1="售价",ROUND(PRODUCT(T47,AB7:AB46),0),ROUND(PRODUCT(T47,AB7:AB46),1))</f>
        <v>130502</v>
      </c>
      <c r="U48" s="3979"/>
      <c r="V48" s="3979">
        <f>IF(F1="售价",ROUND(PRODUCT(V47,AC7:AC46),0),ROUND(PRODUCT(V47,AC7:AC46),1))</f>
        <v>111541</v>
      </c>
      <c r="W48" s="3979"/>
      <c r="X48" s="1370"/>
      <c r="Y48" s="1370"/>
      <c r="Z48" s="1370"/>
      <c r="AA48" s="1370"/>
      <c r="AB48" s="1370"/>
      <c r="AC48" s="1370"/>
    </row>
    <row r="49" spans="1:29" ht="15.75" thickBot="1">
      <c r="A49" s="587" t="s">
        <v>2183</v>
      </c>
      <c r="B49" s="588"/>
      <c r="C49" s="2236">
        <f>R49</f>
        <v>118532</v>
      </c>
      <c r="D49" s="2236"/>
      <c r="E49" s="2236"/>
      <c r="F49" s="2236"/>
      <c r="G49" s="2236"/>
      <c r="H49" s="2236"/>
      <c r="I49" s="2236"/>
      <c r="J49" s="2236"/>
      <c r="K49" s="1411"/>
      <c r="L49" s="1861"/>
      <c r="M49" s="1862"/>
      <c r="N49" s="1862"/>
      <c r="O49" s="1862"/>
      <c r="P49" s="3903" t="str">
        <f>A49</f>
        <v>估价对象XX用房的比较价格（楼面单价，元/平方米）</v>
      </c>
      <c r="Q49" s="3904"/>
      <c r="R49" s="3978">
        <f>IF(F1="售价",ROUND(IF(D48="简单平均",AVERAGE(R48:V48),R48*F48+T48*H48+V48*J48),0),ROUND(IF(D48="简单平均",AVERAGE(R48:V48),R48*F48+T48*H48+V48*J48),1))</f>
        <v>118532</v>
      </c>
      <c r="S49" s="3978"/>
      <c r="T49" s="3978"/>
      <c r="U49" s="3978"/>
      <c r="V49" s="3978"/>
      <c r="W49" s="3978"/>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0.12428712871287129</v>
      </c>
      <c r="F52" s="593" t="str">
        <f>IF(OR(E52&gt;=0.3,E52&lt;=-0.3),"超过30%","")</f>
        <v/>
      </c>
      <c r="G52" s="592">
        <f>IF(G47&lt;G48,G48/G47-1,G47/G48-1)</f>
        <v>0.15847314691522407</v>
      </c>
      <c r="H52" s="593" t="str">
        <f>IF(OR(G52&gt;=0.3,G52&lt;=-0.3),"超过30%","")</f>
        <v/>
      </c>
      <c r="I52" s="592">
        <f>IF(I47&lt;I48,I48/I47-1,I47/I48-1)</f>
        <v>0.15847034263577164</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0.14926069764779437</v>
      </c>
      <c r="F53" s="593" t="str">
        <f>IF(OR(E53&gt;=0.2,E53&lt;=-0.2),"超过20%","")</f>
        <v/>
      </c>
      <c r="G53" s="592">
        <f>IF(G48&lt;I48,I48/G48-1,G48/I48-1)</f>
        <v>0.16999130364619286</v>
      </c>
      <c r="H53" s="593" t="str">
        <f>IF(OR(G53&gt;=0.2,G53&lt;=-0.2),"超过20%","")</f>
        <v/>
      </c>
      <c r="I53" s="592">
        <f>IF(I48&lt;E48,E48/I48-1,I48/E48-1)</f>
        <v>1.803821016487217E-2</v>
      </c>
      <c r="J53" s="593" t="str">
        <f>IF(OR(I53&gt;=0.2,I53&lt;=-0.2),"超过20%","")</f>
        <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0.11534653465346545</v>
      </c>
      <c r="F54" s="593" t="str">
        <f>IF(OR(E54&gt;=0.3,E54&lt;=-0.3),"超过30%","")</f>
        <v/>
      </c>
      <c r="G54" s="592">
        <f>IF(G47&lt;I47,I47/G47-1,G47/I47-1)</f>
        <v>0.16998847148510121</v>
      </c>
      <c r="H54" s="593" t="str">
        <f>IF(OR(G54&gt;=0.3,G54&lt;=-0.3),"超过30%","")</f>
        <v/>
      </c>
      <c r="I54" s="592">
        <f>IF(I47&lt;E47,E47/I47-1,I47/E47-1)</f>
        <v>4.8990995295119522E-2</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c r="O59" s="616"/>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3514</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3515</v>
      </c>
      <c r="D65" s="684" t="s">
        <v>3516</v>
      </c>
      <c r="E65" s="684" t="s">
        <v>3517</v>
      </c>
      <c r="F65" s="684" t="s">
        <v>3518</v>
      </c>
      <c r="G65" s="684" t="s">
        <v>3519</v>
      </c>
      <c r="H65" s="3663" t="s">
        <v>3521</v>
      </c>
      <c r="I65" s="684" t="s">
        <v>3520</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0（含）-1.1</v>
      </c>
      <c r="D67" s="648" t="str">
        <f t="shared" ref="D67:L67" si="15">D68&amp;"（含）"&amp;"-"&amp;E68</f>
        <v>1.1（含）-1.5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1.1000000000000001</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3522</v>
      </c>
      <c r="D86" s="3660" t="s">
        <v>3523</v>
      </c>
      <c r="E86" s="3660" t="s">
        <v>3524</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3525</v>
      </c>
      <c r="D88" s="3660" t="s">
        <v>3526</v>
      </c>
      <c r="E88" s="3660" t="s">
        <v>3527</v>
      </c>
      <c r="F88" s="3664" t="s">
        <v>3528</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3775</v>
      </c>
      <c r="D100" s="3659" t="s">
        <v>3777</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90</v>
      </c>
      <c r="E101" s="645">
        <f t="shared" si="19"/>
        <v>80</v>
      </c>
      <c r="F101" s="645">
        <f t="shared" si="19"/>
        <v>70</v>
      </c>
      <c r="G101" s="645">
        <f t="shared" si="19"/>
        <v>60</v>
      </c>
      <c r="H101" s="645">
        <f t="shared" si="19"/>
        <v>50</v>
      </c>
      <c r="I101" s="645">
        <f t="shared" si="19"/>
        <v>40</v>
      </c>
      <c r="J101" s="645">
        <f t="shared" si="19"/>
        <v>30</v>
      </c>
      <c r="K101" s="645">
        <f t="shared" si="19"/>
        <v>20</v>
      </c>
      <c r="L101" s="645">
        <f t="shared" si="19"/>
        <v>10</v>
      </c>
      <c r="M101" s="645">
        <f t="shared" si="19"/>
        <v>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3529</v>
      </c>
      <c r="D105" s="3660" t="s">
        <v>3531</v>
      </c>
      <c r="E105" s="3661" t="s">
        <v>3532</v>
      </c>
      <c r="F105" s="3661" t="s">
        <v>3533</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3535</v>
      </c>
      <c r="D107" s="3661" t="s">
        <v>3536</v>
      </c>
      <c r="E107" s="3661" t="s">
        <v>3537</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3538</v>
      </c>
      <c r="D109" s="3660" t="s">
        <v>3540</v>
      </c>
      <c r="E109" s="3660" t="s">
        <v>3541</v>
      </c>
      <c r="F109" s="3661" t="s">
        <v>3542</v>
      </c>
      <c r="G109" s="3661" t="s">
        <v>3543</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3545</v>
      </c>
      <c r="D114" s="3660" t="s">
        <v>3546</v>
      </c>
      <c r="E114" s="3661" t="s">
        <v>3547</v>
      </c>
      <c r="F114" s="3661" t="s">
        <v>3548</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3512</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1" t="s">
        <v>1803</v>
      </c>
      <c r="C6" s="747">
        <f ca="1">ROUND(F6*F8*F7*(1-F9)/10000,0)</f>
        <v>0</v>
      </c>
      <c r="D6" s="2138" t="s">
        <v>1802</v>
      </c>
      <c r="E6" s="748" t="s">
        <v>1267</v>
      </c>
      <c r="F6" s="749">
        <f ca="1">INDIRECT("'数据-取费表'!u"&amp;$G$1)</f>
        <v>0</v>
      </c>
      <c r="G6" s="1780"/>
      <c r="H6" s="2145" t="s">
        <v>1808</v>
      </c>
      <c r="I6" s="3971" t="s">
        <v>1803</v>
      </c>
      <c r="J6" s="747">
        <f ca="1">ROUND(M6*M8*M7*(1-M9)/10000,0)</f>
        <v>0</v>
      </c>
      <c r="K6" s="330" t="s">
        <v>1266</v>
      </c>
      <c r="L6" s="748" t="s">
        <v>1267</v>
      </c>
      <c r="M6" s="749">
        <f ca="1">INDIRECT("'数据-取费表'!z"&amp;$G$1)</f>
        <v>0</v>
      </c>
    </row>
    <row r="7" spans="1:33" ht="18" customHeight="1">
      <c r="A7" s="2141"/>
      <c r="B7" s="3972"/>
      <c r="C7" s="752"/>
      <c r="D7" s="753"/>
      <c r="E7" s="748" t="s">
        <v>1268</v>
      </c>
      <c r="F7" s="749">
        <f ca="1">IF(INDIRECT("'数据-取费表'!ah"&amp;$G$1)="",INDIRECT("'数据-取费表'!k"&amp;$G$1),INDIRECT("'数据-取费表'!ah"&amp;$G$1))</f>
        <v>88647.3</v>
      </c>
      <c r="G7" s="1780"/>
      <c r="H7" s="2130"/>
      <c r="I7" s="3972"/>
      <c r="J7" s="752"/>
      <c r="K7" s="753"/>
      <c r="L7" s="748" t="s">
        <v>1268</v>
      </c>
      <c r="M7" s="749">
        <f ca="1">F7</f>
        <v>88647.3</v>
      </c>
    </row>
    <row r="8" spans="1:33" ht="18" customHeight="1">
      <c r="A8" s="2134"/>
      <c r="B8" s="3973"/>
      <c r="C8" s="752"/>
      <c r="D8" s="753"/>
      <c r="E8" s="748" t="s">
        <v>1269</v>
      </c>
      <c r="F8" s="749">
        <f ca="1">INDIRECT("'数据-取费表'!ai"&amp;$G$1)</f>
        <v>0</v>
      </c>
      <c r="G8" s="1780"/>
      <c r="H8" s="2130"/>
      <c r="I8" s="3973"/>
      <c r="J8" s="752"/>
      <c r="K8" s="753"/>
      <c r="L8" s="748" t="s">
        <v>1269</v>
      </c>
      <c r="M8" s="749">
        <f ca="1">INDIRECT("'数据-取费表'!ai"&amp;$G$1)</f>
        <v>0</v>
      </c>
    </row>
    <row r="9" spans="1:33" ht="18" customHeight="1">
      <c r="A9" s="750"/>
      <c r="B9" s="3974"/>
      <c r="C9" s="752"/>
      <c r="D9" s="753"/>
      <c r="E9" s="748" t="s">
        <v>1270</v>
      </c>
      <c r="F9" s="758">
        <f ca="1">INDIRECT("'数据-取费表'!w"&amp;$G$1)</f>
        <v>0</v>
      </c>
      <c r="G9" s="1780"/>
      <c r="H9" s="2146"/>
      <c r="I9" s="3973"/>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3513</v>
      </c>
      <c r="G10" s="1780"/>
      <c r="H10" s="2173" t="s">
        <v>1809</v>
      </c>
      <c r="I10" s="2178" t="s">
        <v>1799</v>
      </c>
      <c r="J10" s="747">
        <f ca="1">ROUND(IF(M10="押一",J6/12*M11,IF(M10="押二",J6/12*2*M11,IF(M10="押三",J6/12*3*M11,J11*M11))),0)</f>
        <v>0</v>
      </c>
      <c r="K10" s="2142" t="s">
        <v>2217</v>
      </c>
      <c r="L10" s="2139" t="s">
        <v>1804</v>
      </c>
      <c r="M10" s="2223" t="s">
        <v>3513</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62792</v>
      </c>
      <c r="D14" s="1728" t="s">
        <v>1274</v>
      </c>
      <c r="E14" s="1729"/>
      <c r="F14" s="769"/>
      <c r="G14" s="1780"/>
      <c r="H14" s="1449" t="s">
        <v>1359</v>
      </c>
      <c r="I14" s="1944" t="s">
        <v>2099</v>
      </c>
      <c r="J14" s="50">
        <f ca="1">C29</f>
        <v>102789</v>
      </c>
      <c r="K14" s="23"/>
      <c r="L14" s="765"/>
      <c r="M14" s="766"/>
    </row>
    <row r="15" spans="1:33" s="1782" customFormat="1" ht="18" customHeight="1" thickBot="1">
      <c r="A15" s="1448" t="s">
        <v>1410</v>
      </c>
      <c r="B15" s="748" t="s">
        <v>595</v>
      </c>
      <c r="C15" s="50">
        <f ca="1">ROUND(C14*F15,0)</f>
        <v>3140</v>
      </c>
      <c r="D15" s="770" t="s">
        <v>1275</v>
      </c>
      <c r="E15" s="770" t="s">
        <v>1276</v>
      </c>
      <c r="F15" s="771">
        <f>'数据-取费表'!B33</f>
        <v>0.05</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5319</v>
      </c>
      <c r="D16" s="748" t="s">
        <v>1275</v>
      </c>
      <c r="E16" s="748" t="s">
        <v>1276</v>
      </c>
      <c r="F16" s="773">
        <f ca="1">IF(INDIRECT("'数据-取费表'!c"&amp;$G$1)="住宅",'数据-取费表'!B34,0)</f>
        <v>0.1</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942</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74077</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1482</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4059</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15112</v>
      </c>
      <c r="D26" s="775" t="s">
        <v>1307</v>
      </c>
      <c r="E26" s="759" t="s">
        <v>1308</v>
      </c>
      <c r="F26" s="758">
        <f ca="1">INDIRECT("'数据-取费表'!q"&amp;$G$1)</f>
        <v>0.2</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4.0000000000000001E-3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102789</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102789</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1" t="s">
        <v>2211</v>
      </c>
      <c r="L53" s="3982"/>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102789</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89" t="s">
        <v>2288</v>
      </c>
      <c r="K2" s="3990"/>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91" t="s">
        <v>2298</v>
      </c>
      <c r="K3" s="3992"/>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91" t="s">
        <v>2300</v>
      </c>
      <c r="K4" s="3992"/>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97" t="s">
        <v>2304</v>
      </c>
      <c r="B6" s="3998"/>
      <c r="C6" s="3999"/>
      <c r="D6" s="3085"/>
      <c r="E6" s="3086"/>
      <c r="F6" s="3087"/>
      <c r="G6" s="3088"/>
      <c r="H6" s="3063"/>
      <c r="I6" s="3064"/>
      <c r="J6" s="3983">
        <v>1</v>
      </c>
      <c r="K6" s="3984"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83"/>
      <c r="K7" s="3985"/>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4000" t="s">
        <v>2318</v>
      </c>
      <c r="C8" s="4001"/>
      <c r="D8" s="3104" t="s">
        <v>2319</v>
      </c>
      <c r="E8" s="3105" t="s">
        <v>2320</v>
      </c>
      <c r="F8" s="3106" t="s">
        <v>2321</v>
      </c>
      <c r="G8" s="3107"/>
      <c r="H8" s="3063"/>
      <c r="I8" s="3064"/>
      <c r="J8" s="3983"/>
      <c r="K8" s="3985"/>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4000" t="s">
        <v>2324</v>
      </c>
      <c r="C9" s="4001"/>
      <c r="D9" s="3104">
        <f>ROUND(D6*E9,0)</f>
        <v>0</v>
      </c>
      <c r="E9" s="3108"/>
      <c r="F9" s="3109" t="s">
        <v>2325</v>
      </c>
      <c r="G9" s="3088"/>
      <c r="H9" s="3063"/>
      <c r="I9" s="3064"/>
      <c r="J9" s="3983"/>
      <c r="K9" s="3985"/>
      <c r="L9" s="3098" t="s">
        <v>2326</v>
      </c>
      <c r="M9" s="3099"/>
      <c r="N9" s="3075"/>
      <c r="O9" s="3100"/>
      <c r="P9" s="3100"/>
      <c r="Q9" s="3101">
        <v>365</v>
      </c>
      <c r="R9" s="3102">
        <f t="shared" si="0"/>
        <v>0</v>
      </c>
      <c r="S9" s="3055"/>
      <c r="T9" s="3055"/>
      <c r="U9" s="3055"/>
      <c r="V9" s="3064"/>
    </row>
    <row r="10" spans="1:22" s="3068" customFormat="1" ht="13.15" customHeight="1">
      <c r="A10" s="3103">
        <v>2</v>
      </c>
      <c r="B10" s="4000" t="s">
        <v>2327</v>
      </c>
      <c r="C10" s="4001"/>
      <c r="D10" s="3104">
        <f>ROUND(D6*E10,0)</f>
        <v>0</v>
      </c>
      <c r="E10" s="3108"/>
      <c r="F10" s="3109" t="s">
        <v>2328</v>
      </c>
      <c r="G10" s="3088"/>
      <c r="H10" s="3063"/>
      <c r="I10" s="3064"/>
      <c r="J10" s="3983"/>
      <c r="K10" s="3985"/>
      <c r="L10" s="3098" t="s">
        <v>2329</v>
      </c>
      <c r="M10" s="3099"/>
      <c r="N10" s="3075"/>
      <c r="O10" s="3100"/>
      <c r="P10" s="3100"/>
      <c r="Q10" s="3101">
        <v>365</v>
      </c>
      <c r="R10" s="3102">
        <f t="shared" si="0"/>
        <v>0</v>
      </c>
      <c r="S10" s="3055"/>
      <c r="T10" s="3055"/>
      <c r="U10" s="3055"/>
      <c r="V10" s="3064"/>
    </row>
    <row r="11" spans="1:22" s="3068" customFormat="1" ht="13.15" customHeight="1">
      <c r="A11" s="3103">
        <v>3</v>
      </c>
      <c r="B11" s="4000" t="s">
        <v>2330</v>
      </c>
      <c r="C11" s="4001"/>
      <c r="D11" s="3104">
        <f>D12+D14+D15+D16</f>
        <v>0</v>
      </c>
      <c r="E11" s="3110" t="e">
        <f>D11/D6</f>
        <v>#DIV/0!</v>
      </c>
      <c r="F11" s="3106"/>
      <c r="G11" s="3107"/>
      <c r="H11" s="3063"/>
      <c r="I11" s="3064"/>
      <c r="J11" s="3983"/>
      <c r="K11" s="3985"/>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3" t="s">
        <v>2333</v>
      </c>
      <c r="C12" s="3994"/>
      <c r="D12" s="3112">
        <f>ROUND(D13*1.2%*(1-30%),0)</f>
        <v>0</v>
      </c>
      <c r="E12" s="3113">
        <v>1.2E-2</v>
      </c>
      <c r="F12" s="3106" t="s">
        <v>2334</v>
      </c>
      <c r="G12" s="3107"/>
      <c r="H12" s="3063"/>
      <c r="I12" s="3064"/>
      <c r="J12" s="3983"/>
      <c r="K12" s="3985"/>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83"/>
      <c r="K13" s="3985"/>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3" t="s">
        <v>2339</v>
      </c>
      <c r="C14" s="3994"/>
      <c r="D14" s="3112">
        <f>ROUND(E14*B5/10000,0)</f>
        <v>0</v>
      </c>
      <c r="E14" s="3101"/>
      <c r="F14" s="3106" t="s">
        <v>2340</v>
      </c>
      <c r="G14" s="3107"/>
      <c r="H14" s="3063"/>
      <c r="I14" s="3064"/>
      <c r="J14" s="3983"/>
      <c r="K14" s="3986"/>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3" t="s">
        <v>2343</v>
      </c>
      <c r="C15" s="3994"/>
      <c r="D15" s="3112">
        <f>ROUND(D6*E15,0)</f>
        <v>0</v>
      </c>
      <c r="E15" s="3113">
        <v>5.5E-2</v>
      </c>
      <c r="F15" s="3106" t="s">
        <v>2344</v>
      </c>
      <c r="G15" s="3088"/>
      <c r="H15" s="3063"/>
      <c r="I15" s="3064"/>
      <c r="J15" s="3983">
        <v>2</v>
      </c>
      <c r="K15" s="3984"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3" t="s">
        <v>2354</v>
      </c>
      <c r="C16" s="3994"/>
      <c r="D16" s="3123">
        <f>D6*E16</f>
        <v>0</v>
      </c>
      <c r="E16" s="3124"/>
      <c r="F16" s="3109" t="s">
        <v>2355</v>
      </c>
      <c r="G16" s="3088"/>
      <c r="H16" s="3063"/>
      <c r="I16" s="3064"/>
      <c r="J16" s="3983"/>
      <c r="K16" s="3985"/>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5" t="s">
        <v>2357</v>
      </c>
      <c r="C17" s="3996"/>
      <c r="D17" s="3126">
        <f>ROUND(D6*E17,0)</f>
        <v>0</v>
      </c>
      <c r="E17" s="3127"/>
      <c r="F17" s="3128" t="s">
        <v>2358</v>
      </c>
      <c r="G17" s="3088"/>
      <c r="H17" s="3063"/>
      <c r="I17" s="3064"/>
      <c r="J17" s="3983"/>
      <c r="K17" s="3985"/>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83"/>
      <c r="K18" s="3985"/>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83"/>
      <c r="K19" s="3986"/>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83">
        <v>3</v>
      </c>
      <c r="K20" s="3984"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83"/>
      <c r="K21" s="3985"/>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83"/>
      <c r="K22" s="3985"/>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83"/>
      <c r="K23" s="3985"/>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83"/>
      <c r="K24" s="3986"/>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3987">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3988"/>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89" t="s">
        <v>2400</v>
      </c>
      <c r="K32" s="3990"/>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91" t="s">
        <v>2404</v>
      </c>
      <c r="K33" s="3992"/>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91" t="s">
        <v>2406</v>
      </c>
      <c r="K34" s="3992"/>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83">
        <v>1</v>
      </c>
      <c r="K36" s="3984"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83"/>
      <c r="K37" s="3985"/>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83"/>
      <c r="K38" s="3985"/>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83"/>
      <c r="K39" s="3985"/>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83"/>
      <c r="K40" s="3986"/>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3987">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3988"/>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0.91900000000000004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905" t="s">
        <v>471</v>
      </c>
      <c r="D4" s="3906"/>
      <c r="E4" s="3932" t="s">
        <v>472</v>
      </c>
      <c r="F4" s="3933"/>
      <c r="G4" s="3905" t="s">
        <v>473</v>
      </c>
      <c r="H4" s="3906"/>
      <c r="I4" s="3905" t="s">
        <v>474</v>
      </c>
      <c r="J4" s="3906"/>
      <c r="K4" s="482" t="s">
        <v>475</v>
      </c>
      <c r="L4" s="1850"/>
      <c r="M4" s="1851"/>
      <c r="N4" s="1851"/>
      <c r="O4" s="1851"/>
      <c r="P4" s="3907" t="s">
        <v>476</v>
      </c>
      <c r="Q4" s="3908"/>
      <c r="R4" s="3891" t="s">
        <v>472</v>
      </c>
      <c r="S4" s="3892"/>
      <c r="T4" s="3891" t="s">
        <v>473</v>
      </c>
      <c r="U4" s="3892"/>
      <c r="V4" s="3913" t="s">
        <v>474</v>
      </c>
      <c r="W4" s="3913"/>
      <c r="X4" s="1375"/>
      <c r="Y4" s="3891" t="s">
        <v>476</v>
      </c>
      <c r="Z4" s="3892"/>
      <c r="AA4" s="3886" t="s">
        <v>472</v>
      </c>
      <c r="AB4" s="3913" t="s">
        <v>473</v>
      </c>
      <c r="AC4" s="3886" t="s">
        <v>474</v>
      </c>
    </row>
    <row r="5" spans="1:29" ht="15">
      <c r="A5" s="483"/>
      <c r="B5" s="484"/>
      <c r="C5" s="3916" t="s">
        <v>2178</v>
      </c>
      <c r="D5" s="3917"/>
      <c r="E5" s="3934" t="s">
        <v>2179</v>
      </c>
      <c r="F5" s="3935"/>
      <c r="G5" s="3916" t="s">
        <v>2180</v>
      </c>
      <c r="H5" s="3917"/>
      <c r="I5" s="3916" t="s">
        <v>2181</v>
      </c>
      <c r="J5" s="3917"/>
      <c r="K5" s="482"/>
      <c r="L5" s="1850"/>
      <c r="M5" s="1851"/>
      <c r="N5" s="1851"/>
      <c r="O5" s="1851"/>
      <c r="P5" s="3909"/>
      <c r="Q5" s="3910"/>
      <c r="R5" s="3893"/>
      <c r="S5" s="3894"/>
      <c r="T5" s="3893"/>
      <c r="U5" s="3894"/>
      <c r="V5" s="3913"/>
      <c r="W5" s="3913"/>
      <c r="X5" s="1375"/>
      <c r="Y5" s="3893"/>
      <c r="Z5" s="3894"/>
      <c r="AA5" s="3887"/>
      <c r="AB5" s="3913"/>
      <c r="AC5" s="3887"/>
    </row>
    <row r="6" spans="1:29" ht="15.75" thickBot="1">
      <c r="A6" s="485"/>
      <c r="B6" s="486"/>
      <c r="C6" s="3914" t="s">
        <v>2182</v>
      </c>
      <c r="D6" s="3915"/>
      <c r="E6" s="3936" t="s">
        <v>2182</v>
      </c>
      <c r="F6" s="3937"/>
      <c r="G6" s="3914" t="s">
        <v>2182</v>
      </c>
      <c r="H6" s="3915"/>
      <c r="I6" s="3914" t="s">
        <v>2182</v>
      </c>
      <c r="J6" s="3915"/>
      <c r="K6" s="482" t="s">
        <v>477</v>
      </c>
      <c r="L6" s="1850"/>
      <c r="M6" s="1851"/>
      <c r="N6" s="1851"/>
      <c r="O6" s="1851"/>
      <c r="P6" s="3911"/>
      <c r="Q6" s="3912"/>
      <c r="R6" s="3893"/>
      <c r="S6" s="3894"/>
      <c r="T6" s="3895"/>
      <c r="U6" s="3896"/>
      <c r="V6" s="3913"/>
      <c r="W6" s="3913"/>
      <c r="X6" s="1375"/>
      <c r="Y6" s="3895"/>
      <c r="Z6" s="3896"/>
      <c r="AA6" s="3888"/>
      <c r="AB6" s="3913"/>
      <c r="AC6" s="3888"/>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889" t="s">
        <v>479</v>
      </c>
      <c r="Q7" s="3898"/>
      <c r="R7" s="1376" t="s">
        <v>5</v>
      </c>
      <c r="S7" s="1377">
        <f t="shared" ref="S7:S15" si="0">F7</f>
        <v>0</v>
      </c>
      <c r="T7" s="1376" t="s">
        <v>5</v>
      </c>
      <c r="U7" s="1377">
        <f t="shared" ref="U7:U15" si="1">H7</f>
        <v>0</v>
      </c>
      <c r="V7" s="1376" t="s">
        <v>5</v>
      </c>
      <c r="W7" s="1377">
        <f t="shared" ref="W7:W15" si="2">J7</f>
        <v>0</v>
      </c>
      <c r="X7" s="1378"/>
      <c r="Y7" s="3889" t="s">
        <v>479</v>
      </c>
      <c r="Z7" s="3890"/>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889" t="s">
        <v>482</v>
      </c>
      <c r="Q8" s="3890"/>
      <c r="R8" s="1376" t="s">
        <v>5</v>
      </c>
      <c r="S8" s="1377">
        <f t="shared" si="0"/>
        <v>0</v>
      </c>
      <c r="T8" s="1376" t="s">
        <v>5</v>
      </c>
      <c r="U8" s="1377">
        <f t="shared" si="1"/>
        <v>0</v>
      </c>
      <c r="V8" s="1376" t="s">
        <v>5</v>
      </c>
      <c r="W8" s="1377">
        <f t="shared" si="2"/>
        <v>0</v>
      </c>
      <c r="X8" s="1378"/>
      <c r="Y8" s="3889" t="s">
        <v>482</v>
      </c>
      <c r="Z8" s="3890"/>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97" t="s">
        <v>484</v>
      </c>
      <c r="Q9" s="1045" t="str">
        <f t="shared" ref="Q9:Q15" si="6">B9</f>
        <v>用途</v>
      </c>
      <c r="R9" s="1376" t="s">
        <v>5</v>
      </c>
      <c r="S9" s="1377">
        <f t="shared" si="0"/>
        <v>100</v>
      </c>
      <c r="T9" s="1376" t="s">
        <v>5</v>
      </c>
      <c r="U9" s="1377">
        <f t="shared" si="1"/>
        <v>100</v>
      </c>
      <c r="V9" s="1376" t="s">
        <v>5</v>
      </c>
      <c r="W9" s="1377">
        <f t="shared" si="2"/>
        <v>100</v>
      </c>
      <c r="X9" s="1378"/>
      <c r="Y9" s="3849"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97"/>
      <c r="Q11" s="1045" t="str">
        <f t="shared" si="6"/>
        <v>容积率</v>
      </c>
      <c r="R11" s="1376" t="s">
        <v>5</v>
      </c>
      <c r="S11" s="1377" t="e">
        <f t="shared" si="0"/>
        <v>#N/A</v>
      </c>
      <c r="T11" s="1376" t="s">
        <v>5</v>
      </c>
      <c r="U11" s="1377" t="e">
        <f t="shared" si="1"/>
        <v>#N/A</v>
      </c>
      <c r="V11" s="1376" t="s">
        <v>5</v>
      </c>
      <c r="W11" s="1377" t="e">
        <f t="shared" si="2"/>
        <v>#N/A</v>
      </c>
      <c r="X11" s="1378"/>
      <c r="Y11" s="384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97"/>
      <c r="Q12" s="1045">
        <f t="shared" si="6"/>
        <v>111</v>
      </c>
      <c r="R12" s="1376" t="s">
        <v>5</v>
      </c>
      <c r="S12" s="1377">
        <f t="shared" si="0"/>
        <v>100</v>
      </c>
      <c r="T12" s="1376" t="s">
        <v>5</v>
      </c>
      <c r="U12" s="1377">
        <f t="shared" si="1"/>
        <v>100</v>
      </c>
      <c r="V12" s="1376" t="s">
        <v>5</v>
      </c>
      <c r="W12" s="1377">
        <f t="shared" si="2"/>
        <v>100</v>
      </c>
      <c r="X12" s="1378"/>
      <c r="Y12" s="3849"/>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97"/>
      <c r="Q13" s="1045">
        <f t="shared" si="6"/>
        <v>111</v>
      </c>
      <c r="R13" s="1376" t="s">
        <v>5</v>
      </c>
      <c r="S13" s="1377">
        <f t="shared" si="0"/>
        <v>100</v>
      </c>
      <c r="T13" s="1376" t="s">
        <v>5</v>
      </c>
      <c r="U13" s="1377">
        <f t="shared" si="1"/>
        <v>100</v>
      </c>
      <c r="V13" s="1376" t="s">
        <v>5</v>
      </c>
      <c r="W13" s="1377">
        <f t="shared" si="2"/>
        <v>100</v>
      </c>
      <c r="X13" s="1378"/>
      <c r="Y13" s="3849"/>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97"/>
      <c r="Q14" s="1045">
        <f t="shared" si="6"/>
        <v>111</v>
      </c>
      <c r="R14" s="1376" t="s">
        <v>5</v>
      </c>
      <c r="S14" s="1377">
        <f t="shared" si="0"/>
        <v>100</v>
      </c>
      <c r="T14" s="1376" t="s">
        <v>5</v>
      </c>
      <c r="U14" s="1377">
        <f t="shared" si="1"/>
        <v>100</v>
      </c>
      <c r="V14" s="1376" t="s">
        <v>5</v>
      </c>
      <c r="W14" s="1377">
        <f t="shared" si="2"/>
        <v>100</v>
      </c>
      <c r="X14" s="1378"/>
      <c r="Y14" s="3849"/>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899" t="s">
        <v>489</v>
      </c>
      <c r="Q15" s="1380" t="str">
        <f t="shared" si="6"/>
        <v>商业繁华度</v>
      </c>
      <c r="R15" s="1381" t="s">
        <v>5</v>
      </c>
      <c r="S15" s="1382">
        <f t="shared" si="0"/>
        <v>100</v>
      </c>
      <c r="T15" s="1381" t="s">
        <v>5</v>
      </c>
      <c r="U15" s="1382">
        <f t="shared" si="1"/>
        <v>100</v>
      </c>
      <c r="V15" s="1381" t="s">
        <v>5</v>
      </c>
      <c r="W15" s="1382">
        <f t="shared" si="2"/>
        <v>100</v>
      </c>
      <c r="X15" s="1375"/>
      <c r="Y15" s="3899"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0"/>
      <c r="Q16" s="1380"/>
      <c r="R16" s="1381"/>
      <c r="S16" s="1382"/>
      <c r="T16" s="1381"/>
      <c r="U16" s="1382"/>
      <c r="V16" s="1381"/>
      <c r="W16" s="1382"/>
      <c r="X16" s="1375"/>
      <c r="Y16" s="3900"/>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00"/>
      <c r="Q17" s="1380" t="str">
        <f>B17</f>
        <v>交通便捷度</v>
      </c>
      <c r="R17" s="1381" t="s">
        <v>5</v>
      </c>
      <c r="S17" s="1382">
        <f>F17</f>
        <v>100</v>
      </c>
      <c r="T17" s="1381" t="s">
        <v>5</v>
      </c>
      <c r="U17" s="1382">
        <f>H17</f>
        <v>100</v>
      </c>
      <c r="V17" s="1381" t="s">
        <v>5</v>
      </c>
      <c r="W17" s="1382">
        <f>J17</f>
        <v>100</v>
      </c>
      <c r="X17" s="1375"/>
      <c r="Y17" s="3900"/>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0"/>
      <c r="Q18" s="1380"/>
      <c r="R18" s="1381"/>
      <c r="S18" s="1382"/>
      <c r="T18" s="1381"/>
      <c r="U18" s="1382"/>
      <c r="V18" s="1381"/>
      <c r="W18" s="1382"/>
      <c r="X18" s="1375"/>
      <c r="Y18" s="3900"/>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00"/>
      <c r="Q19" s="1380" t="str">
        <f>B19</f>
        <v>公共配套设施</v>
      </c>
      <c r="R19" s="1381" t="s">
        <v>5</v>
      </c>
      <c r="S19" s="1382">
        <f>F19</f>
        <v>100</v>
      </c>
      <c r="T19" s="1381" t="s">
        <v>5</v>
      </c>
      <c r="U19" s="1382">
        <f>H19</f>
        <v>100</v>
      </c>
      <c r="V19" s="1381" t="s">
        <v>5</v>
      </c>
      <c r="W19" s="1382">
        <f>J19</f>
        <v>100</v>
      </c>
      <c r="X19" s="1375"/>
      <c r="Y19" s="3900"/>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00"/>
      <c r="Q20" s="1380"/>
      <c r="R20" s="1381"/>
      <c r="S20" s="1382"/>
      <c r="T20" s="1381"/>
      <c r="U20" s="1382"/>
      <c r="V20" s="1381"/>
      <c r="W20" s="1382"/>
      <c r="X20" s="1375"/>
      <c r="Y20" s="3900"/>
      <c r="Z20" s="1383"/>
      <c r="AA20" s="1384">
        <v>1</v>
      </c>
      <c r="AB20" s="1384">
        <v>1</v>
      </c>
      <c r="AC20" s="1384">
        <v>1</v>
      </c>
    </row>
    <row r="21" spans="1:29" ht="15">
      <c r="A21" s="500"/>
      <c r="B21" s="2195"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00"/>
      <c r="Q21" s="2187" t="str">
        <f>B21</f>
        <v>基础设施水平</v>
      </c>
      <c r="R21" s="1381" t="s">
        <v>5</v>
      </c>
      <c r="S21" s="1382">
        <f>F21</f>
        <v>100</v>
      </c>
      <c r="T21" s="1381" t="s">
        <v>5</v>
      </c>
      <c r="U21" s="1382">
        <f>H21</f>
        <v>100</v>
      </c>
      <c r="V21" s="1381" t="s">
        <v>5</v>
      </c>
      <c r="W21" s="1382">
        <f>J21</f>
        <v>100</v>
      </c>
      <c r="X21" s="2189"/>
      <c r="Y21" s="3900"/>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00"/>
      <c r="Q22" s="2187"/>
      <c r="R22" s="1381"/>
      <c r="S22" s="1382"/>
      <c r="T22" s="1381"/>
      <c r="U22" s="1382"/>
      <c r="V22" s="1381"/>
      <c r="W22" s="1382"/>
      <c r="X22" s="2189"/>
      <c r="Y22" s="3900"/>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00"/>
      <c r="Q23" s="1380" t="str">
        <f>B23</f>
        <v>自然及人文环境</v>
      </c>
      <c r="R23" s="1381" t="s">
        <v>5</v>
      </c>
      <c r="S23" s="1382">
        <f>F23</f>
        <v>100</v>
      </c>
      <c r="T23" s="1381" t="s">
        <v>5</v>
      </c>
      <c r="U23" s="1382">
        <f>H23</f>
        <v>100</v>
      </c>
      <c r="V23" s="1381" t="s">
        <v>5</v>
      </c>
      <c r="W23" s="1382">
        <f>J23</f>
        <v>100</v>
      </c>
      <c r="X23" s="1375"/>
      <c r="Y23" s="3900"/>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00"/>
      <c r="Q24" s="1380"/>
      <c r="R24" s="1381"/>
      <c r="S24" s="1382"/>
      <c r="T24" s="1381"/>
      <c r="U24" s="1382"/>
      <c r="V24" s="1381"/>
      <c r="W24" s="1382"/>
      <c r="X24" s="1375"/>
      <c r="Y24" s="3900"/>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00"/>
      <c r="Q25" s="1380" t="str">
        <f t="shared" ref="Q25:Q46" si="8">B25</f>
        <v>临街状况</v>
      </c>
      <c r="R25" s="1381" t="s">
        <v>5</v>
      </c>
      <c r="S25" s="1382">
        <f>F25</f>
        <v>100</v>
      </c>
      <c r="T25" s="1381" t="s">
        <v>5</v>
      </c>
      <c r="U25" s="1382">
        <f>H25</f>
        <v>100</v>
      </c>
      <c r="V25" s="1381" t="s">
        <v>5</v>
      </c>
      <c r="W25" s="1382">
        <f>J25</f>
        <v>100</v>
      </c>
      <c r="X25" s="1375"/>
      <c r="Y25" s="3900"/>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00"/>
      <c r="Q26" s="1380" t="str">
        <f t="shared" si="8"/>
        <v>平面位置/可视性</v>
      </c>
      <c r="R26" s="1381" t="s">
        <v>5</v>
      </c>
      <c r="S26" s="1382">
        <f>F26</f>
        <v>100</v>
      </c>
      <c r="T26" s="1381" t="s">
        <v>5</v>
      </c>
      <c r="U26" s="1382">
        <f>H26</f>
        <v>100</v>
      </c>
      <c r="V26" s="1381" t="s">
        <v>5</v>
      </c>
      <c r="W26" s="1382">
        <f>J26</f>
        <v>100</v>
      </c>
      <c r="X26" s="1375"/>
      <c r="Y26" s="3900"/>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00"/>
      <c r="Q27" s="1045" t="str">
        <f t="shared" si="8"/>
        <v>人流量</v>
      </c>
      <c r="R27" s="1376" t="s">
        <v>5</v>
      </c>
      <c r="S27" s="1377">
        <f>F27</f>
        <v>100</v>
      </c>
      <c r="T27" s="1376" t="s">
        <v>5</v>
      </c>
      <c r="U27" s="1377">
        <f>H27</f>
        <v>100</v>
      </c>
      <c r="V27" s="1376" t="s">
        <v>5</v>
      </c>
      <c r="W27" s="1377">
        <f>J27</f>
        <v>100</v>
      </c>
      <c r="X27" s="1378"/>
      <c r="Y27" s="3900"/>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00"/>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00"/>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00"/>
      <c r="Q29" s="1380">
        <f t="shared" si="8"/>
        <v>111</v>
      </c>
      <c r="R29" s="1381" t="s">
        <v>5</v>
      </c>
      <c r="S29" s="1382">
        <f t="shared" si="9"/>
        <v>100</v>
      </c>
      <c r="T29" s="1381" t="s">
        <v>5</v>
      </c>
      <c r="U29" s="1382">
        <f t="shared" si="10"/>
        <v>100</v>
      </c>
      <c r="V29" s="1381" t="s">
        <v>5</v>
      </c>
      <c r="W29" s="1382">
        <f t="shared" si="11"/>
        <v>100</v>
      </c>
      <c r="X29" s="1375"/>
      <c r="Y29" s="3900"/>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00"/>
      <c r="Q30" s="1380">
        <f t="shared" si="8"/>
        <v>111</v>
      </c>
      <c r="R30" s="1381" t="s">
        <v>5</v>
      </c>
      <c r="S30" s="1382">
        <f t="shared" si="9"/>
        <v>100</v>
      </c>
      <c r="T30" s="1381" t="s">
        <v>5</v>
      </c>
      <c r="U30" s="1382">
        <f t="shared" si="10"/>
        <v>100</v>
      </c>
      <c r="V30" s="1381" t="s">
        <v>5</v>
      </c>
      <c r="W30" s="1382">
        <f t="shared" si="11"/>
        <v>100</v>
      </c>
      <c r="X30" s="1375"/>
      <c r="Y30" s="3900"/>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00"/>
      <c r="Q31" s="1380">
        <f t="shared" si="8"/>
        <v>111</v>
      </c>
      <c r="R31" s="1381" t="s">
        <v>5</v>
      </c>
      <c r="S31" s="1382">
        <f t="shared" si="9"/>
        <v>100</v>
      </c>
      <c r="T31" s="1381" t="s">
        <v>5</v>
      </c>
      <c r="U31" s="1382">
        <f t="shared" si="10"/>
        <v>100</v>
      </c>
      <c r="V31" s="1381" t="s">
        <v>5</v>
      </c>
      <c r="W31" s="1382">
        <f t="shared" si="11"/>
        <v>100</v>
      </c>
      <c r="X31" s="1375"/>
      <c r="Y31" s="3900"/>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01" t="s">
        <v>499</v>
      </c>
      <c r="Q32" s="1380" t="str">
        <f t="shared" si="8"/>
        <v>商业类型</v>
      </c>
      <c r="R32" s="1381" t="s">
        <v>5</v>
      </c>
      <c r="S32" s="1382">
        <f t="shared" si="9"/>
        <v>100</v>
      </c>
      <c r="T32" s="1381" t="s">
        <v>5</v>
      </c>
      <c r="U32" s="1382">
        <f t="shared" si="10"/>
        <v>100</v>
      </c>
      <c r="V32" s="1381" t="s">
        <v>5</v>
      </c>
      <c r="W32" s="1382">
        <f t="shared" si="11"/>
        <v>100</v>
      </c>
      <c r="X32" s="1375"/>
      <c r="Y32" s="3902"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02"/>
      <c r="Q33" s="1409" t="str">
        <f t="shared" si="8"/>
        <v>项目建筑规模</v>
      </c>
      <c r="R33" s="1385" t="s">
        <v>5</v>
      </c>
      <c r="S33" s="1386" t="e">
        <f t="shared" si="9"/>
        <v>#N/A</v>
      </c>
      <c r="T33" s="1385" t="s">
        <v>5</v>
      </c>
      <c r="U33" s="1386" t="e">
        <f t="shared" si="10"/>
        <v>#N/A</v>
      </c>
      <c r="V33" s="1385" t="s">
        <v>5</v>
      </c>
      <c r="W33" s="1386" t="e">
        <f t="shared" si="11"/>
        <v>#N/A</v>
      </c>
      <c r="X33" s="1387"/>
      <c r="Y33" s="3902"/>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02"/>
      <c r="Q34" s="1380" t="str">
        <f t="shared" si="8"/>
        <v>建筑结构</v>
      </c>
      <c r="R34" s="1381" t="s">
        <v>5</v>
      </c>
      <c r="S34" s="1382">
        <f t="shared" si="9"/>
        <v>100</v>
      </c>
      <c r="T34" s="1381" t="s">
        <v>5</v>
      </c>
      <c r="U34" s="1382">
        <f t="shared" si="10"/>
        <v>100</v>
      </c>
      <c r="V34" s="1381" t="s">
        <v>5</v>
      </c>
      <c r="W34" s="1382">
        <f t="shared" si="11"/>
        <v>100</v>
      </c>
      <c r="X34" s="1375"/>
      <c r="Y34" s="3902"/>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02"/>
      <c r="Q35" s="1380" t="str">
        <f t="shared" si="8"/>
        <v>公共部分装修</v>
      </c>
      <c r="R35" s="1381" t="s">
        <v>5</v>
      </c>
      <c r="S35" s="1382">
        <f t="shared" si="9"/>
        <v>100</v>
      </c>
      <c r="T35" s="1381" t="s">
        <v>5</v>
      </c>
      <c r="U35" s="1382">
        <f t="shared" si="10"/>
        <v>100</v>
      </c>
      <c r="V35" s="1381" t="s">
        <v>5</v>
      </c>
      <c r="W35" s="1382">
        <f t="shared" si="11"/>
        <v>100</v>
      </c>
      <c r="X35" s="1375"/>
      <c r="Y35" s="3902"/>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02"/>
      <c r="Q36" s="1380" t="str">
        <f t="shared" si="8"/>
        <v>成新度</v>
      </c>
      <c r="R36" s="1381" t="s">
        <v>5</v>
      </c>
      <c r="S36" s="1382" t="e">
        <f t="shared" si="9"/>
        <v>#N/A</v>
      </c>
      <c r="T36" s="1381" t="s">
        <v>5</v>
      </c>
      <c r="U36" s="1382" t="e">
        <f t="shared" si="10"/>
        <v>#N/A</v>
      </c>
      <c r="V36" s="1381" t="s">
        <v>5</v>
      </c>
      <c r="W36" s="1382" t="e">
        <f t="shared" si="11"/>
        <v>#N/A</v>
      </c>
      <c r="X36" s="1375"/>
      <c r="Y36" s="3902"/>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02"/>
      <c r="Q37" s="1045" t="str">
        <f t="shared" si="8"/>
        <v>市政基础设施</v>
      </c>
      <c r="R37" s="1376" t="s">
        <v>5</v>
      </c>
      <c r="S37" s="1377">
        <f t="shared" si="9"/>
        <v>100</v>
      </c>
      <c r="T37" s="1376" t="s">
        <v>5</v>
      </c>
      <c r="U37" s="1377">
        <f t="shared" si="10"/>
        <v>100</v>
      </c>
      <c r="V37" s="1376" t="s">
        <v>5</v>
      </c>
      <c r="W37" s="1377">
        <f t="shared" si="11"/>
        <v>100</v>
      </c>
      <c r="X37" s="1378"/>
      <c r="Y37" s="3902"/>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02" t="s">
        <v>706</v>
      </c>
      <c r="Q38" s="1380" t="str">
        <f t="shared" si="8"/>
        <v>业态</v>
      </c>
      <c r="R38" s="1381" t="s">
        <v>5</v>
      </c>
      <c r="S38" s="1382">
        <f t="shared" si="9"/>
        <v>100</v>
      </c>
      <c r="T38" s="1381" t="s">
        <v>5</v>
      </c>
      <c r="U38" s="1382">
        <f t="shared" si="10"/>
        <v>100</v>
      </c>
      <c r="V38" s="1381" t="s">
        <v>5</v>
      </c>
      <c r="W38" s="1382">
        <f t="shared" si="11"/>
        <v>100</v>
      </c>
      <c r="X38" s="1375"/>
      <c r="Y38" s="3902"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02"/>
      <c r="Q39" s="1380" t="str">
        <f t="shared" si="8"/>
        <v>层高</v>
      </c>
      <c r="R39" s="1381" t="s">
        <v>5</v>
      </c>
      <c r="S39" s="1382">
        <f t="shared" si="9"/>
        <v>100</v>
      </c>
      <c r="T39" s="1381" t="s">
        <v>5</v>
      </c>
      <c r="U39" s="1382">
        <f t="shared" si="10"/>
        <v>100</v>
      </c>
      <c r="V39" s="1381" t="s">
        <v>5</v>
      </c>
      <c r="W39" s="1382">
        <f t="shared" si="11"/>
        <v>100</v>
      </c>
      <c r="X39" s="1375"/>
      <c r="Y39" s="3902"/>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02"/>
      <c r="Q40" s="1380" t="str">
        <f t="shared" si="8"/>
        <v>单套建筑面积</v>
      </c>
      <c r="R40" s="1381" t="s">
        <v>5</v>
      </c>
      <c r="S40" s="1382">
        <f t="shared" si="9"/>
        <v>100</v>
      </c>
      <c r="T40" s="1381" t="s">
        <v>5</v>
      </c>
      <c r="U40" s="1382">
        <f t="shared" si="10"/>
        <v>100</v>
      </c>
      <c r="V40" s="1381" t="s">
        <v>5</v>
      </c>
      <c r="W40" s="1382">
        <f t="shared" si="11"/>
        <v>100</v>
      </c>
      <c r="X40" s="1375"/>
      <c r="Y40" s="3902"/>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02"/>
      <c r="Q41" s="1409" t="str">
        <f t="shared" si="8"/>
        <v>进深比</v>
      </c>
      <c r="R41" s="1385" t="s">
        <v>5</v>
      </c>
      <c r="S41" s="1386">
        <f t="shared" si="9"/>
        <v>100</v>
      </c>
      <c r="T41" s="1385" t="s">
        <v>5</v>
      </c>
      <c r="U41" s="1386">
        <f t="shared" si="10"/>
        <v>100</v>
      </c>
      <c r="V41" s="1385" t="s">
        <v>5</v>
      </c>
      <c r="W41" s="1386">
        <f t="shared" si="11"/>
        <v>100</v>
      </c>
      <c r="X41" s="1387"/>
      <c r="Y41" s="3902"/>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02"/>
      <c r="Q42" s="1380" t="str">
        <f t="shared" si="8"/>
        <v>内部装修</v>
      </c>
      <c r="R42" s="1381" t="s">
        <v>5</v>
      </c>
      <c r="S42" s="1382">
        <f t="shared" si="9"/>
        <v>100</v>
      </c>
      <c r="T42" s="1381" t="s">
        <v>5</v>
      </c>
      <c r="U42" s="1382">
        <f t="shared" si="10"/>
        <v>100</v>
      </c>
      <c r="V42" s="1381" t="s">
        <v>5</v>
      </c>
      <c r="W42" s="1382">
        <f t="shared" si="11"/>
        <v>100</v>
      </c>
      <c r="X42" s="1375"/>
      <c r="Y42" s="3902"/>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02"/>
      <c r="Q43" s="1380" t="str">
        <f t="shared" si="8"/>
        <v>内部装修维护情况</v>
      </c>
      <c r="R43" s="1381" t="s">
        <v>5</v>
      </c>
      <c r="S43" s="1382">
        <f t="shared" si="9"/>
        <v>100</v>
      </c>
      <c r="T43" s="1381" t="s">
        <v>5</v>
      </c>
      <c r="U43" s="1382">
        <f t="shared" si="10"/>
        <v>100</v>
      </c>
      <c r="V43" s="1381" t="s">
        <v>5</v>
      </c>
      <c r="W43" s="1382">
        <f t="shared" si="11"/>
        <v>100</v>
      </c>
      <c r="X43" s="1375"/>
      <c r="Y43" s="3902"/>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02"/>
      <c r="Q44" s="1045">
        <f t="shared" si="8"/>
        <v>111</v>
      </c>
      <c r="R44" s="1376" t="s">
        <v>5</v>
      </c>
      <c r="S44" s="1377">
        <f t="shared" si="9"/>
        <v>100</v>
      </c>
      <c r="T44" s="1376" t="s">
        <v>5</v>
      </c>
      <c r="U44" s="1377">
        <f t="shared" si="10"/>
        <v>100</v>
      </c>
      <c r="V44" s="1376" t="s">
        <v>5</v>
      </c>
      <c r="W44" s="1377">
        <f t="shared" si="11"/>
        <v>100</v>
      </c>
      <c r="X44" s="1378"/>
      <c r="Y44" s="3902"/>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02"/>
      <c r="Q45" s="1380">
        <f t="shared" si="8"/>
        <v>111</v>
      </c>
      <c r="R45" s="1381" t="s">
        <v>5</v>
      </c>
      <c r="S45" s="1382">
        <f t="shared" si="9"/>
        <v>100</v>
      </c>
      <c r="T45" s="1381" t="s">
        <v>5</v>
      </c>
      <c r="U45" s="1382">
        <f t="shared" si="10"/>
        <v>100</v>
      </c>
      <c r="V45" s="1381" t="s">
        <v>5</v>
      </c>
      <c r="W45" s="1382">
        <f t="shared" si="11"/>
        <v>100</v>
      </c>
      <c r="X45" s="1375"/>
      <c r="Y45" s="3902"/>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80"/>
      <c r="Q46" s="1380">
        <f t="shared" si="8"/>
        <v>111</v>
      </c>
      <c r="R46" s="1381" t="s">
        <v>5</v>
      </c>
      <c r="S46" s="1382">
        <f t="shared" si="9"/>
        <v>100</v>
      </c>
      <c r="T46" s="1381" t="s">
        <v>5</v>
      </c>
      <c r="U46" s="1382">
        <f t="shared" si="10"/>
        <v>100</v>
      </c>
      <c r="V46" s="1381" t="s">
        <v>5</v>
      </c>
      <c r="W46" s="1382">
        <f t="shared" si="11"/>
        <v>100</v>
      </c>
      <c r="X46" s="1375"/>
      <c r="Y46" s="3980"/>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97" t="str">
        <f>A47</f>
        <v>成交单价（元/平方米）</v>
      </c>
      <c r="Q47" s="3897"/>
      <c r="R47" s="3979">
        <f>E47</f>
        <v>0</v>
      </c>
      <c r="S47" s="3979"/>
      <c r="T47" s="3979">
        <f>G47</f>
        <v>0</v>
      </c>
      <c r="U47" s="3979"/>
      <c r="V47" s="3979">
        <f>I47</f>
        <v>0</v>
      </c>
      <c r="W47" s="3979"/>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97" t="str">
        <f>A48</f>
        <v>比较价格（元/平方米）</v>
      </c>
      <c r="Q48" s="3897"/>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03" t="str">
        <f>A49</f>
        <v>估价对象XX用房的比较价格（楼面单价，元/平方米）</v>
      </c>
      <c r="Q49" s="3904"/>
      <c r="R49" s="3978" t="e">
        <f>IF(F1="售价",ROUND(IF(D48="简单平均",AVERAGE(R48:V48),R48*F48+T48*H48+V48*J48),0),ROUND(IF(D48="简单平均",AVERAGE(R48:V48),R48*F48+T48*H48+V48*J48),1))</f>
        <v>#DIV/0!</v>
      </c>
      <c r="S49" s="3978"/>
      <c r="T49" s="3978"/>
      <c r="U49" s="3978"/>
      <c r="V49" s="3978"/>
      <c r="W49" s="3978"/>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905" t="s">
        <v>471</v>
      </c>
      <c r="D4" s="3906"/>
      <c r="E4" s="3932" t="s">
        <v>472</v>
      </c>
      <c r="F4" s="3933"/>
      <c r="G4" s="3905" t="s">
        <v>473</v>
      </c>
      <c r="H4" s="3906"/>
      <c r="I4" s="3905" t="s">
        <v>474</v>
      </c>
      <c r="J4" s="3906"/>
      <c r="K4" s="482" t="s">
        <v>475</v>
      </c>
      <c r="L4" s="1850"/>
      <c r="M4" s="1851"/>
      <c r="N4" s="1851"/>
      <c r="O4" s="1851"/>
      <c r="P4" s="4002" t="s">
        <v>476</v>
      </c>
      <c r="Q4" s="3908"/>
      <c r="R4" s="3891" t="s">
        <v>472</v>
      </c>
      <c r="S4" s="3892"/>
      <c r="T4" s="3891" t="s">
        <v>473</v>
      </c>
      <c r="U4" s="3892"/>
      <c r="V4" s="3913" t="s">
        <v>474</v>
      </c>
      <c r="W4" s="3913"/>
      <c r="X4" s="1375"/>
      <c r="Y4" s="3891" t="s">
        <v>476</v>
      </c>
      <c r="Z4" s="3892"/>
      <c r="AA4" s="3886" t="s">
        <v>472</v>
      </c>
      <c r="AB4" s="3886" t="s">
        <v>473</v>
      </c>
      <c r="AC4" s="3886" t="s">
        <v>474</v>
      </c>
    </row>
    <row r="5" spans="1:29" ht="15">
      <c r="A5" s="483"/>
      <c r="B5" s="484"/>
      <c r="C5" s="3916" t="s">
        <v>2178</v>
      </c>
      <c r="D5" s="3917"/>
      <c r="E5" s="3934" t="s">
        <v>2179</v>
      </c>
      <c r="F5" s="3935"/>
      <c r="G5" s="3916" t="s">
        <v>2180</v>
      </c>
      <c r="H5" s="3917"/>
      <c r="I5" s="3916" t="s">
        <v>2181</v>
      </c>
      <c r="J5" s="3917"/>
      <c r="K5" s="482"/>
      <c r="L5" s="1850"/>
      <c r="M5" s="1851"/>
      <c r="N5" s="1851"/>
      <c r="O5" s="1851"/>
      <c r="P5" s="4003"/>
      <c r="Q5" s="3910"/>
      <c r="R5" s="3893"/>
      <c r="S5" s="3894"/>
      <c r="T5" s="3893"/>
      <c r="U5" s="3894"/>
      <c r="V5" s="3913"/>
      <c r="W5" s="3913"/>
      <c r="X5" s="1375"/>
      <c r="Y5" s="3893"/>
      <c r="Z5" s="3894"/>
      <c r="AA5" s="3887"/>
      <c r="AB5" s="3887"/>
      <c r="AC5" s="3887"/>
    </row>
    <row r="6" spans="1:29" ht="15.75" thickBot="1">
      <c r="A6" s="485"/>
      <c r="B6" s="486"/>
      <c r="C6" s="3914" t="s">
        <v>2182</v>
      </c>
      <c r="D6" s="3915"/>
      <c r="E6" s="3936" t="s">
        <v>2182</v>
      </c>
      <c r="F6" s="3937"/>
      <c r="G6" s="3914" t="s">
        <v>2182</v>
      </c>
      <c r="H6" s="3915"/>
      <c r="I6" s="3914" t="s">
        <v>2182</v>
      </c>
      <c r="J6" s="3915"/>
      <c r="K6" s="482" t="s">
        <v>477</v>
      </c>
      <c r="L6" s="1850"/>
      <c r="M6" s="1851"/>
      <c r="N6" s="1851"/>
      <c r="O6" s="1851"/>
      <c r="P6" s="4004"/>
      <c r="Q6" s="3912"/>
      <c r="R6" s="3893"/>
      <c r="S6" s="3894"/>
      <c r="T6" s="3895"/>
      <c r="U6" s="3896"/>
      <c r="V6" s="3913"/>
      <c r="W6" s="3913"/>
      <c r="X6" s="1375"/>
      <c r="Y6" s="3895"/>
      <c r="Z6" s="3896"/>
      <c r="AA6" s="3888"/>
      <c r="AB6" s="3888"/>
      <c r="AC6" s="3888"/>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898" t="s">
        <v>479</v>
      </c>
      <c r="Q7" s="3898"/>
      <c r="R7" s="1376" t="s">
        <v>5</v>
      </c>
      <c r="S7" s="1377">
        <f t="shared" ref="S7:S15" si="0">F7</f>
        <v>0</v>
      </c>
      <c r="T7" s="1376" t="s">
        <v>5</v>
      </c>
      <c r="U7" s="1377">
        <f t="shared" ref="U7:U15" si="1">H7</f>
        <v>0</v>
      </c>
      <c r="V7" s="1376" t="s">
        <v>5</v>
      </c>
      <c r="W7" s="1377">
        <f t="shared" ref="W7:W15" si="2">J7</f>
        <v>0</v>
      </c>
      <c r="X7" s="1378"/>
      <c r="Y7" s="3889" t="s">
        <v>479</v>
      </c>
      <c r="Z7" s="3890"/>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898" t="s">
        <v>482</v>
      </c>
      <c r="Q8" s="3890"/>
      <c r="R8" s="1376" t="s">
        <v>5</v>
      </c>
      <c r="S8" s="1377">
        <f t="shared" si="0"/>
        <v>0</v>
      </c>
      <c r="T8" s="1376" t="s">
        <v>5</v>
      </c>
      <c r="U8" s="1377">
        <f t="shared" si="1"/>
        <v>0</v>
      </c>
      <c r="V8" s="1376" t="s">
        <v>5</v>
      </c>
      <c r="W8" s="1377">
        <f t="shared" si="2"/>
        <v>0</v>
      </c>
      <c r="X8" s="1378"/>
      <c r="Y8" s="3889" t="s">
        <v>482</v>
      </c>
      <c r="Z8" s="3890"/>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97" t="s">
        <v>484</v>
      </c>
      <c r="Q9" s="1045" t="str">
        <f t="shared" ref="Q9:Q15" si="6">B9</f>
        <v>用途</v>
      </c>
      <c r="R9" s="1376" t="s">
        <v>5</v>
      </c>
      <c r="S9" s="1377">
        <f t="shared" si="0"/>
        <v>100</v>
      </c>
      <c r="T9" s="1376" t="s">
        <v>5</v>
      </c>
      <c r="U9" s="1377">
        <f t="shared" si="1"/>
        <v>100</v>
      </c>
      <c r="V9" s="1376" t="s">
        <v>5</v>
      </c>
      <c r="W9" s="1377">
        <f t="shared" si="2"/>
        <v>100</v>
      </c>
      <c r="X9" s="1378"/>
      <c r="Y9" s="3849"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97"/>
      <c r="Q11" s="1045" t="str">
        <f t="shared" si="6"/>
        <v>容积率</v>
      </c>
      <c r="R11" s="1376" t="s">
        <v>5</v>
      </c>
      <c r="S11" s="1377" t="e">
        <f t="shared" si="0"/>
        <v>#N/A</v>
      </c>
      <c r="T11" s="1376" t="s">
        <v>5</v>
      </c>
      <c r="U11" s="1377" t="e">
        <f t="shared" si="1"/>
        <v>#N/A</v>
      </c>
      <c r="V11" s="1376" t="s">
        <v>5</v>
      </c>
      <c r="W11" s="1377" t="e">
        <f t="shared" si="2"/>
        <v>#N/A</v>
      </c>
      <c r="X11" s="1378"/>
      <c r="Y11" s="384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97"/>
      <c r="Q12" s="1045">
        <f t="shared" si="6"/>
        <v>111</v>
      </c>
      <c r="R12" s="1376" t="s">
        <v>5</v>
      </c>
      <c r="S12" s="1377">
        <f t="shared" si="0"/>
        <v>100</v>
      </c>
      <c r="T12" s="1376" t="s">
        <v>5</v>
      </c>
      <c r="U12" s="1377">
        <f t="shared" si="1"/>
        <v>100</v>
      </c>
      <c r="V12" s="1376" t="s">
        <v>5</v>
      </c>
      <c r="W12" s="1377">
        <f t="shared" si="2"/>
        <v>100</v>
      </c>
      <c r="X12" s="1378"/>
      <c r="Y12" s="3849"/>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97"/>
      <c r="Q13" s="1045">
        <f t="shared" si="6"/>
        <v>111</v>
      </c>
      <c r="R13" s="1376" t="s">
        <v>5</v>
      </c>
      <c r="S13" s="1377">
        <f t="shared" si="0"/>
        <v>100</v>
      </c>
      <c r="T13" s="1376" t="s">
        <v>5</v>
      </c>
      <c r="U13" s="1377">
        <f t="shared" si="1"/>
        <v>100</v>
      </c>
      <c r="V13" s="1376" t="s">
        <v>5</v>
      </c>
      <c r="W13" s="1377">
        <f t="shared" si="2"/>
        <v>100</v>
      </c>
      <c r="X13" s="1378"/>
      <c r="Y13" s="3849"/>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97"/>
      <c r="Q14" s="1045">
        <f t="shared" si="6"/>
        <v>111</v>
      </c>
      <c r="R14" s="1376" t="s">
        <v>5</v>
      </c>
      <c r="S14" s="1377">
        <f t="shared" si="0"/>
        <v>100</v>
      </c>
      <c r="T14" s="1376" t="s">
        <v>5</v>
      </c>
      <c r="U14" s="1377">
        <f t="shared" si="1"/>
        <v>100</v>
      </c>
      <c r="V14" s="1376" t="s">
        <v>5</v>
      </c>
      <c r="W14" s="1377">
        <f t="shared" si="2"/>
        <v>100</v>
      </c>
      <c r="X14" s="1378"/>
      <c r="Y14" s="3849"/>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899" t="s">
        <v>489</v>
      </c>
      <c r="Q15" s="1380" t="str">
        <f t="shared" si="6"/>
        <v>办公集聚程度</v>
      </c>
      <c r="R15" s="1381" t="s">
        <v>5</v>
      </c>
      <c r="S15" s="1382">
        <f t="shared" si="0"/>
        <v>100</v>
      </c>
      <c r="T15" s="1381" t="s">
        <v>5</v>
      </c>
      <c r="U15" s="1382">
        <f t="shared" si="1"/>
        <v>100</v>
      </c>
      <c r="V15" s="1381" t="s">
        <v>5</v>
      </c>
      <c r="W15" s="1382">
        <f t="shared" si="2"/>
        <v>100</v>
      </c>
      <c r="X15" s="1375"/>
      <c r="Y15" s="3899"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00"/>
      <c r="Q16" s="1380"/>
      <c r="R16" s="1381"/>
      <c r="S16" s="1382"/>
      <c r="T16" s="1381"/>
      <c r="U16" s="1382"/>
      <c r="V16" s="1381"/>
      <c r="W16" s="1382"/>
      <c r="X16" s="1375"/>
      <c r="Y16" s="3900"/>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00"/>
      <c r="Q17" s="1380" t="str">
        <f>B17</f>
        <v>交通便捷度</v>
      </c>
      <c r="R17" s="1381" t="s">
        <v>5</v>
      </c>
      <c r="S17" s="1382">
        <f>F17</f>
        <v>100</v>
      </c>
      <c r="T17" s="1381" t="s">
        <v>5</v>
      </c>
      <c r="U17" s="1382">
        <f>H17</f>
        <v>100</v>
      </c>
      <c r="V17" s="1381" t="s">
        <v>5</v>
      </c>
      <c r="W17" s="1382">
        <f>J17</f>
        <v>100</v>
      </c>
      <c r="X17" s="1375"/>
      <c r="Y17" s="3900"/>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00"/>
      <c r="Q18" s="1380"/>
      <c r="R18" s="1381"/>
      <c r="S18" s="1382"/>
      <c r="T18" s="1381"/>
      <c r="U18" s="1382"/>
      <c r="V18" s="1381"/>
      <c r="W18" s="1382"/>
      <c r="X18" s="1375"/>
      <c r="Y18" s="3900"/>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00"/>
      <c r="Q19" s="1380" t="str">
        <f>B19</f>
        <v>公共配套设施</v>
      </c>
      <c r="R19" s="1381" t="s">
        <v>5</v>
      </c>
      <c r="S19" s="1382">
        <f>F19</f>
        <v>100</v>
      </c>
      <c r="T19" s="1381" t="s">
        <v>5</v>
      </c>
      <c r="U19" s="1382">
        <f>H19</f>
        <v>100</v>
      </c>
      <c r="V19" s="1381" t="s">
        <v>5</v>
      </c>
      <c r="W19" s="1382">
        <f>J19</f>
        <v>100</v>
      </c>
      <c r="X19" s="1375"/>
      <c r="Y19" s="3900"/>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00"/>
      <c r="Q20" s="1380"/>
      <c r="R20" s="1381"/>
      <c r="S20" s="1382"/>
      <c r="T20" s="1381"/>
      <c r="U20" s="1382"/>
      <c r="V20" s="1381"/>
      <c r="W20" s="1382"/>
      <c r="X20" s="1375"/>
      <c r="Y20" s="3900"/>
      <c r="Z20" s="1383"/>
      <c r="AA20" s="1384">
        <v>1</v>
      </c>
      <c r="AB20" s="1384">
        <v>1</v>
      </c>
      <c r="AC20" s="1384">
        <v>1</v>
      </c>
    </row>
    <row r="21" spans="1:29" ht="15">
      <c r="A21" s="500"/>
      <c r="B21" s="2193"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00"/>
      <c r="Q21" s="2187" t="str">
        <f>B21</f>
        <v>基础设施水平</v>
      </c>
      <c r="R21" s="1381" t="s">
        <v>5</v>
      </c>
      <c r="S21" s="1382">
        <f>F21</f>
        <v>100</v>
      </c>
      <c r="T21" s="1381" t="s">
        <v>5</v>
      </c>
      <c r="U21" s="1382">
        <f>H21</f>
        <v>100</v>
      </c>
      <c r="V21" s="1381" t="s">
        <v>5</v>
      </c>
      <c r="W21" s="1382">
        <f>J21</f>
        <v>100</v>
      </c>
      <c r="X21" s="2189"/>
      <c r="Y21" s="3900"/>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00"/>
      <c r="Q22" s="2187"/>
      <c r="R22" s="1381"/>
      <c r="S22" s="1382"/>
      <c r="T22" s="1381"/>
      <c r="U22" s="1382"/>
      <c r="V22" s="1381"/>
      <c r="W22" s="1382"/>
      <c r="X22" s="2189"/>
      <c r="Y22" s="3900"/>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00"/>
      <c r="Q23" s="1380" t="str">
        <f>B23</f>
        <v>环境质量</v>
      </c>
      <c r="R23" s="1381" t="s">
        <v>5</v>
      </c>
      <c r="S23" s="1382">
        <f>F23</f>
        <v>100</v>
      </c>
      <c r="T23" s="1381" t="s">
        <v>5</v>
      </c>
      <c r="U23" s="1382">
        <f>H23</f>
        <v>100</v>
      </c>
      <c r="V23" s="1381" t="s">
        <v>5</v>
      </c>
      <c r="W23" s="1382">
        <f>J23</f>
        <v>100</v>
      </c>
      <c r="X23" s="1375"/>
      <c r="Y23" s="3900"/>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00"/>
      <c r="Q24" s="1380"/>
      <c r="R24" s="1381"/>
      <c r="S24" s="1382"/>
      <c r="T24" s="1381"/>
      <c r="U24" s="1382"/>
      <c r="V24" s="1381"/>
      <c r="W24" s="1382"/>
      <c r="X24" s="1375"/>
      <c r="Y24" s="3900"/>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00"/>
      <c r="Q25" s="1380" t="str">
        <f>B25</f>
        <v>毗邻道路的类型与等级</v>
      </c>
      <c r="R25" s="1381" t="s">
        <v>5</v>
      </c>
      <c r="S25" s="1382">
        <f>F25</f>
        <v>100</v>
      </c>
      <c r="T25" s="1381" t="s">
        <v>5</v>
      </c>
      <c r="U25" s="1382">
        <f>H25</f>
        <v>100</v>
      </c>
      <c r="V25" s="1381" t="s">
        <v>5</v>
      </c>
      <c r="W25" s="1382">
        <f>J25</f>
        <v>100</v>
      </c>
      <c r="X25" s="1375"/>
      <c r="Y25" s="3900"/>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00"/>
      <c r="Q26" s="1380"/>
      <c r="R26" s="1381"/>
      <c r="S26" s="1382"/>
      <c r="T26" s="1381"/>
      <c r="U26" s="1382"/>
      <c r="V26" s="1381"/>
      <c r="W26" s="1382"/>
      <c r="X26" s="1375"/>
      <c r="Y26" s="3900"/>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00"/>
      <c r="Q27" s="1380" t="str">
        <f t="shared" ref="Q27:Q47" si="8">B27</f>
        <v>楼层</v>
      </c>
      <c r="R27" s="1381" t="s">
        <v>5</v>
      </c>
      <c r="S27" s="1382">
        <f>F27</f>
        <v>100</v>
      </c>
      <c r="T27" s="1381" t="s">
        <v>5</v>
      </c>
      <c r="U27" s="1382">
        <f>H27</f>
        <v>100</v>
      </c>
      <c r="V27" s="1381" t="s">
        <v>5</v>
      </c>
      <c r="W27" s="1382">
        <f>J27</f>
        <v>100</v>
      </c>
      <c r="X27" s="1375"/>
      <c r="Y27" s="3900"/>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00"/>
      <c r="Q28" s="1045" t="str">
        <f t="shared" si="8"/>
        <v>朝向</v>
      </c>
      <c r="R28" s="1376" t="s">
        <v>5</v>
      </c>
      <c r="S28" s="1377">
        <f>F28</f>
        <v>100</v>
      </c>
      <c r="T28" s="1376" t="s">
        <v>5</v>
      </c>
      <c r="U28" s="1377">
        <f>H28</f>
        <v>100</v>
      </c>
      <c r="V28" s="1376" t="s">
        <v>5</v>
      </c>
      <c r="W28" s="1377">
        <f>J28</f>
        <v>100</v>
      </c>
      <c r="X28" s="1378"/>
      <c r="Y28" s="3900"/>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00"/>
      <c r="Q29" s="1380">
        <f t="shared" si="8"/>
        <v>111</v>
      </c>
      <c r="R29" s="1381" t="s">
        <v>5</v>
      </c>
      <c r="S29" s="1382">
        <f t="shared" ref="S29:S47" si="9">F29</f>
        <v>100</v>
      </c>
      <c r="T29" s="1381" t="s">
        <v>5</v>
      </c>
      <c r="U29" s="1382">
        <f t="shared" ref="U29:U47" si="10">H29</f>
        <v>100</v>
      </c>
      <c r="V29" s="1381" t="s">
        <v>5</v>
      </c>
      <c r="W29" s="1382">
        <f t="shared" ref="W29:W47" si="11">J29</f>
        <v>100</v>
      </c>
      <c r="X29" s="1375"/>
      <c r="Y29" s="3900"/>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00"/>
      <c r="Q30" s="1380">
        <f t="shared" si="8"/>
        <v>111</v>
      </c>
      <c r="R30" s="1381" t="s">
        <v>5</v>
      </c>
      <c r="S30" s="1382">
        <f t="shared" si="9"/>
        <v>100</v>
      </c>
      <c r="T30" s="1381" t="s">
        <v>5</v>
      </c>
      <c r="U30" s="1382">
        <f t="shared" si="10"/>
        <v>100</v>
      </c>
      <c r="V30" s="1381" t="s">
        <v>5</v>
      </c>
      <c r="W30" s="1382">
        <f t="shared" si="11"/>
        <v>100</v>
      </c>
      <c r="X30" s="1375"/>
      <c r="Y30" s="3900"/>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00"/>
      <c r="Q31" s="1380">
        <f t="shared" si="8"/>
        <v>111</v>
      </c>
      <c r="R31" s="1381" t="s">
        <v>5</v>
      </c>
      <c r="S31" s="1382">
        <f t="shared" si="9"/>
        <v>100</v>
      </c>
      <c r="T31" s="1381" t="s">
        <v>5</v>
      </c>
      <c r="U31" s="1382">
        <f t="shared" si="10"/>
        <v>100</v>
      </c>
      <c r="V31" s="1381" t="s">
        <v>5</v>
      </c>
      <c r="W31" s="1382">
        <f t="shared" si="11"/>
        <v>100</v>
      </c>
      <c r="X31" s="1375"/>
      <c r="Y31" s="3900"/>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00"/>
      <c r="Q32" s="1380">
        <f t="shared" si="8"/>
        <v>111</v>
      </c>
      <c r="R32" s="1381" t="s">
        <v>5</v>
      </c>
      <c r="S32" s="1382">
        <f t="shared" si="9"/>
        <v>100</v>
      </c>
      <c r="T32" s="1381" t="s">
        <v>5</v>
      </c>
      <c r="U32" s="1382">
        <f t="shared" si="10"/>
        <v>100</v>
      </c>
      <c r="V32" s="1381" t="s">
        <v>5</v>
      </c>
      <c r="W32" s="1382">
        <f t="shared" si="11"/>
        <v>100</v>
      </c>
      <c r="X32" s="1375"/>
      <c r="Y32" s="3900"/>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01" t="s">
        <v>499</v>
      </c>
      <c r="Q33" s="1380" t="str">
        <f t="shared" si="8"/>
        <v>建筑类型</v>
      </c>
      <c r="R33" s="1381" t="s">
        <v>5</v>
      </c>
      <c r="S33" s="1382">
        <f t="shared" si="9"/>
        <v>100</v>
      </c>
      <c r="T33" s="1381" t="s">
        <v>5</v>
      </c>
      <c r="U33" s="1382">
        <f t="shared" si="10"/>
        <v>100</v>
      </c>
      <c r="V33" s="1381" t="s">
        <v>5</v>
      </c>
      <c r="W33" s="1382">
        <f t="shared" si="11"/>
        <v>100</v>
      </c>
      <c r="X33" s="1375"/>
      <c r="Y33" s="3902"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02"/>
      <c r="Q34" s="1409" t="str">
        <f t="shared" si="8"/>
        <v>项目建筑规模</v>
      </c>
      <c r="R34" s="1385" t="s">
        <v>5</v>
      </c>
      <c r="S34" s="1386" t="e">
        <f t="shared" si="9"/>
        <v>#N/A</v>
      </c>
      <c r="T34" s="1385" t="s">
        <v>5</v>
      </c>
      <c r="U34" s="1386" t="e">
        <f t="shared" si="10"/>
        <v>#N/A</v>
      </c>
      <c r="V34" s="1385" t="s">
        <v>5</v>
      </c>
      <c r="W34" s="1386" t="e">
        <f t="shared" si="11"/>
        <v>#N/A</v>
      </c>
      <c r="X34" s="1387"/>
      <c r="Y34" s="3902"/>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02"/>
      <c r="Q35" s="1380" t="str">
        <f t="shared" si="8"/>
        <v>建筑结构</v>
      </c>
      <c r="R35" s="1381" t="s">
        <v>5</v>
      </c>
      <c r="S35" s="1382">
        <f t="shared" si="9"/>
        <v>100</v>
      </c>
      <c r="T35" s="1381" t="s">
        <v>5</v>
      </c>
      <c r="U35" s="1382">
        <f t="shared" si="10"/>
        <v>100</v>
      </c>
      <c r="V35" s="1381" t="s">
        <v>5</v>
      </c>
      <c r="W35" s="1382">
        <f t="shared" si="11"/>
        <v>100</v>
      </c>
      <c r="X35" s="1375"/>
      <c r="Y35" s="3902"/>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02"/>
      <c r="Q36" s="1380" t="str">
        <f t="shared" si="8"/>
        <v>公共部分装修</v>
      </c>
      <c r="R36" s="1381" t="s">
        <v>5</v>
      </c>
      <c r="S36" s="1382">
        <f t="shared" si="9"/>
        <v>100</v>
      </c>
      <c r="T36" s="1381" t="s">
        <v>5</v>
      </c>
      <c r="U36" s="1382">
        <f t="shared" si="10"/>
        <v>100</v>
      </c>
      <c r="V36" s="1381" t="s">
        <v>5</v>
      </c>
      <c r="W36" s="1382">
        <f t="shared" si="11"/>
        <v>100</v>
      </c>
      <c r="X36" s="1375"/>
      <c r="Y36" s="3902"/>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02"/>
      <c r="Q37" s="1380" t="str">
        <f t="shared" si="8"/>
        <v>成新度</v>
      </c>
      <c r="R37" s="1381" t="s">
        <v>5</v>
      </c>
      <c r="S37" s="1382" t="e">
        <f t="shared" si="9"/>
        <v>#N/A</v>
      </c>
      <c r="T37" s="1381" t="s">
        <v>5</v>
      </c>
      <c r="U37" s="1382" t="e">
        <f t="shared" si="10"/>
        <v>#N/A</v>
      </c>
      <c r="V37" s="1381" t="s">
        <v>5</v>
      </c>
      <c r="W37" s="1382" t="e">
        <f t="shared" si="11"/>
        <v>#N/A</v>
      </c>
      <c r="X37" s="1375"/>
      <c r="Y37" s="3902"/>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02"/>
      <c r="Q38" s="1045" t="str">
        <f t="shared" si="8"/>
        <v>写字楼等级</v>
      </c>
      <c r="R38" s="1376" t="s">
        <v>5</v>
      </c>
      <c r="S38" s="1377">
        <f t="shared" si="9"/>
        <v>100</v>
      </c>
      <c r="T38" s="1376" t="s">
        <v>5</v>
      </c>
      <c r="U38" s="1377">
        <f t="shared" si="10"/>
        <v>100</v>
      </c>
      <c r="V38" s="1376" t="s">
        <v>5</v>
      </c>
      <c r="W38" s="1377">
        <f t="shared" si="11"/>
        <v>100</v>
      </c>
      <c r="X38" s="1378"/>
      <c r="Y38" s="3902"/>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02" t="s">
        <v>499</v>
      </c>
      <c r="Q39" s="1380" t="str">
        <f t="shared" si="8"/>
        <v>物业管理</v>
      </c>
      <c r="R39" s="1381" t="s">
        <v>5</v>
      </c>
      <c r="S39" s="1382">
        <f t="shared" si="9"/>
        <v>100</v>
      </c>
      <c r="T39" s="1381" t="s">
        <v>5</v>
      </c>
      <c r="U39" s="1382">
        <f t="shared" si="10"/>
        <v>100</v>
      </c>
      <c r="V39" s="1381" t="s">
        <v>5</v>
      </c>
      <c r="W39" s="1382">
        <f t="shared" si="11"/>
        <v>100</v>
      </c>
      <c r="X39" s="1375"/>
      <c r="Y39" s="3902"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02"/>
      <c r="Q40" s="1380" t="str">
        <f t="shared" si="8"/>
        <v>市政基础设施</v>
      </c>
      <c r="R40" s="1381" t="s">
        <v>5</v>
      </c>
      <c r="S40" s="1382">
        <f t="shared" si="9"/>
        <v>100</v>
      </c>
      <c r="T40" s="1381" t="s">
        <v>5</v>
      </c>
      <c r="U40" s="1382">
        <f t="shared" si="10"/>
        <v>100</v>
      </c>
      <c r="V40" s="1381" t="s">
        <v>5</v>
      </c>
      <c r="W40" s="1382">
        <f t="shared" si="11"/>
        <v>100</v>
      </c>
      <c r="X40" s="1375"/>
      <c r="Y40" s="3902"/>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02"/>
      <c r="Q41" s="1380" t="str">
        <f t="shared" si="8"/>
        <v>层高</v>
      </c>
      <c r="R41" s="1381" t="s">
        <v>5</v>
      </c>
      <c r="S41" s="1382">
        <f t="shared" si="9"/>
        <v>100</v>
      </c>
      <c r="T41" s="1381" t="s">
        <v>5</v>
      </c>
      <c r="U41" s="1382">
        <f t="shared" si="10"/>
        <v>100</v>
      </c>
      <c r="V41" s="1381" t="s">
        <v>5</v>
      </c>
      <c r="W41" s="1382">
        <f t="shared" si="11"/>
        <v>100</v>
      </c>
      <c r="X41" s="1375"/>
      <c r="Y41" s="3902"/>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02"/>
      <c r="Q42" s="1409" t="str">
        <f t="shared" si="8"/>
        <v>单套建筑面积</v>
      </c>
      <c r="R42" s="1385" t="s">
        <v>5</v>
      </c>
      <c r="S42" s="1386">
        <f t="shared" si="9"/>
        <v>100</v>
      </c>
      <c r="T42" s="1385" t="s">
        <v>5</v>
      </c>
      <c r="U42" s="1386">
        <f t="shared" si="10"/>
        <v>100</v>
      </c>
      <c r="V42" s="1385" t="s">
        <v>5</v>
      </c>
      <c r="W42" s="1386">
        <f t="shared" si="11"/>
        <v>100</v>
      </c>
      <c r="X42" s="1387"/>
      <c r="Y42" s="3902"/>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02"/>
      <c r="Q43" s="1380" t="str">
        <f t="shared" si="8"/>
        <v>内部装修</v>
      </c>
      <c r="R43" s="1381" t="s">
        <v>5</v>
      </c>
      <c r="S43" s="1382">
        <f t="shared" si="9"/>
        <v>100</v>
      </c>
      <c r="T43" s="1381" t="s">
        <v>5</v>
      </c>
      <c r="U43" s="1382">
        <f t="shared" si="10"/>
        <v>100</v>
      </c>
      <c r="V43" s="1381" t="s">
        <v>5</v>
      </c>
      <c r="W43" s="1382">
        <f t="shared" si="11"/>
        <v>100</v>
      </c>
      <c r="X43" s="1375"/>
      <c r="Y43" s="3902"/>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02"/>
      <c r="Q44" s="1380" t="str">
        <f t="shared" si="8"/>
        <v>内部装修维护情况</v>
      </c>
      <c r="R44" s="1381" t="s">
        <v>5</v>
      </c>
      <c r="S44" s="1382">
        <f t="shared" si="9"/>
        <v>100</v>
      </c>
      <c r="T44" s="1381" t="s">
        <v>5</v>
      </c>
      <c r="U44" s="1382">
        <f t="shared" si="10"/>
        <v>100</v>
      </c>
      <c r="V44" s="1381" t="s">
        <v>5</v>
      </c>
      <c r="W44" s="1382">
        <f t="shared" si="11"/>
        <v>100</v>
      </c>
      <c r="X44" s="1375"/>
      <c r="Y44" s="3902"/>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02"/>
      <c r="Q45" s="1045">
        <f t="shared" si="8"/>
        <v>111</v>
      </c>
      <c r="R45" s="1376" t="s">
        <v>5</v>
      </c>
      <c r="S45" s="1377">
        <f t="shared" si="9"/>
        <v>100</v>
      </c>
      <c r="T45" s="1376" t="s">
        <v>5</v>
      </c>
      <c r="U45" s="1377">
        <f t="shared" si="10"/>
        <v>100</v>
      </c>
      <c r="V45" s="1376" t="s">
        <v>5</v>
      </c>
      <c r="W45" s="1377">
        <f t="shared" si="11"/>
        <v>100</v>
      </c>
      <c r="X45" s="1378"/>
      <c r="Y45" s="3902"/>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02"/>
      <c r="Q46" s="1380">
        <f t="shared" si="8"/>
        <v>111</v>
      </c>
      <c r="R46" s="1381" t="s">
        <v>5</v>
      </c>
      <c r="S46" s="1382">
        <f t="shared" si="9"/>
        <v>100</v>
      </c>
      <c r="T46" s="1381" t="s">
        <v>5</v>
      </c>
      <c r="U46" s="1382">
        <f t="shared" si="10"/>
        <v>100</v>
      </c>
      <c r="V46" s="1381" t="s">
        <v>5</v>
      </c>
      <c r="W46" s="1382">
        <f t="shared" si="11"/>
        <v>100</v>
      </c>
      <c r="X46" s="1375"/>
      <c r="Y46" s="3902"/>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80"/>
      <c r="Q47" s="1380">
        <f t="shared" si="8"/>
        <v>111</v>
      </c>
      <c r="R47" s="1381" t="s">
        <v>5</v>
      </c>
      <c r="S47" s="1382">
        <f t="shared" si="9"/>
        <v>100</v>
      </c>
      <c r="T47" s="1381" t="s">
        <v>5</v>
      </c>
      <c r="U47" s="1382">
        <f t="shared" si="10"/>
        <v>100</v>
      </c>
      <c r="V47" s="1381" t="s">
        <v>5</v>
      </c>
      <c r="W47" s="1382">
        <f t="shared" si="11"/>
        <v>100</v>
      </c>
      <c r="X47" s="1375"/>
      <c r="Y47" s="3980"/>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04" t="str">
        <f>A48</f>
        <v>成交单价（元/平方米）</v>
      </c>
      <c r="Q48" s="3897"/>
      <c r="R48" s="3979">
        <f>E48</f>
        <v>0</v>
      </c>
      <c r="S48" s="3979"/>
      <c r="T48" s="3979">
        <f>G48</f>
        <v>0</v>
      </c>
      <c r="U48" s="3979"/>
      <c r="V48" s="3979">
        <f>I48</f>
        <v>0</v>
      </c>
      <c r="W48" s="3979"/>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04" t="str">
        <f>A49</f>
        <v>比较价格（元/平方米）</v>
      </c>
      <c r="Q49" s="3897"/>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5" t="str">
        <f>A50</f>
        <v>估价对象XX用房的比较价格（楼面单价，元/平方米）</v>
      </c>
      <c r="Q50" s="3904"/>
      <c r="R50" s="3978" t="e">
        <f>IF(F1="售价",ROUND(IF(D49="简单平均",AVERAGE(R49:V49),R49*F49+T49*H49+V49*J49),0),ROUND(IF(D49="简单平均",AVERAGE(R49:V49),R49*F49+T49*H49+V49*J49),1))</f>
        <v>#DIV/0!</v>
      </c>
      <c r="S50" s="3978"/>
      <c r="T50" s="3978"/>
      <c r="U50" s="3978"/>
      <c r="V50" s="3978"/>
      <c r="W50" s="3978"/>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905" t="s">
        <v>471</v>
      </c>
      <c r="D4" s="3906"/>
      <c r="E4" s="3932" t="s">
        <v>472</v>
      </c>
      <c r="F4" s="3933"/>
      <c r="G4" s="3905" t="s">
        <v>473</v>
      </c>
      <c r="H4" s="3906"/>
      <c r="I4" s="3905" t="s">
        <v>474</v>
      </c>
      <c r="J4" s="3906"/>
      <c r="K4" s="482" t="s">
        <v>475</v>
      </c>
      <c r="L4" s="1850"/>
      <c r="M4" s="1851"/>
      <c r="N4" s="1851"/>
      <c r="O4" s="1851"/>
      <c r="P4" s="3907" t="s">
        <v>476</v>
      </c>
      <c r="Q4" s="3908"/>
      <c r="R4" s="3891" t="s">
        <v>472</v>
      </c>
      <c r="S4" s="3892"/>
      <c r="T4" s="3891" t="s">
        <v>473</v>
      </c>
      <c r="U4" s="3892"/>
      <c r="V4" s="3913" t="s">
        <v>474</v>
      </c>
      <c r="W4" s="3913"/>
      <c r="X4" s="1375"/>
      <c r="Y4" s="3891" t="s">
        <v>476</v>
      </c>
      <c r="Z4" s="3892"/>
      <c r="AA4" s="3886" t="s">
        <v>472</v>
      </c>
      <c r="AB4" s="3887" t="s">
        <v>473</v>
      </c>
      <c r="AC4" s="3886" t="s">
        <v>474</v>
      </c>
    </row>
    <row r="5" spans="1:29" ht="15">
      <c r="A5" s="483"/>
      <c r="B5" s="484"/>
      <c r="C5" s="3916" t="s">
        <v>2178</v>
      </c>
      <c r="D5" s="3917"/>
      <c r="E5" s="3934" t="s">
        <v>2179</v>
      </c>
      <c r="F5" s="3935"/>
      <c r="G5" s="3916" t="s">
        <v>2180</v>
      </c>
      <c r="H5" s="3917"/>
      <c r="I5" s="3916" t="s">
        <v>2181</v>
      </c>
      <c r="J5" s="3917"/>
      <c r="K5" s="482"/>
      <c r="L5" s="1850"/>
      <c r="M5" s="1851"/>
      <c r="N5" s="1851"/>
      <c r="O5" s="1851"/>
      <c r="P5" s="3909"/>
      <c r="Q5" s="3910"/>
      <c r="R5" s="3893"/>
      <c r="S5" s="3894"/>
      <c r="T5" s="3893"/>
      <c r="U5" s="3894"/>
      <c r="V5" s="3913"/>
      <c r="W5" s="3913"/>
      <c r="X5" s="1375"/>
      <c r="Y5" s="3893"/>
      <c r="Z5" s="3894"/>
      <c r="AA5" s="3887"/>
      <c r="AB5" s="3887"/>
      <c r="AC5" s="3887"/>
    </row>
    <row r="6" spans="1:29" ht="15.75" thickBot="1">
      <c r="A6" s="485"/>
      <c r="B6" s="486"/>
      <c r="C6" s="3914" t="s">
        <v>2182</v>
      </c>
      <c r="D6" s="3915"/>
      <c r="E6" s="3936" t="s">
        <v>2182</v>
      </c>
      <c r="F6" s="3937"/>
      <c r="G6" s="3914" t="s">
        <v>2182</v>
      </c>
      <c r="H6" s="3915"/>
      <c r="I6" s="3914" t="s">
        <v>2182</v>
      </c>
      <c r="J6" s="3915"/>
      <c r="K6" s="482" t="s">
        <v>477</v>
      </c>
      <c r="L6" s="1850"/>
      <c r="M6" s="1851"/>
      <c r="N6" s="1851"/>
      <c r="O6" s="1851"/>
      <c r="P6" s="3911"/>
      <c r="Q6" s="3912"/>
      <c r="R6" s="3893"/>
      <c r="S6" s="3894"/>
      <c r="T6" s="3895"/>
      <c r="U6" s="3896"/>
      <c r="V6" s="3913"/>
      <c r="W6" s="3913"/>
      <c r="X6" s="1375"/>
      <c r="Y6" s="3895"/>
      <c r="Z6" s="3896"/>
      <c r="AA6" s="3888"/>
      <c r="AB6" s="3888"/>
      <c r="AC6" s="3888"/>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889" t="s">
        <v>479</v>
      </c>
      <c r="Q7" s="3898"/>
      <c r="R7" s="1376" t="s">
        <v>5</v>
      </c>
      <c r="S7" s="1377">
        <f t="shared" ref="S7:S15" si="0">F7</f>
        <v>0</v>
      </c>
      <c r="T7" s="1376" t="s">
        <v>5</v>
      </c>
      <c r="U7" s="1377">
        <f t="shared" ref="U7:U15" si="1">H7</f>
        <v>0</v>
      </c>
      <c r="V7" s="1376" t="s">
        <v>5</v>
      </c>
      <c r="W7" s="1377">
        <f t="shared" ref="W7:W15" si="2">J7</f>
        <v>0</v>
      </c>
      <c r="X7" s="1378"/>
      <c r="Y7" s="3889" t="s">
        <v>479</v>
      </c>
      <c r="Z7" s="3890"/>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889" t="s">
        <v>482</v>
      </c>
      <c r="Q8" s="3890"/>
      <c r="R8" s="1376" t="s">
        <v>5</v>
      </c>
      <c r="S8" s="1377">
        <f t="shared" si="0"/>
        <v>0</v>
      </c>
      <c r="T8" s="1376" t="s">
        <v>5</v>
      </c>
      <c r="U8" s="1377">
        <f t="shared" si="1"/>
        <v>0</v>
      </c>
      <c r="V8" s="1376" t="s">
        <v>5</v>
      </c>
      <c r="W8" s="1377">
        <f t="shared" si="2"/>
        <v>0</v>
      </c>
      <c r="X8" s="1378"/>
      <c r="Y8" s="3889" t="s">
        <v>482</v>
      </c>
      <c r="Z8" s="3890"/>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97" t="s">
        <v>484</v>
      </c>
      <c r="Q9" s="1045" t="str">
        <f t="shared" ref="Q9:Q15" si="6">B9</f>
        <v>用途</v>
      </c>
      <c r="R9" s="1376" t="s">
        <v>5</v>
      </c>
      <c r="S9" s="1377">
        <f t="shared" si="0"/>
        <v>100</v>
      </c>
      <c r="T9" s="1376" t="s">
        <v>5</v>
      </c>
      <c r="U9" s="1377">
        <f t="shared" si="1"/>
        <v>100</v>
      </c>
      <c r="V9" s="1376" t="s">
        <v>5</v>
      </c>
      <c r="W9" s="1377">
        <f t="shared" si="2"/>
        <v>100</v>
      </c>
      <c r="X9" s="1378"/>
      <c r="Y9" s="3849"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97"/>
      <c r="Q11" s="1045" t="str">
        <f t="shared" si="6"/>
        <v>容积率</v>
      </c>
      <c r="R11" s="1376" t="s">
        <v>5</v>
      </c>
      <c r="S11" s="1377" t="e">
        <f t="shared" si="0"/>
        <v>#N/A</v>
      </c>
      <c r="T11" s="1376" t="s">
        <v>5</v>
      </c>
      <c r="U11" s="1377" t="e">
        <f t="shared" si="1"/>
        <v>#N/A</v>
      </c>
      <c r="V11" s="1376" t="s">
        <v>5</v>
      </c>
      <c r="W11" s="1377" t="e">
        <f t="shared" si="2"/>
        <v>#N/A</v>
      </c>
      <c r="X11" s="1378"/>
      <c r="Y11" s="384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97"/>
      <c r="Q12" s="1045">
        <f t="shared" si="6"/>
        <v>111</v>
      </c>
      <c r="R12" s="1376" t="s">
        <v>5</v>
      </c>
      <c r="S12" s="1377">
        <f t="shared" si="0"/>
        <v>100</v>
      </c>
      <c r="T12" s="1376" t="s">
        <v>5</v>
      </c>
      <c r="U12" s="1377">
        <f t="shared" si="1"/>
        <v>100</v>
      </c>
      <c r="V12" s="1376" t="s">
        <v>5</v>
      </c>
      <c r="W12" s="1377">
        <f t="shared" si="2"/>
        <v>100</v>
      </c>
      <c r="X12" s="1378"/>
      <c r="Y12" s="3849"/>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97"/>
      <c r="Q13" s="1045">
        <f t="shared" si="6"/>
        <v>111</v>
      </c>
      <c r="R13" s="1376" t="s">
        <v>5</v>
      </c>
      <c r="S13" s="1377">
        <f t="shared" si="0"/>
        <v>100</v>
      </c>
      <c r="T13" s="1376" t="s">
        <v>5</v>
      </c>
      <c r="U13" s="1377">
        <f t="shared" si="1"/>
        <v>100</v>
      </c>
      <c r="V13" s="1376" t="s">
        <v>5</v>
      </c>
      <c r="W13" s="1377">
        <f t="shared" si="2"/>
        <v>100</v>
      </c>
      <c r="X13" s="1378"/>
      <c r="Y13" s="3849"/>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97"/>
      <c r="Q14" s="1045">
        <f t="shared" si="6"/>
        <v>111</v>
      </c>
      <c r="R14" s="1376" t="s">
        <v>5</v>
      </c>
      <c r="S14" s="1377">
        <f t="shared" si="0"/>
        <v>100</v>
      </c>
      <c r="T14" s="1376" t="s">
        <v>5</v>
      </c>
      <c r="U14" s="1377">
        <f t="shared" si="1"/>
        <v>100</v>
      </c>
      <c r="V14" s="1376" t="s">
        <v>5</v>
      </c>
      <c r="W14" s="1377">
        <f t="shared" si="2"/>
        <v>100</v>
      </c>
      <c r="X14" s="1378"/>
      <c r="Y14" s="3849"/>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899" t="s">
        <v>489</v>
      </c>
      <c r="Q15" s="1380" t="str">
        <f t="shared" si="6"/>
        <v>产业集聚程度</v>
      </c>
      <c r="R15" s="1381" t="s">
        <v>5</v>
      </c>
      <c r="S15" s="1382">
        <f t="shared" si="0"/>
        <v>100</v>
      </c>
      <c r="T15" s="1381" t="s">
        <v>5</v>
      </c>
      <c r="U15" s="1382">
        <f t="shared" si="1"/>
        <v>100</v>
      </c>
      <c r="V15" s="1381" t="s">
        <v>5</v>
      </c>
      <c r="W15" s="1382">
        <f t="shared" si="2"/>
        <v>100</v>
      </c>
      <c r="X15" s="1375"/>
      <c r="Y15" s="3899"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0"/>
      <c r="Q16" s="1380"/>
      <c r="R16" s="1381"/>
      <c r="S16" s="1382"/>
      <c r="T16" s="1381"/>
      <c r="U16" s="1382"/>
      <c r="V16" s="1381"/>
      <c r="W16" s="1382"/>
      <c r="X16" s="1375"/>
      <c r="Y16" s="3900"/>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00"/>
      <c r="Q17" s="1380" t="str">
        <f>B17</f>
        <v>交通便捷度</v>
      </c>
      <c r="R17" s="1381" t="s">
        <v>5</v>
      </c>
      <c r="S17" s="1382">
        <f>F17</f>
        <v>100</v>
      </c>
      <c r="T17" s="1381" t="s">
        <v>5</v>
      </c>
      <c r="U17" s="1382">
        <f>H17</f>
        <v>100</v>
      </c>
      <c r="V17" s="1381" t="s">
        <v>5</v>
      </c>
      <c r="W17" s="1382">
        <f>J17</f>
        <v>100</v>
      </c>
      <c r="X17" s="1375"/>
      <c r="Y17" s="3900"/>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0"/>
      <c r="Q18" s="1380"/>
      <c r="R18" s="1381"/>
      <c r="S18" s="1382"/>
      <c r="T18" s="1381"/>
      <c r="U18" s="1382"/>
      <c r="V18" s="1381"/>
      <c r="W18" s="1382"/>
      <c r="X18" s="1375"/>
      <c r="Y18" s="3900"/>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00"/>
      <c r="Q19" s="1380" t="str">
        <f>B19</f>
        <v>公共配套设施</v>
      </c>
      <c r="R19" s="1381" t="s">
        <v>5</v>
      </c>
      <c r="S19" s="1382">
        <f>F19</f>
        <v>100</v>
      </c>
      <c r="T19" s="1381" t="s">
        <v>5</v>
      </c>
      <c r="U19" s="1382">
        <f>H19</f>
        <v>100</v>
      </c>
      <c r="V19" s="1381" t="s">
        <v>5</v>
      </c>
      <c r="W19" s="1382">
        <f>J19</f>
        <v>100</v>
      </c>
      <c r="X19" s="1375"/>
      <c r="Y19" s="3900"/>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00"/>
      <c r="Q20" s="1380"/>
      <c r="R20" s="1381"/>
      <c r="S20" s="1382"/>
      <c r="T20" s="1381"/>
      <c r="U20" s="1382"/>
      <c r="V20" s="1381"/>
      <c r="W20" s="1382"/>
      <c r="X20" s="1375"/>
      <c r="Y20" s="3900"/>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00"/>
      <c r="Q21" s="2187" t="str">
        <f>B21</f>
        <v>基础设施水平</v>
      </c>
      <c r="R21" s="1381" t="s">
        <v>5</v>
      </c>
      <c r="S21" s="1382">
        <f>F21</f>
        <v>100</v>
      </c>
      <c r="T21" s="1381" t="s">
        <v>5</v>
      </c>
      <c r="U21" s="1382">
        <f>H21</f>
        <v>100</v>
      </c>
      <c r="V21" s="1381" t="s">
        <v>5</v>
      </c>
      <c r="W21" s="1382">
        <f>J21</f>
        <v>100</v>
      </c>
      <c r="X21" s="2189"/>
      <c r="Y21" s="3900"/>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00"/>
      <c r="Q22" s="2187"/>
      <c r="R22" s="1381"/>
      <c r="S22" s="1382"/>
      <c r="T22" s="1381"/>
      <c r="U22" s="1382"/>
      <c r="V22" s="1381"/>
      <c r="W22" s="1382"/>
      <c r="X22" s="2189"/>
      <c r="Y22" s="3900"/>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00"/>
      <c r="Q23" s="1380" t="str">
        <f>B23</f>
        <v>环境质量</v>
      </c>
      <c r="R23" s="1381" t="s">
        <v>5</v>
      </c>
      <c r="S23" s="1382">
        <f>F23</f>
        <v>100</v>
      </c>
      <c r="T23" s="1381" t="s">
        <v>5</v>
      </c>
      <c r="U23" s="1382">
        <f>H23</f>
        <v>100</v>
      </c>
      <c r="V23" s="1381" t="s">
        <v>5</v>
      </c>
      <c r="W23" s="1382">
        <f>J23</f>
        <v>100</v>
      </c>
      <c r="X23" s="1375"/>
      <c r="Y23" s="3900"/>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00"/>
      <c r="Q24" s="1380"/>
      <c r="R24" s="1381"/>
      <c r="S24" s="1382"/>
      <c r="T24" s="1381"/>
      <c r="U24" s="1382"/>
      <c r="V24" s="1381"/>
      <c r="W24" s="1382"/>
      <c r="X24" s="1375"/>
      <c r="Y24" s="3900"/>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00"/>
      <c r="Q25" s="1380">
        <f>B25</f>
        <v>111</v>
      </c>
      <c r="R25" s="1381" t="s">
        <v>5</v>
      </c>
      <c r="S25" s="1382">
        <f>F25</f>
        <v>100</v>
      </c>
      <c r="T25" s="1381" t="s">
        <v>5</v>
      </c>
      <c r="U25" s="1382">
        <f>H25</f>
        <v>100</v>
      </c>
      <c r="V25" s="1381" t="s">
        <v>5</v>
      </c>
      <c r="W25" s="1382">
        <f>J25</f>
        <v>100</v>
      </c>
      <c r="X25" s="1375"/>
      <c r="Y25" s="3900"/>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00"/>
      <c r="Q26" s="1380">
        <f t="shared" ref="Q26:Q40" si="8">B26</f>
        <v>111</v>
      </c>
      <c r="R26" s="1381" t="s">
        <v>5</v>
      </c>
      <c r="S26" s="1382">
        <f>F26</f>
        <v>100</v>
      </c>
      <c r="T26" s="1381" t="s">
        <v>5</v>
      </c>
      <c r="U26" s="1382">
        <f>H26</f>
        <v>100</v>
      </c>
      <c r="V26" s="1381" t="s">
        <v>5</v>
      </c>
      <c r="W26" s="1382">
        <f>J26</f>
        <v>100</v>
      </c>
      <c r="X26" s="1375"/>
      <c r="Y26" s="3900"/>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00"/>
      <c r="Q27" s="1045">
        <f t="shared" si="8"/>
        <v>111</v>
      </c>
      <c r="R27" s="1376" t="s">
        <v>5</v>
      </c>
      <c r="S27" s="1377">
        <f>F27</f>
        <v>100</v>
      </c>
      <c r="T27" s="1376" t="s">
        <v>5</v>
      </c>
      <c r="U27" s="1377">
        <f>H27</f>
        <v>100</v>
      </c>
      <c r="V27" s="1376" t="s">
        <v>5</v>
      </c>
      <c r="W27" s="1377">
        <f>J27</f>
        <v>100</v>
      </c>
      <c r="X27" s="1378"/>
      <c r="Y27" s="3900"/>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00"/>
      <c r="Q28" s="1380">
        <f t="shared" si="8"/>
        <v>111</v>
      </c>
      <c r="R28" s="1381" t="s">
        <v>5</v>
      </c>
      <c r="S28" s="1382">
        <f t="shared" ref="S28:S40" si="9">F28</f>
        <v>100</v>
      </c>
      <c r="T28" s="1381" t="s">
        <v>5</v>
      </c>
      <c r="U28" s="1382">
        <f t="shared" ref="U28:U40" si="10">H28</f>
        <v>100</v>
      </c>
      <c r="V28" s="1381" t="s">
        <v>5</v>
      </c>
      <c r="W28" s="1382">
        <f t="shared" ref="W28:W40" si="11">J28</f>
        <v>100</v>
      </c>
      <c r="X28" s="1375"/>
      <c r="Y28" s="3900"/>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01" t="s">
        <v>499</v>
      </c>
      <c r="Q29" s="1380" t="str">
        <f t="shared" si="8"/>
        <v>建筑类型</v>
      </c>
      <c r="R29" s="1381" t="s">
        <v>5</v>
      </c>
      <c r="S29" s="1382">
        <f t="shared" si="9"/>
        <v>100</v>
      </c>
      <c r="T29" s="1381" t="s">
        <v>5</v>
      </c>
      <c r="U29" s="1382">
        <f t="shared" si="10"/>
        <v>100</v>
      </c>
      <c r="V29" s="1381" t="s">
        <v>5</v>
      </c>
      <c r="W29" s="1382">
        <f t="shared" si="11"/>
        <v>100</v>
      </c>
      <c r="X29" s="1375"/>
      <c r="Y29" s="3902"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02"/>
      <c r="Q30" s="1409" t="str">
        <f t="shared" si="8"/>
        <v>项目建筑规模</v>
      </c>
      <c r="R30" s="1385" t="s">
        <v>5</v>
      </c>
      <c r="S30" s="1386" t="e">
        <f t="shared" si="9"/>
        <v>#N/A</v>
      </c>
      <c r="T30" s="1385" t="s">
        <v>5</v>
      </c>
      <c r="U30" s="1386" t="e">
        <f t="shared" si="10"/>
        <v>#N/A</v>
      </c>
      <c r="V30" s="1385" t="s">
        <v>5</v>
      </c>
      <c r="W30" s="1386" t="e">
        <f t="shared" si="11"/>
        <v>#N/A</v>
      </c>
      <c r="X30" s="1387"/>
      <c r="Y30" s="3902"/>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02"/>
      <c r="Q31" s="1380" t="str">
        <f t="shared" si="8"/>
        <v>建筑结构</v>
      </c>
      <c r="R31" s="1381" t="s">
        <v>5</v>
      </c>
      <c r="S31" s="1382">
        <f t="shared" si="9"/>
        <v>100</v>
      </c>
      <c r="T31" s="1381" t="s">
        <v>5</v>
      </c>
      <c r="U31" s="1382">
        <f t="shared" si="10"/>
        <v>100</v>
      </c>
      <c r="V31" s="1381" t="s">
        <v>5</v>
      </c>
      <c r="W31" s="1382">
        <f t="shared" si="11"/>
        <v>100</v>
      </c>
      <c r="X31" s="1375"/>
      <c r="Y31" s="3902"/>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02"/>
      <c r="Q32" s="1380" t="str">
        <f t="shared" si="8"/>
        <v>公共部分装修</v>
      </c>
      <c r="R32" s="1381" t="s">
        <v>5</v>
      </c>
      <c r="S32" s="1382">
        <f t="shared" si="9"/>
        <v>100</v>
      </c>
      <c r="T32" s="1381" t="s">
        <v>5</v>
      </c>
      <c r="U32" s="1382">
        <f t="shared" si="10"/>
        <v>100</v>
      </c>
      <c r="V32" s="1381" t="s">
        <v>5</v>
      </c>
      <c r="W32" s="1382">
        <f t="shared" si="11"/>
        <v>100</v>
      </c>
      <c r="X32" s="1375"/>
      <c r="Y32" s="3902"/>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02"/>
      <c r="Q33" s="1380" t="str">
        <f t="shared" si="8"/>
        <v>成新度</v>
      </c>
      <c r="R33" s="1381" t="s">
        <v>5</v>
      </c>
      <c r="S33" s="1382" t="e">
        <f t="shared" si="9"/>
        <v>#N/A</v>
      </c>
      <c r="T33" s="1381" t="s">
        <v>5</v>
      </c>
      <c r="U33" s="1382" t="e">
        <f t="shared" si="10"/>
        <v>#N/A</v>
      </c>
      <c r="V33" s="1381" t="s">
        <v>5</v>
      </c>
      <c r="W33" s="1382" t="e">
        <f t="shared" si="11"/>
        <v>#N/A</v>
      </c>
      <c r="X33" s="1375"/>
      <c r="Y33" s="3902"/>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02"/>
      <c r="Q34" s="1045" t="str">
        <f t="shared" si="8"/>
        <v>物业管理</v>
      </c>
      <c r="R34" s="1376" t="s">
        <v>5</v>
      </c>
      <c r="S34" s="1377">
        <f t="shared" si="9"/>
        <v>100</v>
      </c>
      <c r="T34" s="1376" t="s">
        <v>5</v>
      </c>
      <c r="U34" s="1377">
        <f t="shared" si="10"/>
        <v>100</v>
      </c>
      <c r="V34" s="1376" t="s">
        <v>5</v>
      </c>
      <c r="W34" s="1377">
        <f t="shared" si="11"/>
        <v>100</v>
      </c>
      <c r="X34" s="1378"/>
      <c r="Y34" s="3902"/>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02" t="s">
        <v>499</v>
      </c>
      <c r="Q35" s="1380" t="str">
        <f t="shared" si="8"/>
        <v>市政基础设施</v>
      </c>
      <c r="R35" s="1381" t="s">
        <v>5</v>
      </c>
      <c r="S35" s="1382">
        <f t="shared" si="9"/>
        <v>100</v>
      </c>
      <c r="T35" s="1381" t="s">
        <v>5</v>
      </c>
      <c r="U35" s="1382">
        <f t="shared" si="10"/>
        <v>100</v>
      </c>
      <c r="V35" s="1381" t="s">
        <v>5</v>
      </c>
      <c r="W35" s="1382">
        <f t="shared" si="11"/>
        <v>100</v>
      </c>
      <c r="X35" s="1375"/>
      <c r="Y35" s="3902"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02"/>
      <c r="Q36" s="1380" t="str">
        <f t="shared" si="8"/>
        <v>内部装修</v>
      </c>
      <c r="R36" s="1381" t="s">
        <v>5</v>
      </c>
      <c r="S36" s="1382">
        <f t="shared" si="9"/>
        <v>100</v>
      </c>
      <c r="T36" s="1381" t="s">
        <v>5</v>
      </c>
      <c r="U36" s="1382">
        <f t="shared" si="10"/>
        <v>100</v>
      </c>
      <c r="V36" s="1381" t="s">
        <v>5</v>
      </c>
      <c r="W36" s="1382">
        <f t="shared" si="11"/>
        <v>100</v>
      </c>
      <c r="X36" s="1375"/>
      <c r="Y36" s="3902"/>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02"/>
      <c r="Q37" s="1380" t="str">
        <f t="shared" si="8"/>
        <v>内部装修状况</v>
      </c>
      <c r="R37" s="1381" t="s">
        <v>5</v>
      </c>
      <c r="S37" s="1382">
        <f t="shared" si="9"/>
        <v>100</v>
      </c>
      <c r="T37" s="1381" t="s">
        <v>5</v>
      </c>
      <c r="U37" s="1382">
        <f t="shared" si="10"/>
        <v>100</v>
      </c>
      <c r="V37" s="1381" t="s">
        <v>5</v>
      </c>
      <c r="W37" s="1382">
        <f t="shared" si="11"/>
        <v>100</v>
      </c>
      <c r="X37" s="1375"/>
      <c r="Y37" s="3902"/>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02"/>
      <c r="Q38" s="1409">
        <f t="shared" si="8"/>
        <v>111</v>
      </c>
      <c r="R38" s="1385" t="s">
        <v>5</v>
      </c>
      <c r="S38" s="1386">
        <f t="shared" si="9"/>
        <v>100</v>
      </c>
      <c r="T38" s="1385" t="s">
        <v>5</v>
      </c>
      <c r="U38" s="1386">
        <f t="shared" si="10"/>
        <v>100</v>
      </c>
      <c r="V38" s="1385" t="s">
        <v>5</v>
      </c>
      <c r="W38" s="1386">
        <f t="shared" si="11"/>
        <v>100</v>
      </c>
      <c r="X38" s="1387"/>
      <c r="Y38" s="3902"/>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02"/>
      <c r="Q39" s="1380">
        <f t="shared" si="8"/>
        <v>111</v>
      </c>
      <c r="R39" s="1381" t="s">
        <v>5</v>
      </c>
      <c r="S39" s="1382">
        <f t="shared" si="9"/>
        <v>100</v>
      </c>
      <c r="T39" s="1381" t="s">
        <v>5</v>
      </c>
      <c r="U39" s="1382">
        <f t="shared" si="10"/>
        <v>100</v>
      </c>
      <c r="V39" s="1381" t="s">
        <v>5</v>
      </c>
      <c r="W39" s="1382">
        <f t="shared" si="11"/>
        <v>100</v>
      </c>
      <c r="X39" s="1375"/>
      <c r="Y39" s="3902"/>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80"/>
      <c r="Q40" s="1380">
        <f t="shared" si="8"/>
        <v>111</v>
      </c>
      <c r="R40" s="1381" t="s">
        <v>5</v>
      </c>
      <c r="S40" s="1382">
        <f t="shared" si="9"/>
        <v>100</v>
      </c>
      <c r="T40" s="1381" t="s">
        <v>5</v>
      </c>
      <c r="U40" s="1382">
        <f t="shared" si="10"/>
        <v>100</v>
      </c>
      <c r="V40" s="1381" t="s">
        <v>5</v>
      </c>
      <c r="W40" s="1382">
        <f t="shared" si="11"/>
        <v>100</v>
      </c>
      <c r="X40" s="1375"/>
      <c r="Y40" s="3980"/>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97" t="str">
        <f>A41</f>
        <v>成交单价（元/平方米）</v>
      </c>
      <c r="Q41" s="3897"/>
      <c r="R41" s="3979">
        <f>E41</f>
        <v>0</v>
      </c>
      <c r="S41" s="3979"/>
      <c r="T41" s="3979">
        <f>G41</f>
        <v>0</v>
      </c>
      <c r="U41" s="3979"/>
      <c r="V41" s="3979">
        <f>I41</f>
        <v>0</v>
      </c>
      <c r="W41" s="3979"/>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97" t="str">
        <f>A42</f>
        <v>比较价格（元/平方米）</v>
      </c>
      <c r="Q42" s="3897"/>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03" t="str">
        <f>A43</f>
        <v>估价对象XX用房的比较价格（楼面单价，元/平方米）</v>
      </c>
      <c r="Q43" s="3904"/>
      <c r="R43" s="3978" t="e">
        <f>IF(F1="售价",ROUND(IF(D42="简单平均",AVERAGE(R42:V42),R42*F42+T42*H42+V42*J42),0),ROUND(IF(D42="简单平均",AVERAGE(R42:V42),R42*F42+T42*H42+V42*J42),1))</f>
        <v>#DIV/0!</v>
      </c>
      <c r="S43" s="3978"/>
      <c r="T43" s="3978"/>
      <c r="U43" s="3978"/>
      <c r="V43" s="3978"/>
      <c r="W43" s="3978"/>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C19" sqref="C19"/>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1921</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32023</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5" t="s">
        <v>738</v>
      </c>
      <c r="D4" s="3906"/>
      <c r="E4" s="3932" t="s">
        <v>739</v>
      </c>
      <c r="F4" s="3933"/>
      <c r="G4" s="3905" t="s">
        <v>740</v>
      </c>
      <c r="H4" s="3906"/>
      <c r="I4" s="3905" t="s">
        <v>741</v>
      </c>
      <c r="J4" s="3906"/>
      <c r="K4" s="482" t="s">
        <v>742</v>
      </c>
      <c r="L4" s="1850"/>
      <c r="M4" s="1851"/>
      <c r="N4" s="1851"/>
      <c r="O4" s="1851"/>
      <c r="P4" s="3907" t="s">
        <v>743</v>
      </c>
      <c r="Q4" s="3908"/>
      <c r="R4" s="3891" t="s">
        <v>739</v>
      </c>
      <c r="S4" s="3892"/>
      <c r="T4" s="3891" t="s">
        <v>740</v>
      </c>
      <c r="U4" s="3892"/>
      <c r="V4" s="3913" t="s">
        <v>741</v>
      </c>
      <c r="W4" s="3913"/>
      <c r="X4" s="1375"/>
      <c r="Y4" s="3891" t="s">
        <v>743</v>
      </c>
      <c r="Z4" s="3892"/>
      <c r="AA4" s="3886" t="s">
        <v>739</v>
      </c>
      <c r="AB4" s="3887" t="s">
        <v>740</v>
      </c>
      <c r="AC4" s="3886" t="s">
        <v>741</v>
      </c>
    </row>
    <row r="5" spans="1:29" ht="15">
      <c r="A5" s="483"/>
      <c r="B5" s="484"/>
      <c r="C5" s="3916" t="str">
        <f>'不动产比较法-住宅'!C5:D5</f>
        <v>越秀香山樾</v>
      </c>
      <c r="D5" s="3917"/>
      <c r="E5" s="3934" t="str">
        <f>案例!A2</f>
        <v>学府壹号院</v>
      </c>
      <c r="F5" s="3935"/>
      <c r="G5" s="3916" t="str">
        <f>案例!A4</f>
        <v>融创香山壹号院</v>
      </c>
      <c r="H5" s="3917"/>
      <c r="I5" s="3916" t="str">
        <f>案例!A6</f>
        <v>颐和金茂府</v>
      </c>
      <c r="J5" s="3917"/>
      <c r="K5" s="482"/>
      <c r="L5" s="1850"/>
      <c r="M5" s="1851"/>
      <c r="N5" s="1851"/>
      <c r="O5" s="1851"/>
      <c r="P5" s="3909"/>
      <c r="Q5" s="3910"/>
      <c r="R5" s="3893"/>
      <c r="S5" s="3894"/>
      <c r="T5" s="3893"/>
      <c r="U5" s="3894"/>
      <c r="V5" s="3913"/>
      <c r="W5" s="3913"/>
      <c r="X5" s="1375"/>
      <c r="Y5" s="3893"/>
      <c r="Z5" s="3894"/>
      <c r="AA5" s="3887"/>
      <c r="AB5" s="3887"/>
      <c r="AC5" s="3887"/>
    </row>
    <row r="6" spans="1:29" ht="15.75" thickBot="1">
      <c r="A6" s="485"/>
      <c r="B6" s="486"/>
      <c r="C6" s="3914" t="s">
        <v>2182</v>
      </c>
      <c r="D6" s="3915"/>
      <c r="E6" s="3936" t="s">
        <v>2182</v>
      </c>
      <c r="F6" s="3937"/>
      <c r="G6" s="3914" t="s">
        <v>2182</v>
      </c>
      <c r="H6" s="3915"/>
      <c r="I6" s="3914" t="s">
        <v>2182</v>
      </c>
      <c r="J6" s="3915"/>
      <c r="K6" s="482" t="s">
        <v>477</v>
      </c>
      <c r="L6" s="1850"/>
      <c r="M6" s="1851"/>
      <c r="N6" s="1851"/>
      <c r="O6" s="1851"/>
      <c r="P6" s="3911"/>
      <c r="Q6" s="3912"/>
      <c r="R6" s="3893"/>
      <c r="S6" s="3894"/>
      <c r="T6" s="3895"/>
      <c r="U6" s="3896"/>
      <c r="V6" s="3913"/>
      <c r="W6" s="3913"/>
      <c r="X6" s="1375"/>
      <c r="Y6" s="3895"/>
      <c r="Z6" s="3896"/>
      <c r="AA6" s="3888"/>
      <c r="AB6" s="3888"/>
      <c r="AC6" s="3888"/>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889" t="s">
        <v>479</v>
      </c>
      <c r="Q7" s="3898"/>
      <c r="R7" s="1376" t="s">
        <v>5</v>
      </c>
      <c r="S7" s="1377">
        <f t="shared" ref="S7:S14" si="0">F7</f>
        <v>100</v>
      </c>
      <c r="T7" s="1376" t="s">
        <v>5</v>
      </c>
      <c r="U7" s="1377">
        <f t="shared" ref="U7:U14" si="1">H7</f>
        <v>100</v>
      </c>
      <c r="V7" s="1376" t="s">
        <v>5</v>
      </c>
      <c r="W7" s="1377">
        <f t="shared" ref="W7:W14" si="2">J7</f>
        <v>100</v>
      </c>
      <c r="X7" s="1378"/>
      <c r="Y7" s="3889" t="s">
        <v>479</v>
      </c>
      <c r="Z7" s="3890"/>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889" t="s">
        <v>482</v>
      </c>
      <c r="Q8" s="3890"/>
      <c r="R8" s="1376" t="s">
        <v>5</v>
      </c>
      <c r="S8" s="1377">
        <f t="shared" si="0"/>
        <v>100</v>
      </c>
      <c r="T8" s="1376" t="s">
        <v>5</v>
      </c>
      <c r="U8" s="1377">
        <f t="shared" si="1"/>
        <v>100</v>
      </c>
      <c r="V8" s="1376" t="s">
        <v>5</v>
      </c>
      <c r="W8" s="1377">
        <f t="shared" si="2"/>
        <v>100</v>
      </c>
      <c r="X8" s="1378"/>
      <c r="Y8" s="3889" t="s">
        <v>482</v>
      </c>
      <c r="Z8" s="3890"/>
      <c r="AA8" s="1379">
        <f t="shared" ref="AA8:AA34" si="3">D8/F8</f>
        <v>1</v>
      </c>
      <c r="AB8" s="1379">
        <f t="shared" ref="AB8:AB34" si="4">D8/H8</f>
        <v>1</v>
      </c>
      <c r="AC8" s="1379">
        <f t="shared" ref="AC8:AC34" si="5">D8/J8</f>
        <v>1</v>
      </c>
    </row>
    <row r="9" spans="1:29" s="1113" customFormat="1" ht="15">
      <c r="A9" s="2386"/>
      <c r="B9" s="2393" t="s">
        <v>2034</v>
      </c>
      <c r="C9" s="3665" t="s">
        <v>3564</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97" t="s">
        <v>484</v>
      </c>
      <c r="Q9" s="1045" t="str">
        <f t="shared" ref="Q9:Q14" si="6">B9</f>
        <v>用途</v>
      </c>
      <c r="R9" s="1376" t="s">
        <v>5</v>
      </c>
      <c r="S9" s="1377">
        <f t="shared" si="0"/>
        <v>100</v>
      </c>
      <c r="T9" s="1376" t="s">
        <v>5</v>
      </c>
      <c r="U9" s="1377">
        <f t="shared" si="1"/>
        <v>100</v>
      </c>
      <c r="V9" s="1376" t="s">
        <v>5</v>
      </c>
      <c r="W9" s="1377">
        <f t="shared" si="2"/>
        <v>100</v>
      </c>
      <c r="X9" s="1378"/>
      <c r="Y9" s="3849"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3565</v>
      </c>
      <c r="F10" s="245">
        <f>SUMIF(53:53,E10,54:54)-SUMIF(53:53,C10,54:54)+100</f>
        <v>100</v>
      </c>
      <c r="G10" s="3648" t="s">
        <v>3565</v>
      </c>
      <c r="H10" s="245">
        <f>SUMIF(53:53,G10,54:54)-SUMIF(53:53,C10,54:54)+100</f>
        <v>100</v>
      </c>
      <c r="I10" s="3647" t="s">
        <v>3565</v>
      </c>
      <c r="J10" s="245">
        <f>SUMIF(53:53,I10,54:54)-SUMIF(53:53,C10,54:54)+100</f>
        <v>100</v>
      </c>
      <c r="K10" s="492"/>
      <c r="L10" s="1855"/>
      <c r="M10" s="1894"/>
      <c r="N10" s="1894"/>
      <c r="O10" s="1856"/>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97"/>
      <c r="Q11" s="1045">
        <f t="shared" si="6"/>
        <v>111</v>
      </c>
      <c r="R11" s="1376" t="s">
        <v>5</v>
      </c>
      <c r="S11" s="1377">
        <f t="shared" si="0"/>
        <v>100</v>
      </c>
      <c r="T11" s="1376" t="s">
        <v>5</v>
      </c>
      <c r="U11" s="1377">
        <f t="shared" si="1"/>
        <v>100</v>
      </c>
      <c r="V11" s="1376" t="s">
        <v>5</v>
      </c>
      <c r="W11" s="1377">
        <f t="shared" si="2"/>
        <v>100</v>
      </c>
      <c r="X11" s="1378"/>
      <c r="Y11" s="3849"/>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97"/>
      <c r="Q12" s="1045">
        <f t="shared" si="6"/>
        <v>111</v>
      </c>
      <c r="R12" s="1376" t="s">
        <v>5</v>
      </c>
      <c r="S12" s="1377">
        <f t="shared" si="0"/>
        <v>100</v>
      </c>
      <c r="T12" s="1376" t="s">
        <v>5</v>
      </c>
      <c r="U12" s="1377">
        <f t="shared" si="1"/>
        <v>100</v>
      </c>
      <c r="V12" s="1376" t="s">
        <v>5</v>
      </c>
      <c r="W12" s="1377">
        <f t="shared" si="2"/>
        <v>100</v>
      </c>
      <c r="X12" s="1378"/>
      <c r="Y12" s="3849"/>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97"/>
      <c r="Q13" s="1045">
        <f t="shared" si="6"/>
        <v>111</v>
      </c>
      <c r="R13" s="1376" t="s">
        <v>5</v>
      </c>
      <c r="S13" s="1377">
        <f t="shared" si="0"/>
        <v>100</v>
      </c>
      <c r="T13" s="1376" t="s">
        <v>5</v>
      </c>
      <c r="U13" s="1377">
        <f t="shared" si="1"/>
        <v>100</v>
      </c>
      <c r="V13" s="1376" t="s">
        <v>5</v>
      </c>
      <c r="W13" s="1377">
        <f t="shared" si="2"/>
        <v>100</v>
      </c>
      <c r="X13" s="1378"/>
      <c r="Y13" s="3849"/>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3262</v>
      </c>
      <c r="F14" s="519">
        <f>SUMIF(61:61,E15,62:62)-SUMIF(61:61,C15,62:62)+100</f>
        <v>102</v>
      </c>
      <c r="G14" s="518" t="s">
        <v>3264</v>
      </c>
      <c r="H14" s="517">
        <f>SUMIF(61:61,G15,62:62)-SUMIF(61:61,C15,62:62)+100</f>
        <v>100</v>
      </c>
      <c r="I14" s="518" t="s">
        <v>3264</v>
      </c>
      <c r="J14" s="517">
        <f>SUMIF(61:61,I15,62:62)-SUMIF(61:61,C15,62:62)+100</f>
        <v>100</v>
      </c>
      <c r="K14" s="856">
        <v>2</v>
      </c>
      <c r="L14" s="1859"/>
      <c r="M14" s="1851"/>
      <c r="N14" s="1851"/>
      <c r="O14" s="1858"/>
      <c r="P14" s="3899" t="s">
        <v>489</v>
      </c>
      <c r="Q14" s="1380" t="str">
        <f t="shared" si="6"/>
        <v>交通便捷度</v>
      </c>
      <c r="R14" s="1381" t="s">
        <v>5</v>
      </c>
      <c r="S14" s="1382">
        <f t="shared" si="0"/>
        <v>102</v>
      </c>
      <c r="T14" s="1381" t="s">
        <v>5</v>
      </c>
      <c r="U14" s="1382">
        <f t="shared" si="1"/>
        <v>100</v>
      </c>
      <c r="V14" s="1381" t="s">
        <v>5</v>
      </c>
      <c r="W14" s="1382">
        <f t="shared" si="2"/>
        <v>100</v>
      </c>
      <c r="X14" s="1375"/>
      <c r="Y14" s="3899" t="s">
        <v>489</v>
      </c>
      <c r="Z14" s="1383" t="str">
        <f t="shared" si="7"/>
        <v>交通便捷度</v>
      </c>
      <c r="AA14" s="1384">
        <f t="shared" si="3"/>
        <v>0.98039215686274506</v>
      </c>
      <c r="AB14" s="1384">
        <f t="shared" si="4"/>
        <v>1</v>
      </c>
      <c r="AC14" s="1384">
        <f t="shared" si="5"/>
        <v>1</v>
      </c>
    </row>
    <row r="15" spans="1:29" ht="15">
      <c r="A15" s="500"/>
      <c r="B15" s="830"/>
      <c r="C15" s="544" t="s">
        <v>3264</v>
      </c>
      <c r="D15" s="523"/>
      <c r="E15" s="544" t="s">
        <v>3262</v>
      </c>
      <c r="F15" s="525"/>
      <c r="G15" s="544" t="s">
        <v>3264</v>
      </c>
      <c r="H15" s="527"/>
      <c r="I15" s="544" t="s">
        <v>3264</v>
      </c>
      <c r="J15" s="523"/>
      <c r="K15" s="857"/>
      <c r="L15" s="1859"/>
      <c r="M15" s="1851"/>
      <c r="N15" s="1851"/>
      <c r="O15" s="1858"/>
      <c r="P15" s="3900"/>
      <c r="Q15" s="1380"/>
      <c r="R15" s="1381"/>
      <c r="S15" s="1382"/>
      <c r="T15" s="1381"/>
      <c r="U15" s="1382"/>
      <c r="V15" s="1381"/>
      <c r="W15" s="1382"/>
      <c r="X15" s="1375"/>
      <c r="Y15" s="3900"/>
      <c r="Z15" s="1383"/>
      <c r="AA15" s="1384">
        <v>1</v>
      </c>
      <c r="AB15" s="1384">
        <v>1</v>
      </c>
      <c r="AC15" s="1384">
        <v>1</v>
      </c>
    </row>
    <row r="16" spans="1:29" ht="15">
      <c r="A16" s="500"/>
      <c r="B16" s="2205" t="s">
        <v>1825</v>
      </c>
      <c r="C16" s="833" t="str">
        <f>IF(B1="工业",估价对象房地状况!G5,估价对象房地状况!C7)</f>
        <v>一般</v>
      </c>
      <c r="D16" s="533">
        <v>100</v>
      </c>
      <c r="E16" s="538" t="s">
        <v>3262</v>
      </c>
      <c r="F16" s="539">
        <f>SUMIF(63:63,E17,64:64)-SUMIF(63:63,C17,64:64)+100</f>
        <v>102</v>
      </c>
      <c r="G16" s="538" t="s">
        <v>3264</v>
      </c>
      <c r="H16" s="533">
        <f>SUMIF(63:63,G17,64:64)-SUMIF(63:63,C17,64:64)+100</f>
        <v>100</v>
      </c>
      <c r="I16" s="538" t="s">
        <v>3264</v>
      </c>
      <c r="J16" s="533">
        <f>SUMIF(63:63,I17,64:64)-SUMIF(63:63,C17,64:64)+100</f>
        <v>100</v>
      </c>
      <c r="K16" s="856">
        <v>2</v>
      </c>
      <c r="L16" s="1859"/>
      <c r="M16" s="1851"/>
      <c r="N16" s="1851"/>
      <c r="O16" s="1858"/>
      <c r="P16" s="3900"/>
      <c r="Q16" s="1380" t="str">
        <f>B16</f>
        <v>公共配套设施</v>
      </c>
      <c r="R16" s="1381" t="s">
        <v>5</v>
      </c>
      <c r="S16" s="1382">
        <f>F16</f>
        <v>102</v>
      </c>
      <c r="T16" s="1381" t="s">
        <v>5</v>
      </c>
      <c r="U16" s="1382">
        <f>H16</f>
        <v>100</v>
      </c>
      <c r="V16" s="1381" t="s">
        <v>5</v>
      </c>
      <c r="W16" s="1382">
        <f>J16</f>
        <v>100</v>
      </c>
      <c r="X16" s="1375"/>
      <c r="Y16" s="3900"/>
      <c r="Z16" s="1383" t="str">
        <f>Q16</f>
        <v>公共配套设施</v>
      </c>
      <c r="AA16" s="1384">
        <f t="shared" si="3"/>
        <v>0.98039215686274506</v>
      </c>
      <c r="AB16" s="1384">
        <f t="shared" si="4"/>
        <v>1</v>
      </c>
      <c r="AC16" s="1384">
        <f t="shared" si="5"/>
        <v>1</v>
      </c>
    </row>
    <row r="17" spans="1:29" ht="15">
      <c r="A17" s="500"/>
      <c r="B17" s="534"/>
      <c r="C17" s="834" t="s">
        <v>3264</v>
      </c>
      <c r="D17" s="523"/>
      <c r="E17" s="544" t="s">
        <v>3262</v>
      </c>
      <c r="F17" s="525"/>
      <c r="G17" s="544" t="s">
        <v>3264</v>
      </c>
      <c r="H17" s="523"/>
      <c r="I17" s="544" t="s">
        <v>3264</v>
      </c>
      <c r="J17" s="523"/>
      <c r="K17" s="857"/>
      <c r="L17" s="1859"/>
      <c r="M17" s="1851"/>
      <c r="N17" s="1851"/>
      <c r="O17" s="1858"/>
      <c r="P17" s="3900"/>
      <c r="Q17" s="1380"/>
      <c r="R17" s="1381"/>
      <c r="S17" s="1382"/>
      <c r="T17" s="1381"/>
      <c r="U17" s="1382"/>
      <c r="V17" s="1381"/>
      <c r="W17" s="1382"/>
      <c r="X17" s="1375"/>
      <c r="Y17" s="3900"/>
      <c r="Z17" s="1383"/>
      <c r="AA17" s="1384">
        <v>1</v>
      </c>
      <c r="AB17" s="1384">
        <v>1</v>
      </c>
      <c r="AC17" s="1384">
        <v>1</v>
      </c>
    </row>
    <row r="18" spans="1:29" ht="15">
      <c r="A18" s="500"/>
      <c r="B18" s="2193" t="s">
        <v>1837</v>
      </c>
      <c r="C18" s="833" t="str">
        <f>IF(B1="工业",估价对象房地状况!G6,估价对象房地状况!C8)</f>
        <v>七通</v>
      </c>
      <c r="D18" s="527">
        <v>100</v>
      </c>
      <c r="E18" s="530" t="s">
        <v>3267</v>
      </c>
      <c r="F18" s="531">
        <f>SUMIF(65:65,E19,66:66)-SUMIF(65:65,C19,66:66)+100</f>
        <v>100</v>
      </c>
      <c r="G18" s="530" t="s">
        <v>3267</v>
      </c>
      <c r="H18" s="533">
        <f>SUMIF(65:65,G19,66:66)-SUMIF(65:65,C19,66:66)+100</f>
        <v>100</v>
      </c>
      <c r="I18" s="530" t="s">
        <v>3267</v>
      </c>
      <c r="J18" s="533">
        <f>SUMIF(65:65,I19,66:66)-SUMIF(65:65,C19,66:66)+100</f>
        <v>100</v>
      </c>
      <c r="K18" s="856">
        <v>1</v>
      </c>
      <c r="L18" s="1859"/>
      <c r="M18" s="1851"/>
      <c r="N18" s="1851"/>
      <c r="O18" s="1858"/>
      <c r="P18" s="3900"/>
      <c r="Q18" s="2187" t="str">
        <f>B18</f>
        <v>基础设施水平</v>
      </c>
      <c r="R18" s="1381" t="s">
        <v>5</v>
      </c>
      <c r="S18" s="1382">
        <f>F18</f>
        <v>100</v>
      </c>
      <c r="T18" s="1381" t="s">
        <v>5</v>
      </c>
      <c r="U18" s="1382">
        <f>H18</f>
        <v>100</v>
      </c>
      <c r="V18" s="1381" t="s">
        <v>5</v>
      </c>
      <c r="W18" s="1382">
        <f>J18</f>
        <v>100</v>
      </c>
      <c r="X18" s="2189"/>
      <c r="Y18" s="3900"/>
      <c r="Z18" s="2188" t="str">
        <f>Q18</f>
        <v>基础设施水平</v>
      </c>
      <c r="AA18" s="1384">
        <f>D18/F18</f>
        <v>1</v>
      </c>
      <c r="AB18" s="1384">
        <f>D18/H18</f>
        <v>1</v>
      </c>
      <c r="AC18" s="1384">
        <f>D18/J18</f>
        <v>1</v>
      </c>
    </row>
    <row r="19" spans="1:29" ht="15">
      <c r="A19" s="500"/>
      <c r="B19" s="546"/>
      <c r="C19" s="834" t="s">
        <v>3267</v>
      </c>
      <c r="D19" s="527"/>
      <c r="E19" s="834" t="s">
        <v>3267</v>
      </c>
      <c r="F19" s="531"/>
      <c r="G19" s="834" t="s">
        <v>3267</v>
      </c>
      <c r="H19" s="523"/>
      <c r="I19" s="834" t="s">
        <v>3267</v>
      </c>
      <c r="J19" s="523"/>
      <c r="K19" s="2204"/>
      <c r="L19" s="1859"/>
      <c r="M19" s="1851"/>
      <c r="N19" s="1851"/>
      <c r="O19" s="1858"/>
      <c r="P19" s="3900"/>
      <c r="Q19" s="2187"/>
      <c r="R19" s="1381"/>
      <c r="S19" s="1382"/>
      <c r="T19" s="1381"/>
      <c r="U19" s="1382"/>
      <c r="V19" s="1381"/>
      <c r="W19" s="1382"/>
      <c r="X19" s="2189"/>
      <c r="Y19" s="3900"/>
      <c r="Z19" s="2188"/>
      <c r="AA19" s="1384">
        <v>1</v>
      </c>
      <c r="AB19" s="1384">
        <v>1</v>
      </c>
      <c r="AC19" s="1384">
        <v>1</v>
      </c>
    </row>
    <row r="20" spans="1:29" ht="15">
      <c r="A20" s="500"/>
      <c r="B20" s="832" t="s">
        <v>744</v>
      </c>
      <c r="C20" s="833" t="str">
        <f>IF(B1="工业",估价对象房地状况!G7,估价对象房地状况!C9)</f>
        <v>较好</v>
      </c>
      <c r="D20" s="533">
        <v>100</v>
      </c>
      <c r="E20" s="538" t="s">
        <v>3262</v>
      </c>
      <c r="F20" s="539">
        <f>SUMIF(67:67,E21,68:68)-SUMIF(67:67,C21,68:68)+100</f>
        <v>100</v>
      </c>
      <c r="G20" s="538" t="s">
        <v>3262</v>
      </c>
      <c r="H20" s="527">
        <f>SUMIF(67:67,G21,68:68)-SUMIF(67:67,C21,68:68)+100</f>
        <v>100</v>
      </c>
      <c r="I20" s="538" t="s">
        <v>3262</v>
      </c>
      <c r="J20" s="527">
        <f>SUMIF(67:67,I21,68:68)-SUMIF(67:67,C21,68:68)+100</f>
        <v>100</v>
      </c>
      <c r="K20" s="856">
        <v>2</v>
      </c>
      <c r="L20" s="1859"/>
      <c r="M20" s="1851"/>
      <c r="N20" s="1851"/>
      <c r="O20" s="1858"/>
      <c r="P20" s="3900"/>
      <c r="Q20" s="1380" t="str">
        <f>B20</f>
        <v>自然及人文环境</v>
      </c>
      <c r="R20" s="1381" t="s">
        <v>5</v>
      </c>
      <c r="S20" s="1382">
        <f>F20</f>
        <v>100</v>
      </c>
      <c r="T20" s="1381" t="s">
        <v>5</v>
      </c>
      <c r="U20" s="1382">
        <f>H20</f>
        <v>100</v>
      </c>
      <c r="V20" s="1381" t="s">
        <v>5</v>
      </c>
      <c r="W20" s="1382">
        <f>J20</f>
        <v>100</v>
      </c>
      <c r="X20" s="1375"/>
      <c r="Y20" s="3900"/>
      <c r="Z20" s="1383" t="str">
        <f>Q20</f>
        <v>自然及人文环境</v>
      </c>
      <c r="AA20" s="1384">
        <f t="shared" si="3"/>
        <v>1</v>
      </c>
      <c r="AB20" s="1384">
        <f t="shared" si="4"/>
        <v>1</v>
      </c>
      <c r="AC20" s="1384">
        <f t="shared" si="5"/>
        <v>1</v>
      </c>
    </row>
    <row r="21" spans="1:29" ht="15">
      <c r="A21" s="500"/>
      <c r="B21" s="563"/>
      <c r="C21" s="544" t="s">
        <v>3262</v>
      </c>
      <c r="D21" s="523"/>
      <c r="E21" s="544" t="s">
        <v>3262</v>
      </c>
      <c r="F21" s="525"/>
      <c r="G21" s="544" t="s">
        <v>3262</v>
      </c>
      <c r="H21" s="523"/>
      <c r="I21" s="544" t="s">
        <v>3262</v>
      </c>
      <c r="J21" s="523"/>
      <c r="K21" s="857"/>
      <c r="L21" s="1859"/>
      <c r="M21" s="1851"/>
      <c r="N21" s="1851"/>
      <c r="O21" s="1858"/>
      <c r="P21" s="3900"/>
      <c r="Q21" s="1380"/>
      <c r="R21" s="1381"/>
      <c r="S21" s="1382"/>
      <c r="T21" s="1381"/>
      <c r="U21" s="1382"/>
      <c r="V21" s="1381"/>
      <c r="W21" s="1382"/>
      <c r="X21" s="1375"/>
      <c r="Y21" s="3900"/>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00"/>
      <c r="Q22" s="1380" t="str">
        <f>B22</f>
        <v>楼层</v>
      </c>
      <c r="R22" s="1381" t="s">
        <v>5</v>
      </c>
      <c r="S22" s="1382">
        <f>F22</f>
        <v>100</v>
      </c>
      <c r="T22" s="1381" t="s">
        <v>5</v>
      </c>
      <c r="U22" s="1382">
        <f>H22</f>
        <v>100</v>
      </c>
      <c r="V22" s="1381" t="s">
        <v>5</v>
      </c>
      <c r="W22" s="1382">
        <f>J22</f>
        <v>100</v>
      </c>
      <c r="X22" s="1375"/>
      <c r="Y22" s="3900"/>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00"/>
      <c r="Q23" s="1380">
        <f>B23</f>
        <v>111</v>
      </c>
      <c r="R23" s="1381" t="s">
        <v>5</v>
      </c>
      <c r="S23" s="1382">
        <f>F23</f>
        <v>100</v>
      </c>
      <c r="T23" s="1381" t="s">
        <v>5</v>
      </c>
      <c r="U23" s="1382">
        <f>H23</f>
        <v>100</v>
      </c>
      <c r="V23" s="1381" t="s">
        <v>5</v>
      </c>
      <c r="W23" s="1382">
        <f>J23</f>
        <v>100</v>
      </c>
      <c r="X23" s="1375"/>
      <c r="Y23" s="3900"/>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00"/>
      <c r="Q24" s="1380">
        <f t="shared" ref="Q24:Q34" si="8">B24</f>
        <v>111</v>
      </c>
      <c r="R24" s="1381" t="s">
        <v>5</v>
      </c>
      <c r="S24" s="1382">
        <f>F24</f>
        <v>100</v>
      </c>
      <c r="T24" s="1381" t="s">
        <v>5</v>
      </c>
      <c r="U24" s="1382">
        <f>H24</f>
        <v>100</v>
      </c>
      <c r="V24" s="1381" t="s">
        <v>5</v>
      </c>
      <c r="W24" s="1382">
        <f>J24</f>
        <v>100</v>
      </c>
      <c r="X24" s="1375"/>
      <c r="Y24" s="3900"/>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00"/>
      <c r="Q25" s="1045">
        <f t="shared" si="8"/>
        <v>111</v>
      </c>
      <c r="R25" s="1376" t="s">
        <v>5</v>
      </c>
      <c r="S25" s="1377">
        <f>F25</f>
        <v>100</v>
      </c>
      <c r="T25" s="1376" t="s">
        <v>5</v>
      </c>
      <c r="U25" s="1377">
        <f>H25</f>
        <v>100</v>
      </c>
      <c r="V25" s="1376" t="s">
        <v>5</v>
      </c>
      <c r="W25" s="1377">
        <f>J25</f>
        <v>100</v>
      </c>
      <c r="X25" s="1378"/>
      <c r="Y25" s="3900"/>
      <c r="Z25" s="1044">
        <f>Q25</f>
        <v>111</v>
      </c>
      <c r="AA25" s="1384">
        <f>D25/F25</f>
        <v>1</v>
      </c>
      <c r="AB25" s="1384">
        <f>D25/H25</f>
        <v>1</v>
      </c>
      <c r="AC25" s="1384">
        <f>D25/J25</f>
        <v>1</v>
      </c>
    </row>
    <row r="26" spans="1:29" ht="15">
      <c r="A26" s="2379" t="s">
        <v>2033</v>
      </c>
      <c r="B26" s="164" t="s">
        <v>748</v>
      </c>
      <c r="C26" s="874" t="s">
        <v>3539</v>
      </c>
      <c r="D26" s="565">
        <v>100</v>
      </c>
      <c r="E26" s="874" t="s">
        <v>3539</v>
      </c>
      <c r="F26" s="901">
        <f>SUMIF(77:77,E26,78:78)-SUMIF(77:77,C26,78:78)+100</f>
        <v>100</v>
      </c>
      <c r="G26" s="874" t="s">
        <v>3539</v>
      </c>
      <c r="H26" s="565">
        <f>SUMIF(77:77,G26,78:78)-SUMIF(77:77,C26,78:78)+100</f>
        <v>100</v>
      </c>
      <c r="I26" s="874" t="s">
        <v>3539</v>
      </c>
      <c r="J26" s="565">
        <f>SUMIF(77:77,I26,78:78)-SUMIF(77:77,C26,78:78)+100</f>
        <v>100</v>
      </c>
      <c r="K26" s="552">
        <v>2</v>
      </c>
      <c r="L26" s="1859"/>
      <c r="M26" s="1851"/>
      <c r="N26" s="1851"/>
      <c r="O26" s="1858"/>
      <c r="P26" s="3901"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02"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02"/>
      <c r="Q27" s="1409" t="str">
        <f t="shared" si="8"/>
        <v>成新率</v>
      </c>
      <c r="R27" s="1385" t="s">
        <v>5</v>
      </c>
      <c r="S27" s="1386">
        <f t="shared" si="9"/>
        <v>100</v>
      </c>
      <c r="T27" s="1385" t="s">
        <v>5</v>
      </c>
      <c r="U27" s="1386">
        <f t="shared" si="10"/>
        <v>100</v>
      </c>
      <c r="V27" s="1385" t="s">
        <v>5</v>
      </c>
      <c r="W27" s="1386">
        <f t="shared" si="11"/>
        <v>100</v>
      </c>
      <c r="X27" s="1387"/>
      <c r="Y27" s="3902"/>
      <c r="Z27" s="1388" t="str">
        <f t="shared" si="12"/>
        <v>成新率</v>
      </c>
      <c r="AA27" s="1384">
        <f t="shared" si="3"/>
        <v>1</v>
      </c>
      <c r="AB27" s="1384">
        <f t="shared" si="4"/>
        <v>1</v>
      </c>
      <c r="AC27" s="1384">
        <f t="shared" si="5"/>
        <v>1</v>
      </c>
    </row>
    <row r="28" spans="1:29" ht="15">
      <c r="A28" s="562"/>
      <c r="B28" s="495" t="s">
        <v>750</v>
      </c>
      <c r="C28" s="542" t="s">
        <v>3780</v>
      </c>
      <c r="D28" s="508">
        <v>100</v>
      </c>
      <c r="E28" s="542" t="s">
        <v>3780</v>
      </c>
      <c r="F28" s="543">
        <f>SUMIF(82:82,E28,83:83)-SUMIF(82:82,C28,83:83)+100</f>
        <v>100</v>
      </c>
      <c r="G28" s="542" t="s">
        <v>3780</v>
      </c>
      <c r="H28" s="508">
        <f>SUMIF(82:82,G28,83:83)-SUMIF(82:82,C28,83:83)+100</f>
        <v>100</v>
      </c>
      <c r="I28" s="542" t="s">
        <v>3780</v>
      </c>
      <c r="J28" s="508">
        <f>SUMIF(82:82,I28,83:83)-SUMIF(82:82,C28,83:83)+100</f>
        <v>100</v>
      </c>
      <c r="K28" s="552">
        <v>2</v>
      </c>
      <c r="L28" s="1859"/>
      <c r="M28" s="1851"/>
      <c r="N28" s="1851"/>
      <c r="O28" s="1858"/>
      <c r="P28" s="3902"/>
      <c r="Q28" s="1380" t="str">
        <f t="shared" si="8"/>
        <v>物业等级</v>
      </c>
      <c r="R28" s="1381" t="s">
        <v>5</v>
      </c>
      <c r="S28" s="1382">
        <f t="shared" si="9"/>
        <v>100</v>
      </c>
      <c r="T28" s="1381" t="s">
        <v>5</v>
      </c>
      <c r="U28" s="1382">
        <f t="shared" si="10"/>
        <v>100</v>
      </c>
      <c r="V28" s="1381" t="s">
        <v>5</v>
      </c>
      <c r="W28" s="1382">
        <f t="shared" si="11"/>
        <v>100</v>
      </c>
      <c r="X28" s="1375"/>
      <c r="Y28" s="3902"/>
      <c r="Z28" s="1383" t="str">
        <f t="shared" si="12"/>
        <v>物业等级</v>
      </c>
      <c r="AA28" s="1384">
        <f t="shared" si="3"/>
        <v>1</v>
      </c>
      <c r="AB28" s="1384">
        <f t="shared" si="4"/>
        <v>1</v>
      </c>
      <c r="AC28" s="1384">
        <f t="shared" si="5"/>
        <v>1</v>
      </c>
    </row>
    <row r="29" spans="1:29" ht="15">
      <c r="A29" s="562"/>
      <c r="B29" s="495" t="s">
        <v>762</v>
      </c>
      <c r="C29" s="890" t="s">
        <v>3559</v>
      </c>
      <c r="D29" s="508">
        <v>100</v>
      </c>
      <c r="E29" s="890" t="s">
        <v>3559</v>
      </c>
      <c r="F29" s="543">
        <f>SUMIF(84:84,E29,85:85)-SUMIF(84:84,C29,85:85)+100</f>
        <v>100</v>
      </c>
      <c r="G29" s="890" t="s">
        <v>3559</v>
      </c>
      <c r="H29" s="508">
        <f>SUMIF(84:84,G29,85:85)-SUMIF(84:84,C29,85:85)+100</f>
        <v>100</v>
      </c>
      <c r="I29" s="890" t="s">
        <v>3559</v>
      </c>
      <c r="J29" s="508">
        <f>SUMIF(84:84,I29,85:85)-SUMIF(84:84,C29,85:85)+100</f>
        <v>100</v>
      </c>
      <c r="K29" s="552">
        <v>5</v>
      </c>
      <c r="L29" s="1859"/>
      <c r="M29" s="1851"/>
      <c r="N29" s="1851"/>
      <c r="O29" s="1858"/>
      <c r="P29" s="3902"/>
      <c r="Q29" s="1380" t="str">
        <f t="shared" si="8"/>
        <v>有无电梯</v>
      </c>
      <c r="R29" s="1381" t="s">
        <v>5</v>
      </c>
      <c r="S29" s="1382">
        <f t="shared" si="9"/>
        <v>100</v>
      </c>
      <c r="T29" s="1381" t="s">
        <v>5</v>
      </c>
      <c r="U29" s="1382">
        <f t="shared" si="10"/>
        <v>100</v>
      </c>
      <c r="V29" s="1381" t="s">
        <v>5</v>
      </c>
      <c r="W29" s="1382">
        <f t="shared" si="11"/>
        <v>100</v>
      </c>
      <c r="X29" s="1375"/>
      <c r="Y29" s="3902"/>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02"/>
      <c r="Q30" s="1380" t="str">
        <f t="shared" si="8"/>
        <v>建筑面积</v>
      </c>
      <c r="R30" s="1381" t="s">
        <v>5</v>
      </c>
      <c r="S30" s="1382">
        <f t="shared" si="9"/>
        <v>100</v>
      </c>
      <c r="T30" s="1381" t="s">
        <v>5</v>
      </c>
      <c r="U30" s="1382">
        <f t="shared" si="10"/>
        <v>100</v>
      </c>
      <c r="V30" s="1381" t="s">
        <v>5</v>
      </c>
      <c r="W30" s="1382">
        <f t="shared" si="11"/>
        <v>100</v>
      </c>
      <c r="X30" s="1375"/>
      <c r="Y30" s="3902"/>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02"/>
      <c r="Q31" s="1045" t="str">
        <f t="shared" si="8"/>
        <v>是否封闭</v>
      </c>
      <c r="R31" s="1376" t="s">
        <v>5</v>
      </c>
      <c r="S31" s="1377">
        <f t="shared" si="9"/>
        <v>100</v>
      </c>
      <c r="T31" s="1376" t="s">
        <v>5</v>
      </c>
      <c r="U31" s="1377">
        <f t="shared" si="10"/>
        <v>100</v>
      </c>
      <c r="V31" s="1376" t="s">
        <v>5</v>
      </c>
      <c r="W31" s="1377">
        <f t="shared" si="11"/>
        <v>100</v>
      </c>
      <c r="X31" s="1378"/>
      <c r="Y31" s="3902"/>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02" t="s">
        <v>499</v>
      </c>
      <c r="Q32" s="1380">
        <f t="shared" si="8"/>
        <v>111</v>
      </c>
      <c r="R32" s="1381" t="s">
        <v>5</v>
      </c>
      <c r="S32" s="1382">
        <f t="shared" si="9"/>
        <v>100</v>
      </c>
      <c r="T32" s="1381" t="s">
        <v>5</v>
      </c>
      <c r="U32" s="1382">
        <f t="shared" si="10"/>
        <v>100</v>
      </c>
      <c r="V32" s="1381" t="s">
        <v>5</v>
      </c>
      <c r="W32" s="1382">
        <f t="shared" si="11"/>
        <v>100</v>
      </c>
      <c r="X32" s="1375"/>
      <c r="Y32" s="3902"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02"/>
      <c r="Q33" s="1380">
        <f t="shared" si="8"/>
        <v>111</v>
      </c>
      <c r="R33" s="1381" t="s">
        <v>5</v>
      </c>
      <c r="S33" s="1382">
        <f t="shared" si="9"/>
        <v>100</v>
      </c>
      <c r="T33" s="1381" t="s">
        <v>5</v>
      </c>
      <c r="U33" s="1382">
        <f t="shared" si="10"/>
        <v>100</v>
      </c>
      <c r="V33" s="1381" t="s">
        <v>5</v>
      </c>
      <c r="W33" s="1382">
        <f t="shared" si="11"/>
        <v>100</v>
      </c>
      <c r="X33" s="1375"/>
      <c r="Y33" s="3902"/>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02"/>
      <c r="Q34" s="1380">
        <f t="shared" si="8"/>
        <v>111</v>
      </c>
      <c r="R34" s="1381" t="s">
        <v>5</v>
      </c>
      <c r="S34" s="1382">
        <f t="shared" si="9"/>
        <v>100</v>
      </c>
      <c r="T34" s="1381" t="s">
        <v>5</v>
      </c>
      <c r="U34" s="1382">
        <f t="shared" si="10"/>
        <v>100</v>
      </c>
      <c r="V34" s="1381" t="s">
        <v>5</v>
      </c>
      <c r="W34" s="1382">
        <f t="shared" si="11"/>
        <v>100</v>
      </c>
      <c r="X34" s="1375"/>
      <c r="Y34" s="3902"/>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97" t="str">
        <f>A35</f>
        <v>成交单价（元/平方米）</v>
      </c>
      <c r="Q35" s="3897"/>
      <c r="R35" s="3979">
        <f>E35</f>
        <v>33000</v>
      </c>
      <c r="S35" s="3979"/>
      <c r="T35" s="3979">
        <f>G35</f>
        <v>33000</v>
      </c>
      <c r="U35" s="3979"/>
      <c r="V35" s="3979">
        <f>I35</f>
        <v>31350</v>
      </c>
      <c r="W35" s="3979"/>
      <c r="X35" s="1370"/>
      <c r="Y35" s="1389"/>
      <c r="Z35" s="1370"/>
      <c r="AA35" s="1370"/>
      <c r="AB35" s="1370"/>
      <c r="AC35" s="1370"/>
    </row>
    <row r="36" spans="1:29" ht="15.75" thickBot="1">
      <c r="A36" s="583" t="s">
        <v>2038</v>
      </c>
      <c r="B36" s="846"/>
      <c r="C36" s="2234">
        <f>R37</f>
        <v>32023</v>
      </c>
      <c r="D36" s="2749" t="s">
        <v>2246</v>
      </c>
      <c r="E36" s="2235">
        <f>R36</f>
        <v>31719</v>
      </c>
      <c r="F36" s="2750"/>
      <c r="G36" s="2234">
        <f>T36</f>
        <v>33000</v>
      </c>
      <c r="H36" s="2750"/>
      <c r="I36" s="2235">
        <f>V36</f>
        <v>31350</v>
      </c>
      <c r="J36" s="2750"/>
      <c r="K36" s="2758">
        <f>F36+H36+J36</f>
        <v>0</v>
      </c>
      <c r="L36" s="1861"/>
      <c r="M36" s="1862"/>
      <c r="N36" s="1851"/>
      <c r="O36" s="1862"/>
      <c r="P36" s="3897" t="str">
        <f>A36</f>
        <v>比较价格（元/平方米）</v>
      </c>
      <c r="Q36" s="3897"/>
      <c r="R36" s="3979">
        <f>IF(F1="售价",ROUND(PRODUCT(R35,AA7:AA34),0),ROUND(PRODUCT(R35,AA7:AA34),1))</f>
        <v>31719</v>
      </c>
      <c r="S36" s="3979"/>
      <c r="T36" s="3979">
        <f>IF(F1="售价",ROUND(PRODUCT(T35,AB7:AB34),0),ROUND(PRODUCT(T35,AB7:AB34),1))</f>
        <v>33000</v>
      </c>
      <c r="U36" s="3979"/>
      <c r="V36" s="3979">
        <f>IF(F1="售价",ROUND(PRODUCT(V35,AC7:AC34),0),ROUND(PRODUCT(V35,AC7:AC34),1))</f>
        <v>31350</v>
      </c>
      <c r="W36" s="3979"/>
      <c r="X36" s="1370"/>
      <c r="Y36" s="1370"/>
      <c r="Z36" s="1370"/>
      <c r="AA36" s="1370"/>
      <c r="AB36" s="1370"/>
      <c r="AC36" s="1370"/>
    </row>
    <row r="37" spans="1:29" ht="15.75" thickBot="1">
      <c r="A37" s="587" t="s">
        <v>2183</v>
      </c>
      <c r="B37" s="588"/>
      <c r="C37" s="2236">
        <f>R37</f>
        <v>32023</v>
      </c>
      <c r="D37" s="2236"/>
      <c r="E37" s="2236"/>
      <c r="F37" s="2236"/>
      <c r="G37" s="2236"/>
      <c r="H37" s="2236"/>
      <c r="I37" s="2236"/>
      <c r="J37" s="2236"/>
      <c r="K37" s="1415"/>
      <c r="L37" s="1861"/>
      <c r="M37" s="1862"/>
      <c r="N37" s="1862"/>
      <c r="O37" s="1862"/>
      <c r="P37" s="3903" t="str">
        <f>A37</f>
        <v>估价对象XX用房的比较价格（楼面单价，元/平方米）</v>
      </c>
      <c r="Q37" s="3904"/>
      <c r="R37" s="3978">
        <f>IF(F1="售价",ROUND(IF(D36="简单平均",AVERAGE(R36:W36),R36*F36+T36*H36+V36*J36),0),ROUND(IF(D36="简单平均",AVERAGE(R36:V36),R36*F36+T36*H36+V36*J36),1))</f>
        <v>32023</v>
      </c>
      <c r="S37" s="3978"/>
      <c r="T37" s="3978"/>
      <c r="U37" s="3978"/>
      <c r="V37" s="3978"/>
      <c r="W37" s="3978"/>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4.0385888584129281E-2</v>
      </c>
      <c r="F40" s="593" t="str">
        <f>IF(OR(E40&gt;=0.3,E40&lt;=-0.3),"超过30%","")</f>
        <v/>
      </c>
      <c r="G40" s="592">
        <f>IF(G35&lt;G36,G36/G35-1,G35/G36-1)</f>
        <v>0</v>
      </c>
      <c r="H40" s="593" t="str">
        <f>IF(OR(G40&gt;=0.3,G40&lt;=-0.3),"超过30%","")</f>
        <v/>
      </c>
      <c r="I40" s="592">
        <f>IF(I35&lt;I36,I36/I35-1,I35/I36-1)</f>
        <v>0</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4.0385888584129281E-2</v>
      </c>
      <c r="F41" s="593" t="str">
        <f>IF(OR(E41&gt;=0.2,E41&lt;=-0.2),"超过20%","")</f>
        <v/>
      </c>
      <c r="G41" s="592">
        <f>IF(G36&lt;I36,I36/G36-1,G36/I36-1)</f>
        <v>5.2631578947368363E-2</v>
      </c>
      <c r="H41" s="593" t="str">
        <f>IF(OR(G41&gt;=0.2,G41&lt;=-0.2),"超过20%","")</f>
        <v/>
      </c>
      <c r="I41" s="592">
        <f>IF(I36&lt;E36,E36/I36-1,I36/E36-1)</f>
        <v>1.1770334928229653E-2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3552</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3517</v>
      </c>
      <c r="D53" s="684" t="s">
        <v>3518</v>
      </c>
      <c r="E53" s="684" t="s">
        <v>3519</v>
      </c>
      <c r="F53" s="3663" t="s">
        <v>3521</v>
      </c>
      <c r="G53" s="684" t="s">
        <v>3520</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3553</v>
      </c>
      <c r="D77" s="3660" t="s">
        <v>3554</v>
      </c>
      <c r="E77" s="3659" t="s">
        <v>3555</v>
      </c>
      <c r="F77" s="3659" t="s">
        <v>3556</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3557</v>
      </c>
      <c r="D82" s="3660" t="s">
        <v>3558</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3560</v>
      </c>
      <c r="D84" s="3660" t="s">
        <v>3561</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3562</v>
      </c>
      <c r="D89" s="3660" t="s">
        <v>3563</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C19" sqref="C19"/>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27272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9970</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5" t="s">
        <v>738</v>
      </c>
      <c r="D4" s="3906"/>
      <c r="E4" s="3905" t="s">
        <v>739</v>
      </c>
      <c r="F4" s="3906"/>
      <c r="G4" s="3905" t="s">
        <v>740</v>
      </c>
      <c r="H4" s="3906"/>
      <c r="I4" s="3905" t="s">
        <v>741</v>
      </c>
      <c r="J4" s="3906"/>
      <c r="K4" s="482" t="s">
        <v>742</v>
      </c>
      <c r="L4" s="1850"/>
      <c r="M4" s="1851"/>
      <c r="N4" s="1851"/>
      <c r="O4" s="1851"/>
      <c r="P4" s="3907" t="s">
        <v>743</v>
      </c>
      <c r="Q4" s="3908"/>
      <c r="R4" s="3891" t="s">
        <v>739</v>
      </c>
      <c r="S4" s="3892"/>
      <c r="T4" s="3891" t="s">
        <v>740</v>
      </c>
      <c r="U4" s="3892"/>
      <c r="V4" s="3913" t="s">
        <v>741</v>
      </c>
      <c r="W4" s="3913"/>
      <c r="X4" s="1375"/>
      <c r="Y4" s="3891" t="s">
        <v>743</v>
      </c>
      <c r="Z4" s="3892"/>
      <c r="AA4" s="3886" t="s">
        <v>739</v>
      </c>
      <c r="AB4" s="3887" t="s">
        <v>740</v>
      </c>
      <c r="AC4" s="3886" t="s">
        <v>741</v>
      </c>
    </row>
    <row r="5" spans="1:29" ht="15">
      <c r="A5" s="483"/>
      <c r="B5" s="484"/>
      <c r="C5" s="3916" t="str">
        <f>'不动产比较法-仓储'!C5:D5</f>
        <v>越秀香山樾</v>
      </c>
      <c r="D5" s="3917"/>
      <c r="E5" s="3916" t="str">
        <f>'不动产比较法-仓储'!E5:F5</f>
        <v>学府壹号院</v>
      </c>
      <c r="F5" s="3917"/>
      <c r="G5" s="3916" t="str">
        <f>'不动产比较法-仓储'!G5:H5</f>
        <v>融创香山壹号院</v>
      </c>
      <c r="H5" s="3917"/>
      <c r="I5" s="3916" t="str">
        <f>'不动产比较法-仓储'!I5:J5</f>
        <v>颐和金茂府</v>
      </c>
      <c r="J5" s="3917"/>
      <c r="K5" s="482"/>
      <c r="L5" s="1850"/>
      <c r="M5" s="1851"/>
      <c r="N5" s="1851"/>
      <c r="O5" s="1851"/>
      <c r="P5" s="3909"/>
      <c r="Q5" s="3910"/>
      <c r="R5" s="3893"/>
      <c r="S5" s="3894"/>
      <c r="T5" s="3893"/>
      <c r="U5" s="3894"/>
      <c r="V5" s="3913"/>
      <c r="W5" s="3913"/>
      <c r="X5" s="1375"/>
      <c r="Y5" s="3893"/>
      <c r="Z5" s="3894"/>
      <c r="AA5" s="3887"/>
      <c r="AB5" s="3887"/>
      <c r="AC5" s="3887"/>
    </row>
    <row r="6" spans="1:29" ht="15.75" thickBot="1">
      <c r="A6" s="485"/>
      <c r="B6" s="486"/>
      <c r="C6" s="3914" t="s">
        <v>2182</v>
      </c>
      <c r="D6" s="3915"/>
      <c r="E6" s="3919" t="s">
        <v>2182</v>
      </c>
      <c r="F6" s="3920"/>
      <c r="G6" s="3914" t="s">
        <v>2182</v>
      </c>
      <c r="H6" s="3915"/>
      <c r="I6" s="3914" t="s">
        <v>2182</v>
      </c>
      <c r="J6" s="3915"/>
      <c r="K6" s="482" t="s">
        <v>477</v>
      </c>
      <c r="L6" s="1850"/>
      <c r="M6" s="1851"/>
      <c r="N6" s="1851"/>
      <c r="O6" s="1851"/>
      <c r="P6" s="3911"/>
      <c r="Q6" s="3912"/>
      <c r="R6" s="3893"/>
      <c r="S6" s="3894"/>
      <c r="T6" s="3895"/>
      <c r="U6" s="3896"/>
      <c r="V6" s="3913"/>
      <c r="W6" s="3913"/>
      <c r="X6" s="1375"/>
      <c r="Y6" s="3895"/>
      <c r="Z6" s="3896"/>
      <c r="AA6" s="3888"/>
      <c r="AB6" s="3888"/>
      <c r="AC6" s="3888"/>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889" t="s">
        <v>479</v>
      </c>
      <c r="Q7" s="3898"/>
      <c r="R7" s="1376" t="s">
        <v>5</v>
      </c>
      <c r="S7" s="1377">
        <f t="shared" ref="S7:S14" si="0">F7</f>
        <v>100</v>
      </c>
      <c r="T7" s="1376" t="s">
        <v>5</v>
      </c>
      <c r="U7" s="1377">
        <f t="shared" ref="U7:U14" si="1">H7</f>
        <v>100</v>
      </c>
      <c r="V7" s="1376" t="s">
        <v>5</v>
      </c>
      <c r="W7" s="1377">
        <f t="shared" ref="W7:W14" si="2">J7</f>
        <v>100</v>
      </c>
      <c r="X7" s="1378"/>
      <c r="Y7" s="3889" t="s">
        <v>479</v>
      </c>
      <c r="Z7" s="3890"/>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889" t="s">
        <v>482</v>
      </c>
      <c r="Q8" s="3890"/>
      <c r="R8" s="1376" t="s">
        <v>5</v>
      </c>
      <c r="S8" s="1377">
        <f t="shared" si="0"/>
        <v>100</v>
      </c>
      <c r="T8" s="1376" t="s">
        <v>5</v>
      </c>
      <c r="U8" s="1377">
        <f t="shared" si="1"/>
        <v>100</v>
      </c>
      <c r="V8" s="1376" t="s">
        <v>5</v>
      </c>
      <c r="W8" s="1377">
        <f t="shared" si="2"/>
        <v>100</v>
      </c>
      <c r="X8" s="1378"/>
      <c r="Y8" s="3889" t="s">
        <v>482</v>
      </c>
      <c r="Z8" s="3890"/>
      <c r="AA8" s="1379">
        <f t="shared" ref="AA8:AA36" si="3">D8/F8</f>
        <v>1</v>
      </c>
      <c r="AB8" s="1379">
        <f t="shared" ref="AB8:AB36" si="4">D8/H8</f>
        <v>1</v>
      </c>
      <c r="AC8" s="1379">
        <f t="shared" ref="AC8:AC36" si="5">D8/J8</f>
        <v>1</v>
      </c>
    </row>
    <row r="9" spans="1:29" s="1113" customFormat="1" ht="15">
      <c r="A9" s="2386"/>
      <c r="B9" s="2393" t="s">
        <v>2034</v>
      </c>
      <c r="C9" s="3665" t="s">
        <v>3781</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97" t="s">
        <v>484</v>
      </c>
      <c r="Q9" s="1045" t="str">
        <f t="shared" ref="Q9:Q14" si="6">B9</f>
        <v>用途</v>
      </c>
      <c r="R9" s="1376" t="s">
        <v>5</v>
      </c>
      <c r="S9" s="1377">
        <f t="shared" si="0"/>
        <v>100</v>
      </c>
      <c r="T9" s="1376" t="s">
        <v>5</v>
      </c>
      <c r="U9" s="1377">
        <f t="shared" si="1"/>
        <v>100</v>
      </c>
      <c r="V9" s="1376" t="s">
        <v>5</v>
      </c>
      <c r="W9" s="1377">
        <f t="shared" si="2"/>
        <v>100</v>
      </c>
      <c r="X9" s="1378"/>
      <c r="Y9" s="3849"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3782</v>
      </c>
      <c r="F10" s="245">
        <f>SUMIF(55:55,E10,56:56)-SUMIF(55:55,C10,56:56)+100</f>
        <v>100</v>
      </c>
      <c r="G10" s="3647" t="s">
        <v>3782</v>
      </c>
      <c r="H10" s="245">
        <f>SUMIF(55:55,G10,56:56)-SUMIF(55:55,C10,56:56)+100</f>
        <v>100</v>
      </c>
      <c r="I10" s="3647" t="s">
        <v>3782</v>
      </c>
      <c r="J10" s="245">
        <f>SUMIF(55:55,I10,56:56)-SUMIF(55:55,C10,56:56)+100</f>
        <v>100</v>
      </c>
      <c r="K10" s="492"/>
      <c r="L10" s="1855"/>
      <c r="M10" s="1894"/>
      <c r="N10" s="1894"/>
      <c r="O10" s="1856"/>
      <c r="P10" s="3897"/>
      <c r="Q10" s="1045" t="str">
        <f t="shared" si="6"/>
        <v>土地使用年限（年）</v>
      </c>
      <c r="R10" s="1376" t="s">
        <v>5</v>
      </c>
      <c r="S10" s="1377">
        <f t="shared" si="0"/>
        <v>100</v>
      </c>
      <c r="T10" s="1376" t="s">
        <v>5</v>
      </c>
      <c r="U10" s="1377">
        <f t="shared" si="1"/>
        <v>100</v>
      </c>
      <c r="V10" s="1376" t="s">
        <v>5</v>
      </c>
      <c r="W10" s="1377">
        <f t="shared" si="2"/>
        <v>100</v>
      </c>
      <c r="X10" s="1378"/>
      <c r="Y10" s="3849"/>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97"/>
      <c r="Q11" s="1045">
        <f t="shared" si="6"/>
        <v>111</v>
      </c>
      <c r="R11" s="1376" t="s">
        <v>5</v>
      </c>
      <c r="S11" s="1377">
        <f t="shared" si="0"/>
        <v>100</v>
      </c>
      <c r="T11" s="1376" t="s">
        <v>5</v>
      </c>
      <c r="U11" s="1377">
        <f t="shared" si="1"/>
        <v>100</v>
      </c>
      <c r="V11" s="1376" t="s">
        <v>5</v>
      </c>
      <c r="W11" s="1377">
        <f t="shared" si="2"/>
        <v>100</v>
      </c>
      <c r="X11" s="1378"/>
      <c r="Y11" s="3849"/>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97"/>
      <c r="Q12" s="1045">
        <f t="shared" si="6"/>
        <v>111</v>
      </c>
      <c r="R12" s="1376" t="s">
        <v>5</v>
      </c>
      <c r="S12" s="1377">
        <f t="shared" si="0"/>
        <v>100</v>
      </c>
      <c r="T12" s="1376" t="s">
        <v>5</v>
      </c>
      <c r="U12" s="1377">
        <f t="shared" si="1"/>
        <v>100</v>
      </c>
      <c r="V12" s="1376" t="s">
        <v>5</v>
      </c>
      <c r="W12" s="1377">
        <f t="shared" si="2"/>
        <v>100</v>
      </c>
      <c r="X12" s="1378"/>
      <c r="Y12" s="3849"/>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97"/>
      <c r="Q13" s="1045">
        <f t="shared" si="6"/>
        <v>111</v>
      </c>
      <c r="R13" s="1376" t="s">
        <v>5</v>
      </c>
      <c r="S13" s="1377">
        <f t="shared" si="0"/>
        <v>100</v>
      </c>
      <c r="T13" s="1376" t="s">
        <v>5</v>
      </c>
      <c r="U13" s="1377">
        <f t="shared" si="1"/>
        <v>100</v>
      </c>
      <c r="V13" s="1376" t="s">
        <v>5</v>
      </c>
      <c r="W13" s="1377">
        <f t="shared" si="2"/>
        <v>100</v>
      </c>
      <c r="X13" s="1378"/>
      <c r="Y13" s="3849"/>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3262</v>
      </c>
      <c r="F14" s="519">
        <f>SUMIF(63:63,E15,64:64)-SUMIF(63:63,C15,64:64)+100</f>
        <v>102</v>
      </c>
      <c r="G14" s="518" t="s">
        <v>3264</v>
      </c>
      <c r="H14" s="517">
        <f>SUMIF(63:63,G15,64:64)-SUMIF(63:63,C15,64:64)+100</f>
        <v>100</v>
      </c>
      <c r="I14" s="518" t="s">
        <v>3264</v>
      </c>
      <c r="J14" s="517">
        <f>SUMIF(63:63,I15,64:64)-SUMIF(63:63,C15,64:64)+100</f>
        <v>100</v>
      </c>
      <c r="K14" s="856">
        <v>2</v>
      </c>
      <c r="L14" s="1859"/>
      <c r="M14" s="1851"/>
      <c r="N14" s="1851"/>
      <c r="O14" s="1858"/>
      <c r="P14" s="3899" t="s">
        <v>489</v>
      </c>
      <c r="Q14" s="1380" t="str">
        <f t="shared" si="6"/>
        <v>交通便捷度</v>
      </c>
      <c r="R14" s="1381" t="s">
        <v>5</v>
      </c>
      <c r="S14" s="1382">
        <f t="shared" si="0"/>
        <v>102</v>
      </c>
      <c r="T14" s="1381" t="s">
        <v>5</v>
      </c>
      <c r="U14" s="1382">
        <f t="shared" si="1"/>
        <v>100</v>
      </c>
      <c r="V14" s="1381" t="s">
        <v>5</v>
      </c>
      <c r="W14" s="1382">
        <f t="shared" si="2"/>
        <v>100</v>
      </c>
      <c r="X14" s="1375"/>
      <c r="Y14" s="3899" t="s">
        <v>489</v>
      </c>
      <c r="Z14" s="1383" t="str">
        <f t="shared" si="7"/>
        <v>交通便捷度</v>
      </c>
      <c r="AA14" s="1384">
        <f t="shared" si="3"/>
        <v>0.98039215686274506</v>
      </c>
      <c r="AB14" s="1384">
        <f t="shared" si="4"/>
        <v>1</v>
      </c>
      <c r="AC14" s="1384">
        <f t="shared" si="5"/>
        <v>1</v>
      </c>
    </row>
    <row r="15" spans="1:29" ht="15">
      <c r="A15" s="483"/>
      <c r="B15" s="882"/>
      <c r="C15" s="544" t="s">
        <v>3264</v>
      </c>
      <c r="D15" s="523"/>
      <c r="E15" s="544" t="s">
        <v>3262</v>
      </c>
      <c r="F15" s="525"/>
      <c r="G15" s="544" t="s">
        <v>3264</v>
      </c>
      <c r="H15" s="527"/>
      <c r="I15" s="544" t="s">
        <v>3264</v>
      </c>
      <c r="J15" s="523"/>
      <c r="K15" s="857"/>
      <c r="L15" s="1859"/>
      <c r="M15" s="1851"/>
      <c r="N15" s="1851"/>
      <c r="O15" s="1858"/>
      <c r="P15" s="3900"/>
      <c r="Q15" s="1380"/>
      <c r="R15" s="1381"/>
      <c r="S15" s="1382"/>
      <c r="T15" s="1381"/>
      <c r="U15" s="1382"/>
      <c r="V15" s="1381"/>
      <c r="W15" s="1382"/>
      <c r="X15" s="1375"/>
      <c r="Y15" s="3900"/>
      <c r="Z15" s="1383"/>
      <c r="AA15" s="1384">
        <v>1</v>
      </c>
      <c r="AB15" s="1384">
        <v>1</v>
      </c>
      <c r="AC15" s="1384">
        <v>1</v>
      </c>
    </row>
    <row r="16" spans="1:29" ht="15">
      <c r="A16" s="483"/>
      <c r="B16" s="2205" t="s">
        <v>1825</v>
      </c>
      <c r="C16" s="833" t="str">
        <f>IF(B1="工业",估价对象房地状况!G5,估价对象房地状况!C7)</f>
        <v>一般</v>
      </c>
      <c r="D16" s="533">
        <v>100</v>
      </c>
      <c r="E16" s="530" t="s">
        <v>3262</v>
      </c>
      <c r="F16" s="539">
        <f>SUMIF(65:65,E17,66:66)-SUMIF(65:65,C17,66:66)+100</f>
        <v>102</v>
      </c>
      <c r="G16" s="540" t="s">
        <v>3264</v>
      </c>
      <c r="H16" s="533">
        <f>SUMIF(65:65,G17,66:66)-SUMIF(65:65,C17,66:66)+100</f>
        <v>100</v>
      </c>
      <c r="I16" s="540" t="s">
        <v>3264</v>
      </c>
      <c r="J16" s="533">
        <f>SUMIF(65:65,I17,66:66)-SUMIF(65:65,C17,66:66)+100</f>
        <v>100</v>
      </c>
      <c r="K16" s="856">
        <v>2</v>
      </c>
      <c r="L16" s="1859"/>
      <c r="M16" s="1851"/>
      <c r="N16" s="1851"/>
      <c r="O16" s="1858"/>
      <c r="P16" s="3900"/>
      <c r="Q16" s="1380" t="str">
        <f>B16</f>
        <v>公共配套设施</v>
      </c>
      <c r="R16" s="1381" t="s">
        <v>5</v>
      </c>
      <c r="S16" s="1382">
        <f>F16</f>
        <v>102</v>
      </c>
      <c r="T16" s="1381" t="s">
        <v>5</v>
      </c>
      <c r="U16" s="1382">
        <f>H16</f>
        <v>100</v>
      </c>
      <c r="V16" s="1381" t="s">
        <v>5</v>
      </c>
      <c r="W16" s="1382">
        <f>J16</f>
        <v>100</v>
      </c>
      <c r="X16" s="1375"/>
      <c r="Y16" s="3900"/>
      <c r="Z16" s="1383" t="str">
        <f>Q16</f>
        <v>公共配套设施</v>
      </c>
      <c r="AA16" s="1384">
        <f t="shared" si="3"/>
        <v>0.98039215686274506</v>
      </c>
      <c r="AB16" s="1384">
        <f t="shared" si="4"/>
        <v>1</v>
      </c>
      <c r="AC16" s="1384">
        <f t="shared" si="5"/>
        <v>1</v>
      </c>
    </row>
    <row r="17" spans="1:29" ht="15">
      <c r="A17" s="483"/>
      <c r="B17" s="534"/>
      <c r="C17" s="834" t="s">
        <v>3264</v>
      </c>
      <c r="D17" s="523"/>
      <c r="E17" s="544" t="s">
        <v>3262</v>
      </c>
      <c r="F17" s="525"/>
      <c r="G17" s="544" t="s">
        <v>3264</v>
      </c>
      <c r="H17" s="523"/>
      <c r="I17" s="544" t="s">
        <v>3264</v>
      </c>
      <c r="J17" s="523"/>
      <c r="K17" s="857"/>
      <c r="L17" s="1859"/>
      <c r="M17" s="1851"/>
      <c r="N17" s="1851"/>
      <c r="O17" s="1858"/>
      <c r="P17" s="3900"/>
      <c r="Q17" s="1380"/>
      <c r="R17" s="1381"/>
      <c r="S17" s="1382"/>
      <c r="T17" s="1381"/>
      <c r="U17" s="1382"/>
      <c r="V17" s="1381"/>
      <c r="W17" s="1382"/>
      <c r="X17" s="1375"/>
      <c r="Y17" s="3900"/>
      <c r="Z17" s="1383"/>
      <c r="AA17" s="1384">
        <v>1</v>
      </c>
      <c r="AB17" s="1384">
        <v>1</v>
      </c>
      <c r="AC17" s="1384">
        <v>1</v>
      </c>
    </row>
    <row r="18" spans="1:29" ht="15">
      <c r="A18" s="483"/>
      <c r="B18" s="2193" t="s">
        <v>1837</v>
      </c>
      <c r="C18" s="833" t="str">
        <f>IF(B1="工业",估价对象房地状况!G6,估价对象房地状况!C8)</f>
        <v>七通</v>
      </c>
      <c r="D18" s="527">
        <v>100</v>
      </c>
      <c r="E18" s="540" t="s">
        <v>3267</v>
      </c>
      <c r="F18" s="539">
        <f>SUMIF(67:67,E19,68:68)-SUMIF(67:67,C19,68:68)+100</f>
        <v>100</v>
      </c>
      <c r="G18" s="540" t="s">
        <v>3267</v>
      </c>
      <c r="H18" s="533">
        <f>SUMIF(67:67,G19,68:68)-SUMIF(67:67,C19,68:68)+100</f>
        <v>100</v>
      </c>
      <c r="I18" s="540" t="s">
        <v>3267</v>
      </c>
      <c r="J18" s="533">
        <f>SUMIF(67:67,I19,68:68)-SUMIF(67:67,C19,68:68)+100</f>
        <v>100</v>
      </c>
      <c r="K18" s="856">
        <v>1</v>
      </c>
      <c r="L18" s="1859"/>
      <c r="M18" s="1851"/>
      <c r="N18" s="1851"/>
      <c r="O18" s="1858"/>
      <c r="P18" s="3900"/>
      <c r="Q18" s="2187" t="str">
        <f>B18</f>
        <v>基础设施水平</v>
      </c>
      <c r="R18" s="1381" t="s">
        <v>5</v>
      </c>
      <c r="S18" s="1382">
        <f>F18</f>
        <v>100</v>
      </c>
      <c r="T18" s="1381" t="s">
        <v>5</v>
      </c>
      <c r="U18" s="1382">
        <f>H18</f>
        <v>100</v>
      </c>
      <c r="V18" s="1381" t="s">
        <v>5</v>
      </c>
      <c r="W18" s="1382">
        <f>J18</f>
        <v>100</v>
      </c>
      <c r="X18" s="2189"/>
      <c r="Y18" s="3900"/>
      <c r="Z18" s="2188" t="str">
        <f>Q18</f>
        <v>基础设施水平</v>
      </c>
      <c r="AA18" s="1384">
        <f>D18/F18</f>
        <v>1</v>
      </c>
      <c r="AB18" s="1384">
        <f>D18/H18</f>
        <v>1</v>
      </c>
      <c r="AC18" s="1384">
        <f>D18/J18</f>
        <v>1</v>
      </c>
    </row>
    <row r="19" spans="1:29" ht="15">
      <c r="A19" s="483"/>
      <c r="B19" s="546"/>
      <c r="C19" s="834" t="s">
        <v>3267</v>
      </c>
      <c r="D19" s="527"/>
      <c r="E19" s="544" t="s">
        <v>3267</v>
      </c>
      <c r="F19" s="525"/>
      <c r="G19" s="544" t="s">
        <v>3267</v>
      </c>
      <c r="H19" s="523"/>
      <c r="I19" s="544" t="s">
        <v>3267</v>
      </c>
      <c r="J19" s="523"/>
      <c r="K19" s="2204"/>
      <c r="L19" s="1859"/>
      <c r="M19" s="1851"/>
      <c r="N19" s="1851"/>
      <c r="O19" s="1858"/>
      <c r="P19" s="3900"/>
      <c r="Q19" s="2187"/>
      <c r="R19" s="1381"/>
      <c r="S19" s="1382"/>
      <c r="T19" s="1381"/>
      <c r="U19" s="1382"/>
      <c r="V19" s="1381"/>
      <c r="W19" s="1382"/>
      <c r="X19" s="2189"/>
      <c r="Y19" s="3900"/>
      <c r="Z19" s="2188"/>
      <c r="AA19" s="1384">
        <v>1</v>
      </c>
      <c r="AB19" s="1384">
        <v>1</v>
      </c>
      <c r="AC19" s="1384">
        <v>1</v>
      </c>
    </row>
    <row r="20" spans="1:29" ht="15">
      <c r="A20" s="483"/>
      <c r="B20" s="528" t="s">
        <v>744</v>
      </c>
      <c r="C20" s="833" t="str">
        <f>IF(B1="工业",估价对象房地状况!G7,估价对象房地状况!C9)</f>
        <v>较好</v>
      </c>
      <c r="D20" s="533">
        <v>100</v>
      </c>
      <c r="E20" s="530" t="s">
        <v>3262</v>
      </c>
      <c r="F20" s="531">
        <f>SUMIF(69:69,E21,70:70)-SUMIF(69:69,C21,70:70)+100</f>
        <v>100</v>
      </c>
      <c r="G20" s="530" t="s">
        <v>3262</v>
      </c>
      <c r="H20" s="527">
        <f>SUMIF(69:69,G21,70:70)-SUMIF(69:69,C21,70:70)+100</f>
        <v>100</v>
      </c>
      <c r="I20" s="530" t="s">
        <v>3262</v>
      </c>
      <c r="J20" s="527">
        <f>SUMIF(69:69,I21,70:70)-SUMIF(69:69,C21,70:70)+100</f>
        <v>100</v>
      </c>
      <c r="K20" s="856">
        <v>2</v>
      </c>
      <c r="L20" s="1859"/>
      <c r="M20" s="1851"/>
      <c r="N20" s="1851"/>
      <c r="O20" s="1858"/>
      <c r="P20" s="3900"/>
      <c r="Q20" s="1380" t="str">
        <f>B20</f>
        <v>自然及人文环境</v>
      </c>
      <c r="R20" s="1381" t="s">
        <v>5</v>
      </c>
      <c r="S20" s="1382">
        <f>F20</f>
        <v>100</v>
      </c>
      <c r="T20" s="1381" t="s">
        <v>5</v>
      </c>
      <c r="U20" s="1382">
        <f>H20</f>
        <v>100</v>
      </c>
      <c r="V20" s="1381" t="s">
        <v>5</v>
      </c>
      <c r="W20" s="1382">
        <f>J20</f>
        <v>100</v>
      </c>
      <c r="X20" s="1375"/>
      <c r="Y20" s="3900"/>
      <c r="Z20" s="1383" t="str">
        <f>Q20</f>
        <v>自然及人文环境</v>
      </c>
      <c r="AA20" s="1384">
        <f t="shared" si="3"/>
        <v>1</v>
      </c>
      <c r="AB20" s="1384">
        <f t="shared" si="4"/>
        <v>1</v>
      </c>
      <c r="AC20" s="1384">
        <f t="shared" si="5"/>
        <v>1</v>
      </c>
    </row>
    <row r="21" spans="1:29" ht="15">
      <c r="A21" s="483"/>
      <c r="B21" s="534"/>
      <c r="C21" s="544" t="s">
        <v>3262</v>
      </c>
      <c r="D21" s="523"/>
      <c r="E21" s="544" t="s">
        <v>3262</v>
      </c>
      <c r="F21" s="525"/>
      <c r="G21" s="544" t="s">
        <v>3262</v>
      </c>
      <c r="H21" s="523"/>
      <c r="I21" s="544" t="s">
        <v>3262</v>
      </c>
      <c r="J21" s="523"/>
      <c r="K21" s="857"/>
      <c r="L21" s="1859"/>
      <c r="M21" s="1851"/>
      <c r="N21" s="1851"/>
      <c r="O21" s="1858"/>
      <c r="P21" s="3900"/>
      <c r="Q21" s="1380"/>
      <c r="R21" s="1381"/>
      <c r="S21" s="1382"/>
      <c r="T21" s="1381"/>
      <c r="U21" s="1382"/>
      <c r="V21" s="1381"/>
      <c r="W21" s="1382"/>
      <c r="X21" s="1375"/>
      <c r="Y21" s="3900"/>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00"/>
      <c r="Q22" s="1380" t="str">
        <f>B22</f>
        <v>楼层</v>
      </c>
      <c r="R22" s="1381" t="s">
        <v>5</v>
      </c>
      <c r="S22" s="1382">
        <f>F22</f>
        <v>100</v>
      </c>
      <c r="T22" s="1381" t="s">
        <v>5</v>
      </c>
      <c r="U22" s="1382">
        <f>H22</f>
        <v>100</v>
      </c>
      <c r="V22" s="1381" t="s">
        <v>5</v>
      </c>
      <c r="W22" s="1382">
        <f>J22</f>
        <v>100</v>
      </c>
      <c r="X22" s="1375"/>
      <c r="Y22" s="3900"/>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00"/>
      <c r="Q23" s="1380">
        <f>B23</f>
        <v>111</v>
      </c>
      <c r="R23" s="1381" t="s">
        <v>5</v>
      </c>
      <c r="S23" s="1382">
        <f>F23</f>
        <v>100</v>
      </c>
      <c r="T23" s="1381" t="s">
        <v>5</v>
      </c>
      <c r="U23" s="1382">
        <f>H23</f>
        <v>100</v>
      </c>
      <c r="V23" s="1381" t="s">
        <v>5</v>
      </c>
      <c r="W23" s="1382">
        <f>J23</f>
        <v>100</v>
      </c>
      <c r="X23" s="1375"/>
      <c r="Y23" s="3900"/>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00"/>
      <c r="Q24" s="1380">
        <f t="shared" ref="Q24:Q36" si="8">B24</f>
        <v>111</v>
      </c>
      <c r="R24" s="1381" t="s">
        <v>5</v>
      </c>
      <c r="S24" s="1382">
        <f>F24</f>
        <v>100</v>
      </c>
      <c r="T24" s="1381" t="s">
        <v>5</v>
      </c>
      <c r="U24" s="1382">
        <f>H24</f>
        <v>100</v>
      </c>
      <c r="V24" s="1381" t="s">
        <v>5</v>
      </c>
      <c r="W24" s="1382">
        <f>J24</f>
        <v>100</v>
      </c>
      <c r="X24" s="1375"/>
      <c r="Y24" s="3900"/>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00"/>
      <c r="Q25" s="1045">
        <f t="shared" si="8"/>
        <v>111</v>
      </c>
      <c r="R25" s="1376" t="s">
        <v>5</v>
      </c>
      <c r="S25" s="1377">
        <f>F25</f>
        <v>100</v>
      </c>
      <c r="T25" s="1376" t="s">
        <v>5</v>
      </c>
      <c r="U25" s="1377">
        <f>H25</f>
        <v>100</v>
      </c>
      <c r="V25" s="1376" t="s">
        <v>5</v>
      </c>
      <c r="W25" s="1377">
        <f>J25</f>
        <v>100</v>
      </c>
      <c r="X25" s="1378"/>
      <c r="Y25" s="3900"/>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01"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02"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02"/>
      <c r="Q27" s="1409" t="str">
        <f t="shared" si="8"/>
        <v>项目停车位配比</v>
      </c>
      <c r="R27" s="1385" t="s">
        <v>5</v>
      </c>
      <c r="S27" s="1386">
        <f t="shared" si="9"/>
        <v>100</v>
      </c>
      <c r="T27" s="1385" t="s">
        <v>5</v>
      </c>
      <c r="U27" s="1386">
        <f t="shared" si="10"/>
        <v>100</v>
      </c>
      <c r="V27" s="1385" t="s">
        <v>5</v>
      </c>
      <c r="W27" s="1386">
        <f t="shared" si="11"/>
        <v>100</v>
      </c>
      <c r="X27" s="1387"/>
      <c r="Y27" s="3902"/>
      <c r="Z27" s="1388" t="str">
        <f t="shared" si="12"/>
        <v>项目停车位配比</v>
      </c>
      <c r="AA27" s="1384">
        <f t="shared" si="3"/>
        <v>1</v>
      </c>
      <c r="AB27" s="1384">
        <f t="shared" si="4"/>
        <v>1</v>
      </c>
      <c r="AC27" s="1384">
        <f t="shared" si="5"/>
        <v>1</v>
      </c>
    </row>
    <row r="28" spans="1:29" ht="15">
      <c r="A28" s="889"/>
      <c r="B28" s="550" t="s">
        <v>748</v>
      </c>
      <c r="C28" s="542" t="s">
        <v>3539</v>
      </c>
      <c r="D28" s="508">
        <v>100</v>
      </c>
      <c r="E28" s="542" t="s">
        <v>3539</v>
      </c>
      <c r="F28" s="543">
        <f>SUMIF(83:83,E28,84:84)-SUMIF(83:83,C28,84:84)+100</f>
        <v>100</v>
      </c>
      <c r="G28" s="542" t="s">
        <v>3539</v>
      </c>
      <c r="H28" s="508">
        <f>SUMIF(83:83,G28,84:84)-SUMIF(83:83,C28,84:84)+100</f>
        <v>100</v>
      </c>
      <c r="I28" s="542" t="s">
        <v>3539</v>
      </c>
      <c r="J28" s="508">
        <f>SUMIF(83:83,I28,84:84)-SUMIF(83:83,C28,84:84)+100</f>
        <v>100</v>
      </c>
      <c r="K28" s="552">
        <v>2</v>
      </c>
      <c r="L28" s="1859"/>
      <c r="M28" s="1851"/>
      <c r="N28" s="1851"/>
      <c r="O28" s="1858"/>
      <c r="P28" s="3902"/>
      <c r="Q28" s="1380" t="str">
        <f t="shared" si="8"/>
        <v>公共部分装修</v>
      </c>
      <c r="R28" s="1381" t="s">
        <v>5</v>
      </c>
      <c r="S28" s="1382">
        <f t="shared" si="9"/>
        <v>100</v>
      </c>
      <c r="T28" s="1381" t="s">
        <v>5</v>
      </c>
      <c r="U28" s="1382">
        <f t="shared" si="10"/>
        <v>100</v>
      </c>
      <c r="V28" s="1381" t="s">
        <v>5</v>
      </c>
      <c r="W28" s="1382">
        <f t="shared" si="11"/>
        <v>100</v>
      </c>
      <c r="X28" s="1375"/>
      <c r="Y28" s="3902"/>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02"/>
      <c r="Q29" s="1380" t="str">
        <f t="shared" si="8"/>
        <v>成新率</v>
      </c>
      <c r="R29" s="1381" t="s">
        <v>5</v>
      </c>
      <c r="S29" s="1382">
        <f t="shared" si="9"/>
        <v>100</v>
      </c>
      <c r="T29" s="1381" t="s">
        <v>5</v>
      </c>
      <c r="U29" s="1382">
        <f t="shared" si="10"/>
        <v>100</v>
      </c>
      <c r="V29" s="1381" t="s">
        <v>5</v>
      </c>
      <c r="W29" s="1382">
        <f t="shared" si="11"/>
        <v>100</v>
      </c>
      <c r="X29" s="1375"/>
      <c r="Y29" s="3902"/>
      <c r="Z29" s="1383" t="str">
        <f t="shared" si="12"/>
        <v>成新率</v>
      </c>
      <c r="AA29" s="1384">
        <f t="shared" si="3"/>
        <v>1</v>
      </c>
      <c r="AB29" s="1384">
        <f t="shared" si="4"/>
        <v>1</v>
      </c>
      <c r="AC29" s="1384">
        <f t="shared" si="5"/>
        <v>1</v>
      </c>
    </row>
    <row r="30" spans="1:29" ht="15">
      <c r="A30" s="889"/>
      <c r="B30" s="550" t="s">
        <v>750</v>
      </c>
      <c r="C30" s="890" t="s">
        <v>3780</v>
      </c>
      <c r="D30" s="508">
        <v>100</v>
      </c>
      <c r="E30" s="890" t="s">
        <v>3780</v>
      </c>
      <c r="F30" s="543">
        <f>SUMIF(88:88,E30,89:89)-SUMIF(88:88,C30,89:89)+100</f>
        <v>100</v>
      </c>
      <c r="G30" s="890" t="s">
        <v>3780</v>
      </c>
      <c r="H30" s="508">
        <f>SUMIF(88:88,E30,89:89)-SUMIF(88:88,C30,89:89)+100</f>
        <v>100</v>
      </c>
      <c r="I30" s="890" t="s">
        <v>3780</v>
      </c>
      <c r="J30" s="508">
        <f>SUMIF(88:88,E30,89:89)-SUMIF(88:88,C30,89:89)+100</f>
        <v>100</v>
      </c>
      <c r="K30" s="552">
        <v>2</v>
      </c>
      <c r="L30" s="1859"/>
      <c r="M30" s="1851"/>
      <c r="N30" s="1851"/>
      <c r="O30" s="1858"/>
      <c r="P30" s="3902"/>
      <c r="Q30" s="1380" t="str">
        <f t="shared" si="8"/>
        <v>物业等级</v>
      </c>
      <c r="R30" s="1381" t="s">
        <v>5</v>
      </c>
      <c r="S30" s="1382">
        <f t="shared" si="9"/>
        <v>100</v>
      </c>
      <c r="T30" s="1381" t="s">
        <v>5</v>
      </c>
      <c r="U30" s="1382">
        <f t="shared" si="10"/>
        <v>100</v>
      </c>
      <c r="V30" s="1381" t="s">
        <v>5</v>
      </c>
      <c r="W30" s="1382">
        <f t="shared" si="11"/>
        <v>100</v>
      </c>
      <c r="X30" s="1375"/>
      <c r="Y30" s="3902"/>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99</v>
      </c>
      <c r="I31" s="840">
        <f>案例!J6</f>
        <v>50</v>
      </c>
      <c r="J31" s="508">
        <f>LOOKUP(I31,91:91,92:92)-LOOKUP(C31,91:91,92:92)+100</f>
        <v>101</v>
      </c>
      <c r="K31" s="552">
        <v>1</v>
      </c>
      <c r="L31" s="1852"/>
      <c r="M31" s="1853"/>
      <c r="N31" s="1853"/>
      <c r="O31" s="1854"/>
      <c r="P31" s="3902"/>
      <c r="Q31" s="1045" t="str">
        <f t="shared" si="8"/>
        <v>停车位面积</v>
      </c>
      <c r="R31" s="1376" t="s">
        <v>5</v>
      </c>
      <c r="S31" s="1377">
        <f t="shared" si="9"/>
        <v>100</v>
      </c>
      <c r="T31" s="1376" t="s">
        <v>5</v>
      </c>
      <c r="U31" s="1377">
        <f t="shared" si="10"/>
        <v>99</v>
      </c>
      <c r="V31" s="1376" t="s">
        <v>5</v>
      </c>
      <c r="W31" s="1377">
        <f t="shared" si="11"/>
        <v>101</v>
      </c>
      <c r="X31" s="1378"/>
      <c r="Y31" s="3902"/>
      <c r="Z31" s="1044" t="str">
        <f t="shared" si="12"/>
        <v>停车位面积</v>
      </c>
      <c r="AA31" s="1379">
        <f t="shared" si="3"/>
        <v>1</v>
      </c>
      <c r="AB31" s="1379">
        <f t="shared" si="4"/>
        <v>1.0101010101010102</v>
      </c>
      <c r="AC31" s="1379">
        <f t="shared" si="5"/>
        <v>0.99009900990099009</v>
      </c>
    </row>
    <row r="32" spans="1:29" ht="15">
      <c r="A32" s="889"/>
      <c r="B32" s="550" t="s">
        <v>752</v>
      </c>
      <c r="C32" s="542" t="s">
        <v>3783</v>
      </c>
      <c r="D32" s="508">
        <v>100</v>
      </c>
      <c r="E32" s="542" t="s">
        <v>3783</v>
      </c>
      <c r="F32" s="543">
        <f>SUMIF(93:93,E32,94:94)-SUMIF(93:93,C32,94:94)+100</f>
        <v>100</v>
      </c>
      <c r="G32" s="542" t="s">
        <v>3783</v>
      </c>
      <c r="H32" s="508">
        <f>SUMIF(93:93,G32,94:94)-SUMIF(93:93,C32,94:94)+100</f>
        <v>100</v>
      </c>
      <c r="I32" s="542" t="s">
        <v>3783</v>
      </c>
      <c r="J32" s="508">
        <f>SUMIF(93:93,I32,94:94)-SUMIF(93:93,C32,94:94)+100</f>
        <v>100</v>
      </c>
      <c r="K32" s="552">
        <v>5</v>
      </c>
      <c r="L32" s="1859"/>
      <c r="M32" s="1851"/>
      <c r="N32" s="1851"/>
      <c r="O32" s="1858"/>
      <c r="P32" s="3902" t="s">
        <v>499</v>
      </c>
      <c r="Q32" s="1380" t="str">
        <f t="shared" si="8"/>
        <v>车位类型</v>
      </c>
      <c r="R32" s="1381" t="s">
        <v>5</v>
      </c>
      <c r="S32" s="1382">
        <f t="shared" si="9"/>
        <v>100</v>
      </c>
      <c r="T32" s="1381" t="s">
        <v>5</v>
      </c>
      <c r="U32" s="1382">
        <f t="shared" si="10"/>
        <v>100</v>
      </c>
      <c r="V32" s="1381" t="s">
        <v>5</v>
      </c>
      <c r="W32" s="1382">
        <f t="shared" si="11"/>
        <v>100</v>
      </c>
      <c r="X32" s="1375"/>
      <c r="Y32" s="3902"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02"/>
      <c r="Q33" s="1380" t="str">
        <f t="shared" si="8"/>
        <v>是否直接入户</v>
      </c>
      <c r="R33" s="1381" t="s">
        <v>5</v>
      </c>
      <c r="S33" s="1382">
        <f t="shared" si="9"/>
        <v>100</v>
      </c>
      <c r="T33" s="1381" t="s">
        <v>5</v>
      </c>
      <c r="U33" s="1382">
        <f t="shared" si="10"/>
        <v>100</v>
      </c>
      <c r="V33" s="1381" t="s">
        <v>5</v>
      </c>
      <c r="W33" s="1382">
        <f t="shared" si="11"/>
        <v>100</v>
      </c>
      <c r="X33" s="1375"/>
      <c r="Y33" s="3902"/>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02"/>
      <c r="Q34" s="1380">
        <f t="shared" si="8"/>
        <v>111</v>
      </c>
      <c r="R34" s="1381" t="s">
        <v>5</v>
      </c>
      <c r="S34" s="1382">
        <f t="shared" si="9"/>
        <v>100</v>
      </c>
      <c r="T34" s="1381" t="s">
        <v>5</v>
      </c>
      <c r="U34" s="1382">
        <f t="shared" si="10"/>
        <v>100</v>
      </c>
      <c r="V34" s="1381" t="s">
        <v>5</v>
      </c>
      <c r="W34" s="1382">
        <f t="shared" si="11"/>
        <v>100</v>
      </c>
      <c r="X34" s="1375"/>
      <c r="Y34" s="3902"/>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02"/>
      <c r="Q35" s="1409">
        <f t="shared" si="8"/>
        <v>111</v>
      </c>
      <c r="R35" s="1385" t="s">
        <v>5</v>
      </c>
      <c r="S35" s="1386">
        <f t="shared" si="9"/>
        <v>100</v>
      </c>
      <c r="T35" s="1385" t="s">
        <v>5</v>
      </c>
      <c r="U35" s="1386">
        <f t="shared" si="10"/>
        <v>100</v>
      </c>
      <c r="V35" s="1385" t="s">
        <v>5</v>
      </c>
      <c r="W35" s="1386">
        <f t="shared" si="11"/>
        <v>100</v>
      </c>
      <c r="X35" s="1387"/>
      <c r="Y35" s="3902"/>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02"/>
      <c r="Q36" s="1380">
        <f t="shared" si="8"/>
        <v>111</v>
      </c>
      <c r="R36" s="1381" t="s">
        <v>5</v>
      </c>
      <c r="S36" s="1382">
        <f t="shared" si="9"/>
        <v>100</v>
      </c>
      <c r="T36" s="1381" t="s">
        <v>5</v>
      </c>
      <c r="U36" s="1382">
        <f t="shared" si="10"/>
        <v>100</v>
      </c>
      <c r="V36" s="1381" t="s">
        <v>5</v>
      </c>
      <c r="W36" s="1382">
        <f t="shared" si="11"/>
        <v>100</v>
      </c>
      <c r="X36" s="1375"/>
      <c r="Y36" s="3902"/>
      <c r="Z36" s="1383">
        <f t="shared" si="12"/>
        <v>111</v>
      </c>
      <c r="AA36" s="1384">
        <f t="shared" si="3"/>
        <v>1</v>
      </c>
      <c r="AB36" s="1384">
        <f t="shared" si="4"/>
        <v>1</v>
      </c>
      <c r="AC36" s="1384">
        <f t="shared" si="5"/>
        <v>1</v>
      </c>
    </row>
    <row r="37" spans="1:29" ht="15">
      <c r="A37" s="1626" t="s">
        <v>1593</v>
      </c>
      <c r="B37" s="1627" t="s">
        <v>3568</v>
      </c>
      <c r="C37" s="2228" t="s">
        <v>0</v>
      </c>
      <c r="D37" s="2229"/>
      <c r="E37" s="2230">
        <f>案例!I2*10000</f>
        <v>429600</v>
      </c>
      <c r="F37" s="2231"/>
      <c r="G37" s="2232">
        <f>案例!I4*10000</f>
        <v>410000</v>
      </c>
      <c r="H37" s="2233"/>
      <c r="I37" s="2230">
        <f>案例!I6*10000</f>
        <v>422400</v>
      </c>
      <c r="J37" s="2233"/>
      <c r="K37" s="1414"/>
      <c r="L37" s="1861"/>
      <c r="M37" s="1862"/>
      <c r="N37" s="1851"/>
      <c r="O37" s="1862"/>
      <c r="P37" s="3897" t="str">
        <f>A37</f>
        <v>成交单价</v>
      </c>
      <c r="Q37" s="3897"/>
      <c r="R37" s="3979">
        <f>E37</f>
        <v>429600</v>
      </c>
      <c r="S37" s="3979"/>
      <c r="T37" s="3979">
        <f>G37</f>
        <v>410000</v>
      </c>
      <c r="U37" s="3979"/>
      <c r="V37" s="3979">
        <f>I37</f>
        <v>422400</v>
      </c>
      <c r="W37" s="3979"/>
      <c r="X37" s="1370"/>
      <c r="Y37" s="1389"/>
      <c r="Z37" s="1370"/>
      <c r="AA37" s="1370"/>
      <c r="AB37" s="1370"/>
      <c r="AC37" s="1370"/>
    </row>
    <row r="38" spans="1:29" ht="15.75" thickBot="1">
      <c r="A38" s="583" t="s">
        <v>2038</v>
      </c>
      <c r="B38" s="846"/>
      <c r="C38" s="2234">
        <f>R39</f>
        <v>415092</v>
      </c>
      <c r="D38" s="2749" t="s">
        <v>2246</v>
      </c>
      <c r="E38" s="2235">
        <f>R38</f>
        <v>412918</v>
      </c>
      <c r="F38" s="2750"/>
      <c r="G38" s="2234">
        <f>T38</f>
        <v>414141</v>
      </c>
      <c r="H38" s="2750"/>
      <c r="I38" s="2235">
        <f>V38</f>
        <v>418218</v>
      </c>
      <c r="J38" s="2750"/>
      <c r="K38" s="2758">
        <f>F38+H38+J38</f>
        <v>0</v>
      </c>
      <c r="L38" s="1861"/>
      <c r="M38" s="1862"/>
      <c r="N38" s="1862"/>
      <c r="O38" s="1862"/>
      <c r="P38" s="3897" t="str">
        <f>A38</f>
        <v>比较价格（元/平方米）</v>
      </c>
      <c r="Q38" s="3897"/>
      <c r="R38" s="3979">
        <f>IF(F1="售价",ROUND(PRODUCT(R37,AA7:AA36),0),ROUND(PRODUCT(R37,AA7:AA36),1))</f>
        <v>412918</v>
      </c>
      <c r="S38" s="3979"/>
      <c r="T38" s="3979">
        <f>IF(F1="售价",ROUND(PRODUCT(T37,AB7:AB36),0),ROUND(PRODUCT(T37,AB7:AB36),1))</f>
        <v>414141</v>
      </c>
      <c r="U38" s="3979"/>
      <c r="V38" s="3979">
        <f>IF(F1="售价",ROUND(PRODUCT(V37,AC7:AC36),0),ROUND(PRODUCT(V37,AC7:AC36),1))</f>
        <v>418218</v>
      </c>
      <c r="W38" s="3979"/>
      <c r="X38" s="1370"/>
      <c r="Y38" s="1370"/>
      <c r="Z38" s="1370"/>
      <c r="AA38" s="1370"/>
      <c r="AB38" s="1370"/>
      <c r="AC38" s="1370"/>
    </row>
    <row r="39" spans="1:29" ht="15.75" thickBot="1">
      <c r="A39" s="587" t="s">
        <v>2183</v>
      </c>
      <c r="B39" s="588"/>
      <c r="C39" s="2236">
        <f>R39</f>
        <v>415092</v>
      </c>
      <c r="D39" s="2236"/>
      <c r="E39" s="2236"/>
      <c r="F39" s="2236"/>
      <c r="G39" s="2236"/>
      <c r="H39" s="2236"/>
      <c r="I39" s="2236"/>
      <c r="J39" s="2236"/>
      <c r="K39" s="1415"/>
      <c r="L39" s="1861"/>
      <c r="M39" s="1862"/>
      <c r="N39" s="1862"/>
      <c r="O39" s="1862"/>
      <c r="P39" s="3903" t="str">
        <f>A39</f>
        <v>估价对象XX用房的比较价格（楼面单价，元/平方米）</v>
      </c>
      <c r="Q39" s="3904"/>
      <c r="R39" s="3978">
        <f>IF(F1="售价",ROUND(IF(D38="简单平均",AVERAGE(R38:W38),R38*F38+T38*H38+V38*J38),0),ROUND(IF(D38="简单平均",AVERAGE(R38:V38),R38*F38+T38*H38+V38*J38),1))</f>
        <v>415092</v>
      </c>
      <c r="S39" s="3978"/>
      <c r="T39" s="3978"/>
      <c r="U39" s="3978"/>
      <c r="V39" s="3978"/>
      <c r="W39" s="3978"/>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4.0400273177725321E-2</v>
      </c>
      <c r="F42" s="593" t="str">
        <f>IF(OR(E42&gt;=0.3,E42&lt;=-0.3),"超过30%","")</f>
        <v/>
      </c>
      <c r="G42" s="592">
        <f>IF(G37&lt;G38,G38/G37-1,G37/G38-1)</f>
        <v>1.0099999999999998E-2</v>
      </c>
      <c r="H42" s="593" t="str">
        <f>IF(OR(G42&gt;=0.3,G42&lt;=-0.3),"超过30%","")</f>
        <v/>
      </c>
      <c r="I42" s="592">
        <f>IF(I37&lt;I38,I38/I37-1,I37/I38-1)</f>
        <v>9.999569602456182E-3</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2.961847146406793E-3</v>
      </c>
      <c r="F43" s="593" t="str">
        <f>IF(OR(E43&gt;=0.2,E43&lt;=-0.2),"超过20%","")</f>
        <v/>
      </c>
      <c r="G43" s="592">
        <f>IF(G38&lt;I38,I38/G38-1,G38/I38-1)</f>
        <v>9.8444732591074224E-3</v>
      </c>
      <c r="H43" s="593" t="str">
        <f>IF(OR(G43&gt;=0.2,G43&lt;=-0.2),"超过20%","")</f>
        <v/>
      </c>
      <c r="I43" s="592">
        <f>IF(I38&lt;E38,E38/I38-1,I38/E38-1)</f>
        <v>1.283547823054465E-2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3552</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3517</v>
      </c>
      <c r="D55" s="684" t="s">
        <v>3518</v>
      </c>
      <c r="E55" s="684" t="s">
        <v>3519</v>
      </c>
      <c r="F55" s="3663" t="s">
        <v>3521</v>
      </c>
      <c r="G55" s="684" t="s">
        <v>3520</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3566</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3553</v>
      </c>
      <c r="D83" s="3660" t="s">
        <v>3554</v>
      </c>
      <c r="E83" s="3659" t="s">
        <v>3555</v>
      </c>
      <c r="F83" s="3659" t="s">
        <v>3556</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3557</v>
      </c>
      <c r="D88" s="3660" t="s">
        <v>3558</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0(含)-10</v>
      </c>
      <c r="D90" s="674" t="str">
        <f t="shared" ref="D90:L90" si="18">D91&amp;"(含)"&amp;"-"&amp;E91</f>
        <v>10(含)-20</v>
      </c>
      <c r="E90" s="674" t="str">
        <f t="shared" si="18"/>
        <v>20(含)-30</v>
      </c>
      <c r="F90" s="674" t="str">
        <f t="shared" si="18"/>
        <v>30(含)-40</v>
      </c>
      <c r="G90" s="674" t="str">
        <f t="shared" si="18"/>
        <v>40(含)-50</v>
      </c>
      <c r="H90" s="674" t="str">
        <f t="shared" si="18"/>
        <v>50(含)-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v>10</v>
      </c>
      <c r="E91" s="696">
        <v>20</v>
      </c>
      <c r="F91" s="696">
        <v>30</v>
      </c>
      <c r="G91" s="696">
        <v>40</v>
      </c>
      <c r="H91" s="696">
        <v>50</v>
      </c>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3567</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3562</v>
      </c>
      <c r="D95" s="3659" t="s">
        <v>3563</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f>C30</f>
        <v>0</v>
      </c>
      <c r="C2" s="1257" t="s">
        <v>849</v>
      </c>
      <c r="D2" s="1258" t="s">
        <v>850</v>
      </c>
      <c r="E2" s="1259" t="s">
        <v>851</v>
      </c>
      <c r="F2" s="1258" t="s">
        <v>852</v>
      </c>
      <c r="G2" s="1452" t="str">
        <f>IF(E2="商业",项目基本情况!B43,IF(E2="办公",项目基本情况!C43,IF(E2="住宅",项目基本情况!D43,IF(E2="工业",项目基本情况!E43,项目基本情况!F43))))</f>
        <v>六级</v>
      </c>
      <c r="H2" s="1258" t="s">
        <v>854</v>
      </c>
      <c r="I2" s="1453" t="str">
        <f>IF(E2="商业",项目基本情况!B44,IF(E2="办公",项目基本情况!C44,IF(E2="住宅",项目基本情况!D44,IF(E2="工业",项目基本情况!E44,项目基本情况!F44))))</f>
        <v>Ⅵ-06</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1352</v>
      </c>
      <c r="B5" s="1265" t="s">
        <v>859</v>
      </c>
      <c r="C5" s="989">
        <f>ROUND(IF(E2="商业",C6*C7*C17+C20,(IF(E2="住宅",C6*C13*C17+C20,IF(E2="办公",C6*C12*C17+C20,C6+C20)))),0)</f>
        <v>-36</v>
      </c>
      <c r="D5" s="2540">
        <f>ROUND(C6*C17+C20,0)</f>
        <v>14694</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14730</v>
      </c>
      <c r="D6" s="3510" t="s">
        <v>1228</v>
      </c>
      <c r="E6" s="1272"/>
      <c r="F6" s="1272"/>
      <c r="G6" s="3511"/>
      <c r="H6" s="3511"/>
      <c r="I6" s="3511"/>
      <c r="J6" s="3512"/>
      <c r="K6" s="2965"/>
      <c r="L6" s="1635" t="s">
        <v>1600</v>
      </c>
      <c r="M6" s="1636">
        <f>SUMPRODUCT((区片价!B127:B189=I2)*(区片价!C3:G3=E2)*(区片价!C127:G189))</f>
        <v>14730</v>
      </c>
      <c r="N6" s="1637">
        <f>SUMPRODUCT((因素修正幅度!B127:B189=I2)*(因素修正幅度!C3:G3=E2)*(因素修正幅度!C127:G189))</f>
        <v>0.126</v>
      </c>
      <c r="O6" s="2965"/>
      <c r="P6" s="2968"/>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f t="shared" si="0"/>
        <v>0</v>
      </c>
      <c r="U7" s="2398"/>
      <c r="V7" s="2408">
        <f t="shared" si="1"/>
        <v>0</v>
      </c>
      <c r="W7" s="2406" t="s">
        <v>2042</v>
      </c>
      <c r="X7" s="2399" t="str">
        <f>G2</f>
        <v>六级</v>
      </c>
      <c r="Y7" s="2399" t="s">
        <v>2043</v>
      </c>
      <c r="Z7" s="2400">
        <f>G3</f>
        <v>1.05</v>
      </c>
      <c r="AA7" s="1908"/>
      <c r="AB7" s="1908"/>
      <c r="AC7" s="1909"/>
      <c r="AD7" s="2401"/>
      <c r="AE7" s="2401"/>
      <c r="AF7" s="2401"/>
      <c r="AG7" s="2401"/>
      <c r="AH7" s="2401"/>
      <c r="AI7" s="2401"/>
      <c r="AJ7" s="2402"/>
    </row>
    <row r="8" spans="1:39" ht="25.5">
      <c r="A8" s="3519"/>
      <c r="B8" s="1264" t="s">
        <v>862</v>
      </c>
      <c r="C8" s="3520" t="s">
        <v>3508</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f t="shared" si="0"/>
        <v>0</v>
      </c>
      <c r="U8" s="2398"/>
      <c r="V8" s="2408">
        <f t="shared" si="1"/>
        <v>0</v>
      </c>
      <c r="W8" s="4014" t="s">
        <v>2056</v>
      </c>
      <c r="X8" s="4015"/>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f t="shared" si="0"/>
        <v>0</v>
      </c>
      <c r="U9" s="2398"/>
      <c r="V9" s="2408">
        <f t="shared" si="1"/>
        <v>0</v>
      </c>
      <c r="W9" s="4013"/>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f t="shared" si="0"/>
        <v>0</v>
      </c>
      <c r="U10" s="2398"/>
      <c r="V10" s="2408">
        <f t="shared" si="1"/>
        <v>0</v>
      </c>
      <c r="W10" s="4013"/>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f>ROUND(G18/I18,2)</f>
        <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0.96709999999999996</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07" t="s">
        <v>1370</v>
      </c>
      <c r="B20" s="1273" t="s">
        <v>875</v>
      </c>
      <c r="C20" s="993">
        <f>ROUND(IF(F21="与级别开发程度一致",0,(G21-E21)/C21),0)</f>
        <v>-36</v>
      </c>
      <c r="D20" s="4019" t="s">
        <v>879</v>
      </c>
      <c r="E20" s="4020"/>
      <c r="F20" s="4019" t="s">
        <v>876</v>
      </c>
      <c r="G20" s="4020"/>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08"/>
      <c r="B21" s="2599" t="s">
        <v>878</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3509</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882</v>
      </c>
      <c r="E23" s="995">
        <v>44197</v>
      </c>
      <c r="F23" s="1292" t="s">
        <v>883</v>
      </c>
      <c r="G23" s="996">
        <f>'数据-取费表'!B2</f>
        <v>45141</v>
      </c>
      <c r="H23" s="1293" t="s">
        <v>2232</v>
      </c>
      <c r="I23" s="2260" t="str">
        <f>IF(H23="季度增幅（自定义）",SUMIF(N25:N28,E2,O25:O28),"")</f>
        <v/>
      </c>
      <c r="J23" s="3554" t="s">
        <v>3510</v>
      </c>
      <c r="K23" s="2964"/>
      <c r="L23" s="2503" t="s">
        <v>2112</v>
      </c>
      <c r="M23" s="2504">
        <f>ROUND(SUMIF(地价!B2:F2,E2,地价!B41:F41),0)</f>
        <v>423</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f>ROUND(POWER(1+G24,J24-I24)*(POWER(1+G24,I24)-1)/(POWER(1+G24,J24)-1),4)</f>
        <v>0.99980000000000002</v>
      </c>
      <c r="D24" s="2257" t="s">
        <v>897</v>
      </c>
      <c r="E24" s="2532">
        <f>存贷款利率!E23/100</f>
        <v>4.3499999999999997E-2</v>
      </c>
      <c r="F24" s="2257" t="s">
        <v>898</v>
      </c>
      <c r="G24" s="2258">
        <f>SUMIF(M30:Q30,E2,M33:Q33)</f>
        <v>0.05</v>
      </c>
      <c r="H24" s="2257" t="s">
        <v>899</v>
      </c>
      <c r="I24" s="2253">
        <f>SUMIF('数据-取费表'!C6:C15,E2,'数据-取费表'!F6:F15)/COUNTIF('数据-取费表'!C6:C15,E2)</f>
        <v>69.900000000000006</v>
      </c>
      <c r="J24" s="2259">
        <f>IF(E2="住宅",70,IF(E2="商业",40,50))</f>
        <v>70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1.2112000000000001</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1.0407</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f>IF(B25="容积率修正",E33+SUM(E37:E42),SUM(V2:V16)+SUM(E37:E42))</f>
        <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f>E34+SUM(I37:I42)</f>
        <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f>ROUND(C5*C22*C23*C24*C25*C28,0)</f>
        <v>0</v>
      </c>
      <c r="D33" s="1321"/>
      <c r="E33" s="1629">
        <f>ROUND(C33*D33/10000,0)</f>
        <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f>ROUND(IF(E2="工业",C33*M42,IF(B25="楼层修正",SUM(V2:V16)*M41*10000/D34,C33*M41)),0)</f>
        <v>0</v>
      </c>
      <c r="D34" s="1326"/>
      <c r="E34" s="1629">
        <f>ROUND(IF(B25="楼层修正",SUM(V2:V16)*#REF!,C34*D34/10000),0)</f>
        <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1"/>
      <c r="B37" s="1339" t="s">
        <v>923</v>
      </c>
      <c r="C37" s="1000">
        <f>ROUND(D5*C22*C23*C24*C28*F37,0)</f>
        <v>0</v>
      </c>
      <c r="D37" s="1351"/>
      <c r="E37" s="991">
        <f>ROUND(C37*D37/10000,0)</f>
        <v>0</v>
      </c>
      <c r="F37" s="991">
        <f>SUMIF(修正!A57:A68,G2,修正!B57:B68)</f>
        <v>0.6</v>
      </c>
      <c r="G37" s="991">
        <f>ROUND(IF(E2="工业",C37*$M$42,C37*$M$41),0)</f>
        <v>0</v>
      </c>
      <c r="H37" s="991">
        <f>D37</f>
        <v>0</v>
      </c>
      <c r="I37" s="991">
        <f>ROUND(G37*H37/10000,0)</f>
        <v>0</v>
      </c>
      <c r="J37" s="4011"/>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2"/>
      <c r="B38" s="1283" t="s">
        <v>924</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12"/>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2"/>
      <c r="B39" s="3558" t="s">
        <v>3204</v>
      </c>
      <c r="C39" s="1000">
        <f>ROUND(D5*C22*C23*C24*C28*F39,0)</f>
        <v>0</v>
      </c>
      <c r="D39" s="1351"/>
      <c r="E39" s="991">
        <f t="shared" si="4"/>
        <v>0</v>
      </c>
      <c r="F39" s="991">
        <f>SUMIF(修正!A57:A68,G2,修正!D57:D68)</f>
        <v>0.25</v>
      </c>
      <c r="G39" s="991">
        <f>ROUND(IF(E2="工业",C39*$M$42,C39*$M$41),0)</f>
        <v>0</v>
      </c>
      <c r="H39" s="991">
        <f t="shared" si="5"/>
        <v>0</v>
      </c>
      <c r="I39" s="991">
        <f t="shared" si="6"/>
        <v>0</v>
      </c>
      <c r="J39" s="4012"/>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f>ROUND(POWER(1+E44,H44-G44)*(POWER(1+E44,G44)-1)/(POWER(1+E44,H44)-1),4)</f>
        <v>0.99950000000000006</v>
      </c>
      <c r="D44" s="363" t="s">
        <v>2226</v>
      </c>
      <c r="E44" s="2579">
        <f>G24</f>
        <v>0.05</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3264</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3264</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3262</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3262</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3264</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3262</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3264</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七通</v>
      </c>
      <c r="C57" s="3585" t="s">
        <v>3511</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3262</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3264</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3264</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3262</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3262</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3264</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3262</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3264</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七通</v>
      </c>
      <c r="C68" s="3585" t="s">
        <v>3511</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3262</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f>1+E72</f>
        <v>1.0407</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3262</v>
      </c>
      <c r="D72" s="3586">
        <f t="shared" ref="D72:D80" si="19">SUMIF($J$71:$N$71,C72,J72:N72)</f>
        <v>1.26E-2</v>
      </c>
      <c r="E72" s="3587">
        <f>ROUND(SUM(D72:D80),4)</f>
        <v>4.07E-2</v>
      </c>
      <c r="F72" s="3588">
        <f>IF(E2="住宅",SUMIF(L1:L12,G2,N1:N12),"——")</f>
        <v>0.126</v>
      </c>
      <c r="G72" s="3603">
        <f t="shared" ref="G72:G80" si="20">H72</f>
        <v>1.26E-2</v>
      </c>
      <c r="H72" s="3604">
        <f t="shared" ref="H72:H80" si="21">IFERROR(ROUNDDOWN($F$72*I72/2,4),"——")</f>
        <v>1.26E-2</v>
      </c>
      <c r="I72" s="3564">
        <v>0.2</v>
      </c>
      <c r="J72" s="3591">
        <f t="shared" ref="J72:J80" si="22">K72+$G72</f>
        <v>2.52E-2</v>
      </c>
      <c r="K72" s="3591">
        <f t="shared" ref="K72:K80" si="23">$L72+$G72</f>
        <v>1.26E-2</v>
      </c>
      <c r="L72" s="3591">
        <v>0</v>
      </c>
      <c r="M72" s="3591">
        <f t="shared" ref="M72:N80" si="24">L72-$G72</f>
        <v>-1.26E-2</v>
      </c>
      <c r="N72" s="3591">
        <f t="shared" si="24"/>
        <v>-2.52E-2</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3264</v>
      </c>
      <c r="D73" s="3586">
        <f t="shared" si="19"/>
        <v>0</v>
      </c>
      <c r="E73" s="3592"/>
      <c r="F73" s="3588"/>
      <c r="G73" s="3603">
        <f t="shared" si="20"/>
        <v>1.6299999999999999E-2</v>
      </c>
      <c r="H73" s="3604">
        <f t="shared" si="21"/>
        <v>1.6299999999999999E-2</v>
      </c>
      <c r="I73" s="3564">
        <v>0.26</v>
      </c>
      <c r="J73" s="3591">
        <f t="shared" si="22"/>
        <v>3.2599999999999997E-2</v>
      </c>
      <c r="K73" s="3591">
        <f t="shared" si="23"/>
        <v>1.6299999999999999E-2</v>
      </c>
      <c r="L73" s="3591">
        <v>0</v>
      </c>
      <c r="M73" s="3591">
        <f t="shared" si="24"/>
        <v>-1.6299999999999999E-2</v>
      </c>
      <c r="N73" s="3591">
        <f t="shared" si="24"/>
        <v>-3.2599999999999997E-2</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3262</v>
      </c>
      <c r="D74" s="3586">
        <f t="shared" si="19"/>
        <v>6.3E-3</v>
      </c>
      <c r="E74" s="3592"/>
      <c r="F74" s="3588"/>
      <c r="G74" s="3603">
        <f t="shared" si="20"/>
        <v>6.3E-3</v>
      </c>
      <c r="H74" s="3604">
        <f t="shared" si="21"/>
        <v>6.3E-3</v>
      </c>
      <c r="I74" s="3564">
        <v>0.1</v>
      </c>
      <c r="J74" s="3591">
        <f t="shared" si="22"/>
        <v>1.26E-2</v>
      </c>
      <c r="K74" s="3591">
        <f t="shared" si="23"/>
        <v>6.3E-3</v>
      </c>
      <c r="L74" s="3591">
        <v>0</v>
      </c>
      <c r="M74" s="3591">
        <f t="shared" si="24"/>
        <v>-6.3E-3</v>
      </c>
      <c r="N74" s="3591">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3264</v>
      </c>
      <c r="D75" s="3586">
        <f t="shared" si="19"/>
        <v>0</v>
      </c>
      <c r="E75" s="3592"/>
      <c r="F75" s="3588"/>
      <c r="G75" s="3603">
        <f t="shared" si="20"/>
        <v>3.0999999999999999E-3</v>
      </c>
      <c r="H75" s="3604">
        <f t="shared" si="21"/>
        <v>3.0999999999999999E-3</v>
      </c>
      <c r="I75" s="3564">
        <v>0.05</v>
      </c>
      <c r="J75" s="3591">
        <f t="shared" si="22"/>
        <v>6.1999999999999998E-3</v>
      </c>
      <c r="K75" s="3591">
        <f t="shared" si="23"/>
        <v>3.0999999999999999E-3</v>
      </c>
      <c r="L75" s="3591">
        <v>0</v>
      </c>
      <c r="M75" s="3591">
        <f t="shared" si="24"/>
        <v>-3.0999999999999999E-3</v>
      </c>
      <c r="N75" s="3591">
        <f t="shared" si="24"/>
        <v>-6.1999999999999998E-3</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3264</v>
      </c>
      <c r="D76" s="3586">
        <f t="shared" si="19"/>
        <v>0</v>
      </c>
      <c r="E76" s="3592"/>
      <c r="F76" s="3588"/>
      <c r="G76" s="3603">
        <f t="shared" si="20"/>
        <v>5.0000000000000001E-3</v>
      </c>
      <c r="H76" s="3604">
        <f t="shared" si="21"/>
        <v>5.0000000000000001E-3</v>
      </c>
      <c r="I76" s="3564">
        <v>0.08</v>
      </c>
      <c r="J76" s="3591">
        <f t="shared" si="22"/>
        <v>0.01</v>
      </c>
      <c r="K76" s="3591">
        <f t="shared" si="23"/>
        <v>5.0000000000000001E-3</v>
      </c>
      <c r="L76" s="3591">
        <v>0</v>
      </c>
      <c r="M76" s="3591">
        <f t="shared" si="24"/>
        <v>-5.0000000000000001E-3</v>
      </c>
      <c r="N76" s="3591">
        <f t="shared" si="24"/>
        <v>-0.01</v>
      </c>
      <c r="O76" s="3571"/>
      <c r="P76" s="1914"/>
      <c r="Q76" s="1914"/>
      <c r="AE76" s="3571"/>
      <c r="AF76" s="3571"/>
      <c r="AG76" s="3571"/>
      <c r="AH76" s="3571"/>
      <c r="AI76" s="3571"/>
      <c r="AJ76" s="3571"/>
    </row>
    <row r="77" spans="1:36" s="1343" customFormat="1" ht="24">
      <c r="A77" s="3577" t="s">
        <v>949</v>
      </c>
      <c r="B77" s="3596" t="str">
        <f>估价对象房地状况!C22</f>
        <v>七通</v>
      </c>
      <c r="C77" s="3602" t="s">
        <v>3511</v>
      </c>
      <c r="D77" s="3586">
        <f t="shared" si="19"/>
        <v>1.12E-2</v>
      </c>
      <c r="E77" s="3592"/>
      <c r="F77" s="3588"/>
      <c r="G77" s="3603">
        <f t="shared" si="20"/>
        <v>5.5999999999999999E-3</v>
      </c>
      <c r="H77" s="3604">
        <f t="shared" si="21"/>
        <v>5.5999999999999999E-3</v>
      </c>
      <c r="I77" s="3564">
        <v>0.09</v>
      </c>
      <c r="J77" s="3591">
        <f t="shared" si="22"/>
        <v>1.12E-2</v>
      </c>
      <c r="K77" s="3591">
        <f t="shared" si="23"/>
        <v>5.5999999999999999E-3</v>
      </c>
      <c r="L77" s="3591">
        <v>0</v>
      </c>
      <c r="M77" s="3591">
        <f t="shared" si="24"/>
        <v>-5.5999999999999999E-3</v>
      </c>
      <c r="N77" s="3591">
        <f t="shared" si="24"/>
        <v>-1.12E-2</v>
      </c>
      <c r="O77" s="3571"/>
      <c r="P77" s="1914"/>
      <c r="Q77" s="1914"/>
      <c r="AE77" s="3571"/>
      <c r="AF77" s="3571"/>
      <c r="AG77" s="3571"/>
      <c r="AH77" s="3571"/>
      <c r="AI77" s="3571"/>
      <c r="AJ77" s="3571"/>
    </row>
    <row r="78" spans="1:36" s="1343" customFormat="1" ht="24">
      <c r="A78" s="3577" t="s">
        <v>947</v>
      </c>
      <c r="B78" s="3594" t="s">
        <v>2184</v>
      </c>
      <c r="C78" s="3602" t="s">
        <v>3262</v>
      </c>
      <c r="D78" s="3586">
        <f t="shared" si="19"/>
        <v>3.0999999999999999E-3</v>
      </c>
      <c r="E78" s="3592"/>
      <c r="F78" s="3588"/>
      <c r="G78" s="3603">
        <f t="shared" si="20"/>
        <v>3.0999999999999999E-3</v>
      </c>
      <c r="H78" s="3604">
        <f t="shared" si="21"/>
        <v>3.0999999999999999E-3</v>
      </c>
      <c r="I78" s="3564">
        <v>0.05</v>
      </c>
      <c r="J78" s="3591">
        <f t="shared" si="22"/>
        <v>6.1999999999999998E-3</v>
      </c>
      <c r="K78" s="3591">
        <f t="shared" si="23"/>
        <v>3.0999999999999999E-3</v>
      </c>
      <c r="L78" s="3591">
        <v>0</v>
      </c>
      <c r="M78" s="3591">
        <f t="shared" si="24"/>
        <v>-3.0999999999999999E-3</v>
      </c>
      <c r="N78" s="3591">
        <f t="shared" si="24"/>
        <v>-6.1999999999999998E-3</v>
      </c>
      <c r="O78" s="3571"/>
      <c r="P78" s="1914"/>
      <c r="Q78" s="1914"/>
      <c r="AE78" s="3571"/>
      <c r="AF78" s="3571"/>
      <c r="AG78" s="3571"/>
      <c r="AH78" s="3571"/>
      <c r="AI78" s="3571"/>
      <c r="AJ78" s="3571"/>
    </row>
    <row r="79" spans="1:36" s="1343" customFormat="1" ht="24">
      <c r="A79" s="3577" t="s">
        <v>950</v>
      </c>
      <c r="B79" s="3584" t="str">
        <f>估价对象房地状况!C20</f>
        <v>较好</v>
      </c>
      <c r="C79" s="3602" t="s">
        <v>3262</v>
      </c>
      <c r="D79" s="3586">
        <f t="shared" si="19"/>
        <v>7.4999999999999997E-3</v>
      </c>
      <c r="E79" s="3592"/>
      <c r="F79" s="3588"/>
      <c r="G79" s="3603">
        <f t="shared" si="20"/>
        <v>7.4999999999999997E-3</v>
      </c>
      <c r="H79" s="3604">
        <f t="shared" si="21"/>
        <v>7.4999999999999997E-3</v>
      </c>
      <c r="I79" s="3564">
        <v>0.12</v>
      </c>
      <c r="J79" s="3591">
        <f t="shared" si="22"/>
        <v>1.4999999999999999E-2</v>
      </c>
      <c r="K79" s="3591">
        <f t="shared" si="23"/>
        <v>7.4999999999999997E-3</v>
      </c>
      <c r="L79" s="3591">
        <v>0</v>
      </c>
      <c r="M79" s="3591">
        <f t="shared" si="24"/>
        <v>-7.4999999999999997E-3</v>
      </c>
      <c r="N79" s="3591">
        <f t="shared" si="24"/>
        <v>-1.4999999999999999E-2</v>
      </c>
      <c r="P79" s="3605"/>
      <c r="Q79" s="3605"/>
      <c r="AE79" s="3571"/>
      <c r="AF79" s="3571"/>
      <c r="AG79" s="3571"/>
      <c r="AH79" s="3571"/>
      <c r="AI79" s="3571"/>
      <c r="AJ79" s="3571"/>
    </row>
    <row r="80" spans="1:36" s="1343" customFormat="1" ht="24.75" thickBot="1">
      <c r="A80" s="3597" t="s">
        <v>957</v>
      </c>
      <c r="B80" s="3606"/>
      <c r="C80" s="3602" t="s">
        <v>3264</v>
      </c>
      <c r="D80" s="3586">
        <f t="shared" si="19"/>
        <v>0</v>
      </c>
      <c r="E80" s="3599"/>
      <c r="F80" s="3588"/>
      <c r="G80" s="3603">
        <f t="shared" si="20"/>
        <v>3.0999999999999999E-3</v>
      </c>
      <c r="H80" s="3604">
        <f t="shared" si="21"/>
        <v>3.0999999999999999E-3</v>
      </c>
      <c r="I80" s="3566">
        <v>0.05</v>
      </c>
      <c r="J80" s="3591">
        <f t="shared" si="22"/>
        <v>6.1999999999999998E-3</v>
      </c>
      <c r="K80" s="3591">
        <f t="shared" si="23"/>
        <v>3.0999999999999999E-3</v>
      </c>
      <c r="L80" s="3591">
        <v>0</v>
      </c>
      <c r="M80" s="3591">
        <f t="shared" si="24"/>
        <v>-3.0999999999999999E-3</v>
      </c>
      <c r="N80" s="3591">
        <f t="shared" si="24"/>
        <v>-6.1999999999999998E-3</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3262</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3262</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3262</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3264</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3264</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3511</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3262</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3262</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3262</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3262</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3262</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3262</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3264</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3262</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3264</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七通</v>
      </c>
      <c r="C100" s="3585" t="s">
        <v>3511</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3262</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09" t="s">
        <v>1172</v>
      </c>
      <c r="B104" s="4009"/>
      <c r="C104" s="4009"/>
      <c r="D104" s="4009"/>
      <c r="E104" s="4009"/>
      <c r="F104" s="4009"/>
      <c r="G104" s="4009"/>
      <c r="H104" s="4009"/>
      <c r="I104" s="4009"/>
      <c r="J104" s="4009"/>
      <c r="K104" s="2097"/>
      <c r="L104" s="2097"/>
      <c r="M104" s="2097"/>
      <c r="N104" s="2097"/>
    </row>
    <row r="105" spans="1:36">
      <c r="A105" s="4010" t="s">
        <v>1161</v>
      </c>
      <c r="B105" s="4010" t="s">
        <v>1173</v>
      </c>
      <c r="C105" s="1036" t="s">
        <v>1174</v>
      </c>
      <c r="D105" s="1037"/>
      <c r="E105" s="1037"/>
      <c r="F105" s="1037"/>
      <c r="G105" s="1037"/>
      <c r="H105" s="1037"/>
      <c r="I105" s="1037"/>
      <c r="J105" s="1038"/>
      <c r="K105" s="1030"/>
      <c r="L105" s="1030"/>
      <c r="M105" s="1030"/>
      <c r="N105" s="1030"/>
    </row>
    <row r="106" spans="1:36">
      <c r="A106" s="4010"/>
      <c r="B106" s="4010"/>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16"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7"/>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7"/>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7"/>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7"/>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7"/>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18"/>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06" t="s">
        <v>1175</v>
      </c>
      <c r="B114" s="4006"/>
      <c r="C114" s="4006"/>
      <c r="D114" s="4006"/>
      <c r="E114" s="4006"/>
      <c r="F114" s="4006"/>
      <c r="G114" s="4006"/>
      <c r="H114" s="4006"/>
      <c r="I114" s="4006"/>
      <c r="J114" s="4006"/>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t="str">
        <f>E2</f>
        <v>住宅</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4" t="s">
        <v>1659</v>
      </c>
      <c r="D1" s="4025"/>
      <c r="E1" s="4025"/>
      <c r="F1" s="4025"/>
      <c r="G1" s="4025"/>
      <c r="H1" s="4025"/>
      <c r="I1" s="4025"/>
      <c r="J1" s="4025"/>
      <c r="K1" s="4025"/>
      <c r="L1" s="4025"/>
      <c r="M1" s="4025"/>
      <c r="N1" s="4025"/>
      <c r="O1" s="4025"/>
      <c r="P1" s="4025"/>
      <c r="Q1" s="4025"/>
      <c r="R1" s="4025"/>
      <c r="S1" s="4026"/>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8" sqref="G8"/>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3569</v>
      </c>
      <c r="G1" s="3667" t="s">
        <v>3591</v>
      </c>
    </row>
    <row r="2" spans="1:7">
      <c r="A2" s="2977" t="s">
        <v>3570</v>
      </c>
      <c r="B2" s="2977" t="s">
        <v>3571</v>
      </c>
    </row>
    <row r="3" spans="1:7">
      <c r="A3" s="2977" t="s">
        <v>3572</v>
      </c>
      <c r="B3">
        <v>73887.384999999995</v>
      </c>
    </row>
    <row r="4" spans="1:7">
      <c r="A4" s="2977" t="s">
        <v>3573</v>
      </c>
      <c r="B4" s="2977" t="s">
        <v>3786</v>
      </c>
    </row>
    <row r="5" spans="1:7">
      <c r="A5" s="2977" t="s">
        <v>3574</v>
      </c>
      <c r="B5" s="2977" t="s">
        <v>3575</v>
      </c>
    </row>
    <row r="6" spans="1:7">
      <c r="A6" s="2977" t="s">
        <v>3576</v>
      </c>
      <c r="B6" s="2977" t="s">
        <v>3577</v>
      </c>
      <c r="C6">
        <v>70</v>
      </c>
      <c r="D6" s="2977" t="s">
        <v>3582</v>
      </c>
    </row>
    <row r="7" spans="1:7">
      <c r="B7" s="2977" t="s">
        <v>3578</v>
      </c>
      <c r="C7">
        <v>40</v>
      </c>
      <c r="D7" s="2977" t="s">
        <v>3582</v>
      </c>
    </row>
    <row r="8" spans="1:7">
      <c r="B8" s="2977" t="s">
        <v>3579</v>
      </c>
      <c r="C8">
        <v>50</v>
      </c>
      <c r="D8" s="2977" t="s">
        <v>3582</v>
      </c>
      <c r="G8">
        <f>B9-G10</f>
        <v>534750</v>
      </c>
    </row>
    <row r="9" spans="1:7">
      <c r="A9" s="2977" t="s">
        <v>3580</v>
      </c>
      <c r="B9">
        <v>793500</v>
      </c>
      <c r="C9" s="2977" t="s">
        <v>3581</v>
      </c>
      <c r="F9" s="2977" t="s">
        <v>3623</v>
      </c>
      <c r="G9" s="2977" t="s">
        <v>3581</v>
      </c>
    </row>
    <row r="10" spans="1:7">
      <c r="A10" s="2977" t="s">
        <v>3583</v>
      </c>
      <c r="B10">
        <v>88608</v>
      </c>
      <c r="C10" s="2977" t="s">
        <v>3584</v>
      </c>
      <c r="E10" s="2977" t="s">
        <v>3619</v>
      </c>
      <c r="G10">
        <f>G11+G12</f>
        <v>258750</v>
      </c>
    </row>
    <row r="11" spans="1:7">
      <c r="A11" s="2977" t="s">
        <v>3585</v>
      </c>
      <c r="B11" s="2977" t="s">
        <v>3586</v>
      </c>
      <c r="E11" s="2977" t="s">
        <v>3620</v>
      </c>
      <c r="F11">
        <v>1752627400</v>
      </c>
      <c r="G11">
        <f>F11/10000</f>
        <v>175262.74</v>
      </c>
    </row>
    <row r="12" spans="1:7">
      <c r="A12" s="2977" t="s">
        <v>3587</v>
      </c>
      <c r="B12">
        <v>89552.294999999998</v>
      </c>
      <c r="E12" t="str">
        <f>E11</f>
        <v>地价款</v>
      </c>
      <c r="F12">
        <v>834872600</v>
      </c>
      <c r="G12">
        <f>F12/10000</f>
        <v>83487.259999999995</v>
      </c>
    </row>
    <row r="13" spans="1:7">
      <c r="A13" s="2977" t="s">
        <v>3588</v>
      </c>
      <c r="B13" s="3666">
        <v>45457</v>
      </c>
    </row>
    <row r="14" spans="1:7">
      <c r="A14" s="2977" t="s">
        <v>3589</v>
      </c>
      <c r="B14" s="3666">
        <v>46552</v>
      </c>
      <c r="E14" s="2977" t="s">
        <v>3621</v>
      </c>
      <c r="F14">
        <v>238050000</v>
      </c>
      <c r="G14">
        <f>F14/10000</f>
        <v>23805</v>
      </c>
    </row>
    <row r="15" spans="1:7">
      <c r="A15" s="2977" t="s">
        <v>3590</v>
      </c>
      <c r="B15" s="3666">
        <v>45091</v>
      </c>
      <c r="E15" s="2977" t="s">
        <v>3622</v>
      </c>
      <c r="F15">
        <v>1983750</v>
      </c>
      <c r="G15">
        <f>F15/10000</f>
        <v>198.375</v>
      </c>
    </row>
    <row r="17" spans="1:3">
      <c r="A17" s="3667" t="s">
        <v>3593</v>
      </c>
      <c r="B17" s="2977" t="s">
        <v>3594</v>
      </c>
    </row>
    <row r="18" spans="1:3">
      <c r="A18" s="2977" t="s">
        <v>3595</v>
      </c>
      <c r="B18" s="3268">
        <f>B12</f>
        <v>89552.294999999998</v>
      </c>
    </row>
    <row r="19" spans="1:3">
      <c r="A19" s="2977" t="s">
        <v>3596</v>
      </c>
      <c r="B19" s="2977" t="s">
        <v>3597</v>
      </c>
    </row>
    <row r="21" spans="1:3">
      <c r="A21" s="3667" t="s">
        <v>3593</v>
      </c>
      <c r="B21" t="str">
        <f>B17</f>
        <v>补充协议</v>
      </c>
    </row>
    <row r="22" spans="1:3">
      <c r="A22" s="2977" t="s">
        <v>3570</v>
      </c>
      <c r="B22" s="2977" t="s">
        <v>3599</v>
      </c>
    </row>
    <row r="24" spans="1:3">
      <c r="A24" s="3667" t="s">
        <v>3624</v>
      </c>
    </row>
    <row r="25" spans="1:3">
      <c r="A25" s="2977" t="s">
        <v>3625</v>
      </c>
      <c r="B25">
        <v>121000</v>
      </c>
      <c r="C25" s="2977" t="s">
        <v>3626</v>
      </c>
    </row>
    <row r="27" spans="1:3">
      <c r="A27" s="3667" t="s">
        <v>3627</v>
      </c>
    </row>
    <row r="29" spans="1:3">
      <c r="A29" s="2977" t="s">
        <v>3628</v>
      </c>
      <c r="B29">
        <v>889048.11</v>
      </c>
    </row>
    <row r="30" spans="1:3">
      <c r="A30" s="2977" t="s">
        <v>3629</v>
      </c>
      <c r="B30">
        <v>817701.75</v>
      </c>
    </row>
    <row r="31" spans="1:3">
      <c r="A31" s="2977" t="s">
        <v>3630</v>
      </c>
      <c r="B31">
        <v>58968.98</v>
      </c>
    </row>
    <row r="32" spans="1:3">
      <c r="A32" s="2977" t="s">
        <v>3631</v>
      </c>
      <c r="B32">
        <v>8979.93</v>
      </c>
    </row>
    <row r="33" spans="1:2">
      <c r="A33" s="2977" t="s">
        <v>3632</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D3" sqref="D3"/>
    </sheetView>
  </sheetViews>
  <sheetFormatPr defaultRowHeight="13.5"/>
  <cols>
    <col min="1" max="1" width="15.25" customWidth="1"/>
    <col min="2" max="4" width="9" style="3689"/>
    <col min="5" max="7" width="9" style="3691"/>
    <col min="8" max="10" width="9" style="3693"/>
  </cols>
  <sheetData>
    <row r="1" spans="1:10">
      <c r="A1" s="2977" t="s">
        <v>3753</v>
      </c>
      <c r="B1" s="3688" t="s">
        <v>3755</v>
      </c>
      <c r="C1" s="3688" t="s">
        <v>3586</v>
      </c>
      <c r="D1" s="3688" t="s">
        <v>3758</v>
      </c>
      <c r="E1" s="3690" t="s">
        <v>3755</v>
      </c>
      <c r="F1" s="3690" t="s">
        <v>3756</v>
      </c>
      <c r="G1" s="3690" t="s">
        <v>3758</v>
      </c>
      <c r="H1" s="3692" t="s">
        <v>3755</v>
      </c>
      <c r="I1" s="3692" t="s">
        <v>3757</v>
      </c>
      <c r="J1" s="3692" t="s">
        <v>3758</v>
      </c>
    </row>
    <row r="2" spans="1:10">
      <c r="A2" s="2977" t="s">
        <v>3779</v>
      </c>
      <c r="B2" s="3694">
        <v>45108</v>
      </c>
      <c r="C2" s="3689">
        <v>89787</v>
      </c>
      <c r="D2" s="3689">
        <f>916/4</f>
        <v>229</v>
      </c>
      <c r="E2" s="3695">
        <v>45108</v>
      </c>
      <c r="F2" s="3691">
        <v>33000</v>
      </c>
      <c r="G2" s="3691">
        <v>34.4</v>
      </c>
      <c r="H2" s="3696">
        <v>45108</v>
      </c>
      <c r="I2" s="3693">
        <v>42.96</v>
      </c>
      <c r="J2" s="3693">
        <v>40.54</v>
      </c>
    </row>
    <row r="3" spans="1:10">
      <c r="A3" s="3703" t="s">
        <v>3774</v>
      </c>
      <c r="B3" s="3704">
        <v>45078</v>
      </c>
      <c r="C3" s="3705">
        <v>92743</v>
      </c>
      <c r="D3" s="3705">
        <v>291</v>
      </c>
    </row>
    <row r="4" spans="1:10">
      <c r="A4" s="3703" t="s">
        <v>3773</v>
      </c>
      <c r="B4" s="3704">
        <v>44986</v>
      </c>
      <c r="C4" s="3705">
        <v>112650</v>
      </c>
      <c r="D4" s="3705">
        <v>189</v>
      </c>
      <c r="E4" s="3695">
        <v>44805</v>
      </c>
      <c r="F4" s="3691">
        <v>33000</v>
      </c>
      <c r="G4" s="3691">
        <v>39.25</v>
      </c>
      <c r="H4" s="3696">
        <v>45078</v>
      </c>
      <c r="I4" s="3693">
        <v>41</v>
      </c>
      <c r="J4" s="3693">
        <v>38</v>
      </c>
    </row>
    <row r="5" spans="1:10">
      <c r="A5" s="3697" t="s">
        <v>3759</v>
      </c>
      <c r="B5" s="3698">
        <v>44866</v>
      </c>
      <c r="C5" s="3699">
        <v>99980</v>
      </c>
      <c r="D5" s="3699">
        <v>512</v>
      </c>
      <c r="E5" s="3700"/>
      <c r="F5" s="3700"/>
      <c r="G5" s="3700"/>
      <c r="H5" s="3701">
        <v>44986</v>
      </c>
      <c r="I5" s="3702">
        <v>39.71</v>
      </c>
      <c r="J5" s="3702">
        <v>35</v>
      </c>
    </row>
    <row r="6" spans="1:10">
      <c r="A6" s="3703" t="s">
        <v>3778</v>
      </c>
      <c r="B6" s="3704">
        <v>44835</v>
      </c>
      <c r="C6" s="3705">
        <v>96283</v>
      </c>
      <c r="D6" s="3705">
        <v>240</v>
      </c>
      <c r="E6" s="3695">
        <v>44835</v>
      </c>
      <c r="F6" s="3691">
        <v>31350</v>
      </c>
      <c r="G6" s="3691">
        <v>78.5</v>
      </c>
      <c r="H6" s="3696">
        <v>45108</v>
      </c>
      <c r="I6" s="3693">
        <v>42.24</v>
      </c>
      <c r="J6" s="3693">
        <v>50</v>
      </c>
    </row>
    <row r="7" spans="1:10">
      <c r="A7" s="2977"/>
      <c r="B7" s="3694"/>
      <c r="E7" s="3695"/>
      <c r="H7" s="3696"/>
    </row>
    <row r="8" spans="1:10">
      <c r="B8" s="3688" t="s">
        <v>3761</v>
      </c>
      <c r="C8" s="3688" t="s">
        <v>3764</v>
      </c>
      <c r="D8" s="3688" t="s">
        <v>3766</v>
      </c>
      <c r="E8" s="3690" t="s">
        <v>3767</v>
      </c>
      <c r="F8" s="3690" t="s">
        <v>3768</v>
      </c>
    </row>
    <row r="9" spans="1:10">
      <c r="A9" s="2977" t="s">
        <v>3754</v>
      </c>
      <c r="B9" s="3688" t="s">
        <v>3763</v>
      </c>
      <c r="C9" s="3688" t="s">
        <v>3772</v>
      </c>
      <c r="D9" s="3689">
        <v>2021</v>
      </c>
      <c r="E9" s="3691">
        <v>17.55</v>
      </c>
      <c r="F9" s="3691">
        <v>1.6</v>
      </c>
    </row>
    <row r="10" spans="1:10">
      <c r="A10" s="3697" t="s">
        <v>3774</v>
      </c>
      <c r="B10" s="3699" t="s">
        <v>3763</v>
      </c>
      <c r="C10" s="3699" t="s">
        <v>3765</v>
      </c>
      <c r="D10" s="3699">
        <v>2021</v>
      </c>
      <c r="E10" s="3700">
        <v>16.3</v>
      </c>
      <c r="F10" s="3700">
        <v>1.75</v>
      </c>
    </row>
    <row r="11" spans="1:10">
      <c r="A11" s="3697" t="s">
        <v>3773</v>
      </c>
      <c r="B11" s="3699" t="s">
        <v>3769</v>
      </c>
      <c r="C11" s="3699" t="s">
        <v>3772</v>
      </c>
      <c r="D11" s="3699">
        <v>2022</v>
      </c>
      <c r="E11" s="3700">
        <v>7.7</v>
      </c>
      <c r="F11" s="3700">
        <v>1.5</v>
      </c>
    </row>
    <row r="12" spans="1:10">
      <c r="A12" s="2977" t="s">
        <v>3759</v>
      </c>
      <c r="B12" s="3688" t="s">
        <v>3763</v>
      </c>
      <c r="C12" s="3688" t="s">
        <v>3771</v>
      </c>
      <c r="D12" s="3689">
        <v>2014</v>
      </c>
      <c r="E12" s="3691">
        <v>25</v>
      </c>
      <c r="F12" s="3691">
        <v>1.34</v>
      </c>
    </row>
    <row r="13" spans="1:10">
      <c r="A13" s="3697" t="s">
        <v>3760</v>
      </c>
      <c r="B13" s="3699" t="s">
        <v>3769</v>
      </c>
      <c r="C13" s="3699" t="s">
        <v>3772</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4" t="s">
        <v>1554</v>
      </c>
      <c r="B1" s="3714"/>
      <c r="C1" s="3714"/>
      <c r="D1" s="3714"/>
      <c r="E1" s="3714"/>
      <c r="F1" s="3714"/>
      <c r="G1" s="3714"/>
      <c r="H1" s="3714"/>
      <c r="I1" s="3714"/>
      <c r="J1" s="3714"/>
      <c r="K1" s="3714"/>
      <c r="L1" s="3714"/>
      <c r="M1" s="3714"/>
      <c r="N1" s="3714"/>
      <c r="O1" s="3714"/>
      <c r="P1" s="3714"/>
      <c r="Q1" s="3714"/>
      <c r="R1" s="3714"/>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5" t="s">
        <v>1545</v>
      </c>
      <c r="B3" s="3715" t="s">
        <v>2009</v>
      </c>
      <c r="C3" s="3716" t="s">
        <v>1546</v>
      </c>
      <c r="D3" s="3715" t="s">
        <v>2013</v>
      </c>
      <c r="E3" s="3718" t="s">
        <v>1547</v>
      </c>
      <c r="F3" s="3718"/>
      <c r="G3" s="3718"/>
      <c r="H3" s="3718" t="s">
        <v>1548</v>
      </c>
      <c r="I3" s="3718"/>
      <c r="J3" s="3718"/>
      <c r="K3" s="3716" t="s">
        <v>1549</v>
      </c>
      <c r="L3" s="3716" t="s">
        <v>1550</v>
      </c>
      <c r="M3" s="3715" t="s">
        <v>2010</v>
      </c>
      <c r="N3" s="3717" t="str">
        <f>"（分摊）"&amp;项目基本情况!A17&amp;"国有建设用地使用权面积/㎡"</f>
        <v>（分摊）出让国有建设用地使用权面积/㎡</v>
      </c>
      <c r="O3" s="3715" t="s">
        <v>1579</v>
      </c>
      <c r="P3" s="3716" t="s">
        <v>1559</v>
      </c>
      <c r="Q3" s="3716" t="s">
        <v>1580</v>
      </c>
      <c r="R3" s="3716" t="s">
        <v>1551</v>
      </c>
    </row>
    <row r="4" spans="1:18" ht="36.75" customHeight="1">
      <c r="A4" s="3715"/>
      <c r="B4" s="3715"/>
      <c r="C4" s="3716"/>
      <c r="D4" s="3715"/>
      <c r="E4" s="2248" t="s">
        <v>1558</v>
      </c>
      <c r="F4" s="2248" t="s">
        <v>2022</v>
      </c>
      <c r="G4" s="2248" t="s">
        <v>1552</v>
      </c>
      <c r="H4" s="2248" t="s">
        <v>1553</v>
      </c>
      <c r="I4" s="2248" t="s">
        <v>2023</v>
      </c>
      <c r="J4" s="2248" t="s">
        <v>1552</v>
      </c>
      <c r="K4" s="3716"/>
      <c r="L4" s="3716"/>
      <c r="M4" s="3715"/>
      <c r="N4" s="3717"/>
      <c r="O4" s="3715"/>
      <c r="P4" s="3716"/>
      <c r="Q4" s="3716"/>
      <c r="R4" s="3716"/>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102960</v>
      </c>
      <c r="Q5" s="1592">
        <f ca="1">结果表!D42</f>
        <v>46091</v>
      </c>
      <c r="R5" s="1593">
        <f ca="1">结果表!C42</f>
        <v>760745</v>
      </c>
    </row>
    <row r="6" spans="1:18">
      <c r="A6" s="3711" t="str">
        <f>IF(项目基本情况!B9="市场价格","——","抵押价格")</f>
        <v>——</v>
      </c>
      <c r="B6" s="3712"/>
      <c r="C6" s="3712"/>
      <c r="D6" s="3712"/>
      <c r="E6" s="3712"/>
      <c r="F6" s="3712"/>
      <c r="G6" s="3712"/>
      <c r="H6" s="3712"/>
      <c r="I6" s="3712"/>
      <c r="J6" s="3712"/>
      <c r="K6" s="3712"/>
      <c r="L6" s="3712"/>
      <c r="M6" s="3712"/>
      <c r="N6" s="3712"/>
      <c r="O6" s="3712"/>
      <c r="P6" s="3712"/>
      <c r="Q6" s="3713"/>
      <c r="R6" s="1594">
        <f ca="1">结果表!O39</f>
        <v>738307</v>
      </c>
    </row>
    <row r="7" spans="1:18">
      <c r="A7" s="3711" t="str">
        <f>IF(项目基本情况!B9="市场价格","——",IF(项目基本情况!E8="已注销及未注销","抵押担保权已注销时的抵押价格","——"))</f>
        <v>——</v>
      </c>
      <c r="B7" s="3712"/>
      <c r="C7" s="3712"/>
      <c r="D7" s="3712"/>
      <c r="E7" s="3712"/>
      <c r="F7" s="3712"/>
      <c r="G7" s="3712"/>
      <c r="H7" s="3712"/>
      <c r="I7" s="3712"/>
      <c r="J7" s="3712"/>
      <c r="K7" s="3712"/>
      <c r="L7" s="3712"/>
      <c r="M7" s="3712"/>
      <c r="N7" s="3712"/>
      <c r="O7" s="3712"/>
      <c r="P7" s="3712"/>
      <c r="Q7" s="3713"/>
      <c r="R7" s="1594" t="str">
        <f>结果表!O40</f>
        <v>——</v>
      </c>
    </row>
    <row r="8" spans="1:18">
      <c r="A8" s="3711" t="str">
        <f>IF(项目基本情况!B9="市场价格","——",项目基本情况!E9)</f>
        <v>——</v>
      </c>
      <c r="B8" s="3712"/>
      <c r="C8" s="3712"/>
      <c r="D8" s="3712"/>
      <c r="E8" s="3712"/>
      <c r="F8" s="3712"/>
      <c r="G8" s="3712"/>
      <c r="H8" s="3712"/>
      <c r="I8" s="3712"/>
      <c r="J8" s="3712"/>
      <c r="K8" s="3712"/>
      <c r="L8" s="3712"/>
      <c r="M8" s="3712"/>
      <c r="N8" s="3712"/>
      <c r="O8" s="3712"/>
      <c r="P8" s="3712"/>
      <c r="Q8" s="3713"/>
      <c r="R8" s="1594" t="str">
        <f>结果表!O41</f>
        <v>——</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19" t="s">
        <v>1581</v>
      </c>
      <c r="B1" s="3719"/>
      <c r="C1" s="3719"/>
      <c r="D1" s="3719"/>
    </row>
    <row r="2" spans="1:4" ht="47.25" customHeight="1">
      <c r="A2" s="3723" t="str">
        <f>"1.权利限制："&amp;项目基本情况!L24&amp;"未设定租赁等其他他项权利。"</f>
        <v>1.权利限制：根据估价对象、，截至估价期日，估价对象抵押权未见登记。未设定租赁等其他他项权利。</v>
      </c>
      <c r="B2" s="3723"/>
      <c r="C2" s="3723"/>
      <c r="D2" s="3723"/>
    </row>
    <row r="3" spans="1:4" ht="48" customHeight="1">
      <c r="A3" s="37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19"/>
      <c r="C3" s="3719"/>
      <c r="D3" s="3719"/>
    </row>
    <row r="4" spans="1:4" ht="36.75" customHeight="1">
      <c r="A4" s="3719" t="str">
        <f>"3.估价规划限制条件：详见"&amp;项目基本情况!E21&amp;"。"</f>
        <v>3.估价规划限制条件：详见《建设工程规划许可证》[]、《出让合同》[]。</v>
      </c>
      <c r="B4" s="3719"/>
      <c r="C4" s="3719"/>
      <c r="D4" s="3719"/>
    </row>
    <row r="5" spans="1:4">
      <c r="A5" s="3722" t="s">
        <v>1582</v>
      </c>
      <c r="B5" s="3722"/>
      <c r="C5" s="3722"/>
      <c r="D5" s="3722"/>
    </row>
    <row r="6" spans="1:4">
      <c r="A6" s="3719" t="s">
        <v>1560</v>
      </c>
      <c r="B6" s="3719"/>
      <c r="C6" s="3719"/>
      <c r="D6" s="3719"/>
    </row>
    <row r="7" spans="1:4" ht="33" customHeight="1">
      <c r="A7" s="3719" t="s">
        <v>1853</v>
      </c>
      <c r="B7" s="3719"/>
      <c r="C7" s="3719"/>
      <c r="D7" s="3719"/>
    </row>
    <row r="8" spans="1:4" ht="32.25" customHeight="1">
      <c r="A8" s="37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9"/>
      <c r="C8" s="3719"/>
      <c r="D8" s="3719"/>
    </row>
    <row r="9" spans="1:4" ht="33.75" customHeight="1">
      <c r="A9" s="37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9"/>
      <c r="C9" s="3719"/>
      <c r="D9" s="3719"/>
    </row>
    <row r="10" spans="1:4">
      <c r="A10" s="3719" t="str">
        <f>IF(项目基本情况!B8="抵押","4.估价师所知悉的法定优先受偿款情况为：","——")</f>
        <v>4.估价师所知悉的法定优先受偿款情况为：</v>
      </c>
      <c r="B10" s="3719"/>
      <c r="C10" s="3719"/>
      <c r="D10" s="3719"/>
    </row>
    <row r="11" spans="1:4" ht="37.5" customHeight="1">
      <c r="A11" s="372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1"/>
      <c r="C11" s="3721"/>
      <c r="D11" s="3721"/>
    </row>
    <row r="12" spans="1:4" ht="168" customHeight="1">
      <c r="A12" s="3722" t="s">
        <v>1584</v>
      </c>
      <c r="B12" s="3722"/>
      <c r="C12" s="3722"/>
      <c r="D12" s="3722"/>
    </row>
    <row r="13" spans="1:4">
      <c r="A13" s="3720" t="s">
        <v>2024</v>
      </c>
      <c r="B13" s="3720"/>
      <c r="C13" s="3720"/>
      <c r="D13" s="3720"/>
    </row>
    <row r="14" spans="1:4">
      <c r="A14" s="3721" t="str">
        <f>IF(项目基本情况!B8="抵押","综上，"&amp;结果表!K47,"——")</f>
        <v>综上，本次评估估价师知悉的法定优先受偿款为人民币22438万元整。</v>
      </c>
      <c r="B14" s="3721"/>
      <c r="C14" s="3721"/>
      <c r="D14" s="3721"/>
    </row>
    <row r="15" spans="1:4" ht="58.5" customHeight="1">
      <c r="A15" s="37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9"/>
      <c r="C15" s="3719"/>
      <c r="D15" s="3719"/>
    </row>
    <row r="16" spans="1:4" ht="70.5" customHeight="1">
      <c r="A16" s="37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9"/>
      <c r="C16" s="3719"/>
      <c r="D16" s="3719"/>
    </row>
    <row r="17" spans="1:4">
      <c r="A17" s="3719" t="s">
        <v>1980</v>
      </c>
      <c r="B17" s="3719"/>
      <c r="C17" s="3719"/>
      <c r="D17" s="3719"/>
    </row>
    <row r="18" spans="1:4">
      <c r="A18" s="3719" t="s">
        <v>1972</v>
      </c>
      <c r="B18" s="3719"/>
      <c r="C18" s="3719"/>
      <c r="D18" s="3719"/>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19" t="s">
        <v>1977</v>
      </c>
      <c r="B23" s="3719"/>
      <c r="C23" s="3719"/>
      <c r="D23" s="3719"/>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1" t="s">
        <v>27</v>
      </c>
      <c r="B15" s="3732" t="s">
        <v>784</v>
      </c>
      <c r="C15" s="3728"/>
    </row>
    <row r="16" spans="1:7" ht="14.25">
      <c r="A16" s="3731"/>
      <c r="B16" s="3729" t="s">
        <v>28</v>
      </c>
      <c r="C16" s="1065" t="s">
        <v>27</v>
      </c>
    </row>
    <row r="17" spans="1:3" ht="14.25">
      <c r="A17" s="3731"/>
      <c r="B17" s="3729"/>
      <c r="C17" s="1065" t="s">
        <v>29</v>
      </c>
    </row>
    <row r="18" spans="1:3" ht="14.25">
      <c r="A18" s="3731"/>
      <c r="B18" s="3729"/>
      <c r="C18" s="1065" t="s">
        <v>30</v>
      </c>
    </row>
    <row r="19" spans="1:3" ht="14.25">
      <c r="A19" s="3731"/>
      <c r="B19" s="3727" t="s">
        <v>31</v>
      </c>
      <c r="C19" s="3728"/>
    </row>
    <row r="20" spans="1:3" ht="14.25">
      <c r="A20" s="1066" t="s">
        <v>32</v>
      </c>
      <c r="B20" s="1067"/>
      <c r="C20" s="1068"/>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69" t="s">
        <v>775</v>
      </c>
    </row>
    <row r="25" spans="1:3" ht="14.25">
      <c r="A25" s="3730"/>
      <c r="B25" s="3734"/>
      <c r="C25" s="1069" t="s">
        <v>776</v>
      </c>
    </row>
    <row r="26" spans="1:3" ht="14.25">
      <c r="A26" s="3730"/>
      <c r="B26" s="3734"/>
      <c r="C26" s="1069" t="s">
        <v>777</v>
      </c>
    </row>
    <row r="27" spans="1:3" ht="14.25">
      <c r="A27" s="3730"/>
      <c r="B27" s="3734"/>
      <c r="C27" s="1069" t="s">
        <v>778</v>
      </c>
    </row>
    <row r="28" spans="1:3" ht="14.25">
      <c r="A28" s="3730"/>
      <c r="B28" s="3734"/>
      <c r="C28" s="1069" t="s">
        <v>779</v>
      </c>
    </row>
    <row r="29" spans="1:3" ht="14.25">
      <c r="A29" s="3730"/>
      <c r="B29" s="3734"/>
      <c r="C29" s="1069" t="s">
        <v>780</v>
      </c>
    </row>
    <row r="30" spans="1:3" ht="14.25">
      <c r="A30" s="3730"/>
      <c r="B30" s="3734"/>
      <c r="C30" s="1069" t="s">
        <v>781</v>
      </c>
    </row>
    <row r="31" spans="1:3" ht="14.25">
      <c r="A31" s="3730"/>
      <c r="B31" s="3734"/>
      <c r="C31" s="1069" t="s">
        <v>782</v>
      </c>
    </row>
    <row r="32" spans="1:3" ht="14.25">
      <c r="A32" s="3730"/>
      <c r="B32" s="3734"/>
      <c r="C32" s="1069" t="s">
        <v>1181</v>
      </c>
    </row>
    <row r="33" spans="1:3" ht="14.25">
      <c r="A33" s="3730"/>
      <c r="B33" s="3724" t="s">
        <v>1187</v>
      </c>
      <c r="C33" s="1069" t="s">
        <v>1182</v>
      </c>
    </row>
    <row r="34" spans="1:3" ht="14.25">
      <c r="A34" s="3730"/>
      <c r="B34" s="3725"/>
      <c r="C34" s="1074" t="s">
        <v>1183</v>
      </c>
    </row>
    <row r="35" spans="1:3" ht="14.25">
      <c r="A35" s="3730"/>
      <c r="B35" s="3725"/>
      <c r="C35" s="1075" t="s">
        <v>1184</v>
      </c>
    </row>
    <row r="36" spans="1:3" ht="14.25">
      <c r="A36" s="3730"/>
      <c r="B36" s="3725"/>
      <c r="C36" s="1075" t="s">
        <v>1185</v>
      </c>
    </row>
    <row r="37" spans="1:3" ht="14.25">
      <c r="A37" s="3730"/>
      <c r="B37" s="3726"/>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45145</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38" t="s">
        <v>1448</v>
      </c>
      <c r="B18" s="3739"/>
      <c r="C18" s="3739"/>
      <c r="D18" s="3739"/>
      <c r="E18" s="3739"/>
      <c r="F18" s="3739"/>
      <c r="G18" s="2769"/>
    </row>
    <row r="19" spans="1:7" ht="20.25" customHeight="1">
      <c r="A19" s="3735" t="s">
        <v>1449</v>
      </c>
      <c r="B19" s="3735"/>
      <c r="C19" s="3736"/>
      <c r="D19" s="3737" t="s">
        <v>1450</v>
      </c>
      <c r="E19" s="3735"/>
      <c r="F19" s="3735"/>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0"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0"/>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0"/>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0"/>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0"/>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2017-03-09T08:11:21Z</cp:lastPrinted>
  <dcterms:created xsi:type="dcterms:W3CDTF">2015-07-13T07:17:23Z</dcterms:created>
  <dcterms:modified xsi:type="dcterms:W3CDTF">2023-08-07T03:11:25Z</dcterms:modified>
</cp:coreProperties>
</file>