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37" i="9" l="1"/>
  <c r="L33" i="9"/>
  <c r="C38" i="39" l="1"/>
  <c r="H3" i="83" l="1"/>
  <c r="H5" i="83"/>
  <c r="H6" i="83"/>
  <c r="H7" i="83"/>
  <c r="H8" i="83"/>
  <c r="H9" i="83"/>
  <c r="H11" i="83"/>
  <c r="H12" i="83"/>
  <c r="H2" i="83"/>
  <c r="G14" i="83" l="1"/>
  <c r="L100" i="9" l="1"/>
  <c r="H79" i="74"/>
  <c r="H14" i="83" l="1"/>
  <c r="B41" i="9"/>
  <c r="B40" i="9"/>
  <c r="I13" i="3"/>
  <c r="O16" i="3"/>
  <c r="Q17" i="3"/>
  <c r="K20" i="3"/>
  <c r="P77" i="74"/>
  <c r="H77" i="74"/>
  <c r="P78" i="74"/>
  <c r="M14" i="3" s="1"/>
  <c r="P79" i="74"/>
  <c r="P80" i="74"/>
  <c r="P76" i="74"/>
  <c r="C66" i="74" l="1"/>
  <c r="E46" i="39" l="1"/>
  <c r="E47" i="21"/>
  <c r="I47" i="21"/>
  <c r="B28" i="1" l="1"/>
  <c r="I47" i="79"/>
  <c r="G47" i="79"/>
  <c r="E47" i="79"/>
  <c r="E41" i="9" l="1"/>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l="1"/>
  <c r="L41" i="9"/>
  <c r="D22" i="82"/>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F23" i="6"/>
  <c r="I18" i="3"/>
  <c r="E9" i="6"/>
  <c r="K15" i="3"/>
  <c r="K34" i="9" s="1"/>
  <c r="F20" i="6"/>
  <c r="D73" i="74"/>
  <c r="D71" i="74"/>
  <c r="C72" i="74"/>
  <c r="C70" i="74"/>
  <c r="C69" i="74"/>
  <c r="C68" i="74"/>
  <c r="C67" i="74"/>
  <c r="D74" i="74"/>
  <c r="D61" i="74"/>
  <c r="D55" i="74"/>
  <c r="R7" i="74"/>
  <c r="Q2" i="74"/>
  <c r="D56" i="74"/>
  <c r="D58" i="74" s="1"/>
  <c r="C65" i="74" s="1"/>
  <c r="C74" i="74" l="1"/>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9" i="6" l="1"/>
  <c r="K33" i="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R6" i="74" l="1"/>
  <c r="E17" i="74"/>
  <c r="D6" i="74"/>
  <c r="D9" i="74"/>
  <c r="D10" i="74"/>
  <c r="L34" i="9" l="1"/>
  <c r="I91" i="9"/>
  <c r="C90" i="9"/>
  <c r="C88" i="9"/>
  <c r="Q72" i="77"/>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3" i="73"/>
  <c r="F3" i="73"/>
  <c r="F4" i="73"/>
  <c r="D5" i="73"/>
  <c r="F5" i="73"/>
  <c r="D6" i="73"/>
  <c r="D4" i="73"/>
  <c r="D7"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M26" i="82"/>
  <c r="F36" i="82"/>
  <c r="M8" i="82"/>
  <c r="F16" i="82"/>
  <c r="F13" i="82"/>
  <c r="M23" i="82"/>
  <c r="M28" i="82"/>
  <c r="F40" i="82"/>
  <c r="M27" i="82"/>
  <c r="F6" i="82"/>
  <c r="F37" i="82"/>
  <c r="M22" i="82"/>
  <c r="F9" i="82"/>
  <c r="M6" i="82"/>
  <c r="F8" i="82"/>
  <c r="L47" i="82"/>
  <c r="M24" i="82"/>
  <c r="J15" i="82"/>
  <c r="C76" i="82"/>
  <c r="M9" i="82"/>
  <c r="F26" i="82"/>
  <c r="F38" i="82"/>
  <c r="F7" i="82"/>
  <c r="F42" i="82"/>
  <c r="G12" i="1" l="1"/>
  <c r="J25" i="39"/>
  <c r="F99" i="39"/>
  <c r="G99" i="39" s="1"/>
  <c r="H25" i="39"/>
  <c r="U25" i="39" s="1"/>
  <c r="F25" i="39"/>
  <c r="AA25" i="39" s="1"/>
  <c r="C27" i="82"/>
  <c r="F65" i="82"/>
  <c r="F50" i="82"/>
  <c r="M7" i="82"/>
  <c r="J10" i="82" s="1"/>
  <c r="F68" i="82"/>
  <c r="F64" i="82"/>
  <c r="Q71" i="82"/>
  <c r="F66" i="82"/>
  <c r="C6" i="82"/>
  <c r="C5" i="82" s="1"/>
  <c r="F51" i="82"/>
  <c r="B8" i="1"/>
  <c r="E8" i="1" s="1"/>
  <c r="J51" i="77"/>
  <c r="J51" i="82"/>
  <c r="J51" i="81"/>
  <c r="C7" i="79"/>
  <c r="F9" i="1"/>
  <c r="G9" i="1" s="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68" i="39" l="1"/>
  <c r="D70" i="39" s="1"/>
  <c r="P23" i="43"/>
  <c r="B71" i="39" s="1"/>
  <c r="AC41" i="39"/>
  <c r="J6" i="82"/>
  <c r="J5" i="82" s="1"/>
  <c r="J24" i="82" s="1"/>
  <c r="C49" i="82"/>
  <c r="C53" i="82"/>
  <c r="C38" i="82"/>
  <c r="C32"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J26" i="82" l="1"/>
  <c r="J18" i="82"/>
  <c r="C48" i="82"/>
  <c r="C66"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0" i="82" l="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D20" i="6" s="1"/>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E9" i="69" l="1"/>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AB38" i="39" l="1"/>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E11" i="70" l="1"/>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F8" i="77"/>
  <c r="M22" i="76"/>
  <c r="F36" i="15"/>
  <c r="M26" i="81"/>
  <c r="F42" i="15"/>
  <c r="F43" i="82"/>
  <c r="L47" i="76"/>
  <c r="F6" i="77"/>
  <c r="M9" i="76"/>
  <c r="F26" i="67"/>
  <c r="C14" i="75"/>
  <c r="F13" i="67"/>
  <c r="L47" i="67"/>
  <c r="F43" i="75"/>
  <c r="L48" i="76"/>
  <c r="M9" i="15"/>
  <c r="F36" i="75"/>
  <c r="F9" i="76"/>
  <c r="C14" i="77"/>
  <c r="M24" i="15"/>
  <c r="F6" i="67"/>
  <c r="M8" i="77"/>
  <c r="F26" i="75"/>
  <c r="F8" i="67"/>
  <c r="F16" i="15"/>
  <c r="J15" i="75"/>
  <c r="M6" i="15"/>
  <c r="F40" i="15"/>
  <c r="L48" i="81"/>
  <c r="M29" i="76"/>
  <c r="F40" i="75"/>
  <c r="C76" i="75"/>
  <c r="F6" i="76"/>
  <c r="F16" i="76"/>
  <c r="M28" i="77"/>
  <c r="F16" i="81"/>
  <c r="F26" i="15"/>
  <c r="C76" i="81"/>
  <c r="F41" i="82"/>
  <c r="M23" i="76"/>
  <c r="F40" i="77"/>
  <c r="M22" i="67"/>
  <c r="M24" i="81"/>
  <c r="F16" i="75"/>
  <c r="F8" i="15"/>
  <c r="M23" i="77"/>
  <c r="F37" i="76"/>
  <c r="F7" i="67"/>
  <c r="M23" i="67"/>
  <c r="M27" i="75"/>
  <c r="C76" i="76"/>
  <c r="M26" i="15"/>
  <c r="M8" i="76"/>
  <c r="M9" i="77"/>
  <c r="F43" i="76"/>
  <c r="F16" i="77"/>
  <c r="M27" i="77"/>
  <c r="F43" i="67"/>
  <c r="F38" i="15"/>
  <c r="F13" i="15"/>
  <c r="M29" i="77"/>
  <c r="M23" i="75"/>
  <c r="F37" i="67"/>
  <c r="F7" i="75"/>
  <c r="M26" i="75"/>
  <c r="M21" i="77"/>
  <c r="M28" i="81"/>
  <c r="M23" i="81"/>
  <c r="M26" i="76"/>
  <c r="F13" i="76"/>
  <c r="M6" i="76"/>
  <c r="F8" i="75"/>
  <c r="M28" i="67"/>
  <c r="F42" i="67"/>
  <c r="M24" i="67"/>
  <c r="F9" i="75"/>
  <c r="M24" i="77"/>
  <c r="F42" i="75"/>
  <c r="F43" i="77"/>
  <c r="F36" i="77"/>
  <c r="M24" i="75"/>
  <c r="M24" i="76"/>
  <c r="L47" i="77"/>
  <c r="F37" i="77"/>
  <c r="M29" i="81"/>
  <c r="F35" i="77"/>
  <c r="M8" i="81"/>
  <c r="F6" i="15"/>
  <c r="M9" i="81"/>
  <c r="F42" i="77"/>
  <c r="M22" i="81"/>
  <c r="C76" i="67"/>
  <c r="F7" i="15"/>
  <c r="M28" i="15"/>
  <c r="M27" i="81"/>
  <c r="F7" i="76"/>
  <c r="M23" i="15"/>
  <c r="L48" i="77"/>
  <c r="M22" i="15"/>
  <c r="F38" i="67"/>
  <c r="F38" i="77"/>
  <c r="L47" i="81"/>
  <c r="C17" i="81"/>
  <c r="J15" i="15"/>
  <c r="F26" i="76"/>
  <c r="M27" i="76"/>
  <c r="M29" i="82"/>
  <c r="F38" i="75"/>
  <c r="M29" i="75"/>
  <c r="C14" i="76"/>
  <c r="L48" i="82"/>
  <c r="M22" i="77"/>
  <c r="C76" i="15"/>
  <c r="F40" i="67"/>
  <c r="F37" i="75"/>
  <c r="J15" i="67"/>
  <c r="M29" i="67"/>
  <c r="L47" i="75"/>
  <c r="M26" i="67"/>
  <c r="F26" i="77"/>
  <c r="M9" i="67"/>
  <c r="F36" i="67"/>
  <c r="F35" i="76"/>
  <c r="M22" i="75"/>
  <c r="C14" i="82"/>
  <c r="M28" i="75"/>
  <c r="L48" i="15"/>
  <c r="M28" i="76"/>
  <c r="M6" i="81"/>
  <c r="F42" i="76"/>
  <c r="L48" i="67"/>
  <c r="F13" i="75"/>
  <c r="F37" i="15"/>
  <c r="F36" i="76"/>
  <c r="F38" i="76"/>
  <c r="F9" i="77"/>
  <c r="M6" i="75"/>
  <c r="M6" i="67"/>
  <c r="M21" i="76"/>
  <c r="M9" i="75"/>
  <c r="L48" i="75"/>
  <c r="F9" i="67"/>
  <c r="G1" i="73"/>
  <c r="F8" i="76"/>
  <c r="M21" i="82"/>
  <c r="F35" i="82"/>
  <c r="F13" i="77"/>
  <c r="J15" i="81"/>
  <c r="F16" i="67"/>
  <c r="M29" i="15"/>
  <c r="J15" i="77"/>
  <c r="F40" i="76"/>
  <c r="F43" i="15"/>
  <c r="F6" i="75"/>
  <c r="C76" i="77"/>
  <c r="M8" i="15"/>
  <c r="M26" i="77"/>
  <c r="M8" i="75"/>
  <c r="M21" i="81"/>
  <c r="J15" i="76"/>
  <c r="F7" i="77"/>
  <c r="F9" i="15"/>
  <c r="M8" i="67"/>
  <c r="C16" i="82"/>
  <c r="L47" i="15"/>
  <c r="M6" i="77"/>
  <c r="C6" i="75" l="1"/>
  <c r="C5" i="75" s="1"/>
  <c r="C38" i="75" s="1"/>
  <c r="L58" i="67"/>
  <c r="L59" i="67"/>
  <c r="Q61" i="67" s="1"/>
  <c r="F65" i="75"/>
  <c r="F64" i="77"/>
  <c r="F68" i="76"/>
  <c r="F66" i="77"/>
  <c r="L58" i="76"/>
  <c r="L59" i="76"/>
  <c r="Q74" i="76" s="1"/>
  <c r="F66" i="75"/>
  <c r="B40" i="1"/>
  <c r="F25" i="12" s="1"/>
  <c r="C26" i="12" s="1"/>
  <c r="D25" i="12" s="1"/>
  <c r="Q71" i="67"/>
  <c r="F71" i="82"/>
  <c r="F65" i="15"/>
  <c r="J57" i="82"/>
  <c r="L56" i="82"/>
  <c r="L57" i="82"/>
  <c r="K53" i="82"/>
  <c r="L58" i="82"/>
  <c r="Q73" i="82" s="1"/>
  <c r="J53" i="82"/>
  <c r="L60" i="82"/>
  <c r="Q66" i="82" s="1"/>
  <c r="Q71" i="81"/>
  <c r="C6" i="15"/>
  <c r="C5" i="15" s="1"/>
  <c r="C32" i="15" s="1"/>
  <c r="L56" i="75"/>
  <c r="L60" i="75"/>
  <c r="Q66" i="75" s="1"/>
  <c r="J53" i="75"/>
  <c r="L57" i="75"/>
  <c r="K53" i="75"/>
  <c r="J57" i="75"/>
  <c r="C27" i="77"/>
  <c r="C27" i="76"/>
  <c r="Q71" i="15"/>
  <c r="F64" i="15"/>
  <c r="C10" i="67"/>
  <c r="C6" i="67"/>
  <c r="C5" i="67" s="1"/>
  <c r="C32" i="67" s="1"/>
  <c r="J53" i="81"/>
  <c r="F1" i="81" s="1"/>
  <c r="J57" i="81"/>
  <c r="L57" i="81"/>
  <c r="L60" i="81" s="1"/>
  <c r="K53" i="81"/>
  <c r="L56" i="81"/>
  <c r="Q71" i="75"/>
  <c r="L58" i="15"/>
  <c r="L59" i="15"/>
  <c r="Q74" i="15" s="1"/>
  <c r="F71" i="67"/>
  <c r="Q71" i="77"/>
  <c r="F71" i="76"/>
  <c r="F51" i="75"/>
  <c r="L59" i="75"/>
  <c r="L58" i="75"/>
  <c r="Q73" i="75" s="1"/>
  <c r="C27" i="67"/>
  <c r="F65" i="67"/>
  <c r="K53" i="76"/>
  <c r="L56" i="76"/>
  <c r="L57" i="76"/>
  <c r="J53" i="76"/>
  <c r="Q52" i="76" s="1"/>
  <c r="L60" i="76"/>
  <c r="Q57" i="76" s="1"/>
  <c r="J57" i="76"/>
  <c r="F66" i="67"/>
  <c r="F65" i="77"/>
  <c r="F66" i="76"/>
  <c r="F64" i="75"/>
  <c r="F68" i="67"/>
  <c r="F68" i="75"/>
  <c r="C34" i="76"/>
  <c r="F63" i="76"/>
  <c r="C62" i="76" s="1"/>
  <c r="J10" i="81"/>
  <c r="J6" i="81"/>
  <c r="J5" i="81" s="1"/>
  <c r="J18" i="81" s="1"/>
  <c r="F50" i="67"/>
  <c r="M7" i="67"/>
  <c r="J6" i="67" s="1"/>
  <c r="J5" i="67" s="1"/>
  <c r="J18" i="67" s="1"/>
  <c r="J29" i="82"/>
  <c r="F69" i="82"/>
  <c r="Q71" i="76"/>
  <c r="C6" i="76"/>
  <c r="C5" i="76" s="1"/>
  <c r="C32" i="76" s="1"/>
  <c r="F70" i="67"/>
  <c r="L57" i="67"/>
  <c r="L60" i="67"/>
  <c r="J59" i="67"/>
  <c r="J60" i="67" s="1"/>
  <c r="Q48" i="67" s="1"/>
  <c r="J57" i="67"/>
  <c r="L56" i="67"/>
  <c r="F51" i="67"/>
  <c r="J20" i="76"/>
  <c r="F65" i="76"/>
  <c r="F51" i="76"/>
  <c r="F50" i="77"/>
  <c r="M7" i="77"/>
  <c r="J6" i="77" s="1"/>
  <c r="L58" i="77"/>
  <c r="L59" i="77"/>
  <c r="Q61" i="77" s="1"/>
  <c r="L58" i="81"/>
  <c r="L59" i="81"/>
  <c r="Q61" i="81" s="1"/>
  <c r="F71" i="75"/>
  <c r="F71" i="77"/>
  <c r="J53" i="77"/>
  <c r="Q52" i="77" s="1"/>
  <c r="K53" i="77"/>
  <c r="L57" i="77"/>
  <c r="J57" i="77"/>
  <c r="L60" i="77"/>
  <c r="L56" i="77"/>
  <c r="F51" i="15"/>
  <c r="C27" i="15"/>
  <c r="F68" i="15"/>
  <c r="C27" i="75"/>
  <c r="F50" i="76"/>
  <c r="M7" i="76"/>
  <c r="J6" i="76" s="1"/>
  <c r="C6" i="77"/>
  <c r="C10" i="77"/>
  <c r="F50" i="15"/>
  <c r="M7" i="15"/>
  <c r="J6" i="15" s="1"/>
  <c r="F66" i="15"/>
  <c r="J53" i="15"/>
  <c r="Q52" i="15" s="1"/>
  <c r="K53" i="15"/>
  <c r="L56" i="15"/>
  <c r="J57" i="15"/>
  <c r="F71" i="15"/>
  <c r="F50" i="75"/>
  <c r="M7" i="75"/>
  <c r="J6" i="75" s="1"/>
  <c r="F64" i="67"/>
  <c r="F68" i="77"/>
  <c r="F64" i="76"/>
  <c r="F51" i="77"/>
  <c r="C53" i="77" s="1"/>
  <c r="Q66" i="76"/>
  <c r="C53" i="15"/>
  <c r="F22" i="11"/>
  <c r="C25" i="11" s="1"/>
  <c r="F1" i="77"/>
  <c r="Q52" i="81"/>
  <c r="C49" i="67"/>
  <c r="C53" i="67"/>
  <c r="C53" i="75"/>
  <c r="Q52" i="75"/>
  <c r="F1" i="75"/>
  <c r="Q66" i="67"/>
  <c r="Q57" i="67"/>
  <c r="Q57" i="81"/>
  <c r="Q66" i="81"/>
  <c r="J24" i="67"/>
  <c r="Q60" i="75"/>
  <c r="Q73" i="76"/>
  <c r="Q60" i="76"/>
  <c r="Q74" i="77"/>
  <c r="J10" i="77"/>
  <c r="J5" i="77" s="1"/>
  <c r="Q57" i="77"/>
  <c r="Q66" i="77"/>
  <c r="Q73" i="15"/>
  <c r="Q60" i="15"/>
  <c r="Q52" i="82"/>
  <c r="F1" i="82"/>
  <c r="Q60" i="81"/>
  <c r="Q73" i="81"/>
  <c r="Q74" i="75"/>
  <c r="Q61" i="75"/>
  <c r="F24" i="77"/>
  <c r="C24" i="77" s="1"/>
  <c r="Q73" i="77"/>
  <c r="Q60" i="77"/>
  <c r="Q60" i="67"/>
  <c r="Q73" i="67"/>
  <c r="C32" i="75"/>
  <c r="I7" i="6"/>
  <c r="G3" i="43" s="1"/>
  <c r="C11" i="39"/>
  <c r="C18" i="82"/>
  <c r="C15" i="82"/>
  <c r="C34" i="82"/>
  <c r="F63" i="82"/>
  <c r="C62" i="82" s="1"/>
  <c r="J20" i="82"/>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J63" i="40"/>
  <c r="I65" i="40"/>
  <c r="C46" i="11"/>
  <c r="C45" i="11" s="1"/>
  <c r="J70" i="39"/>
  <c r="C16" i="75"/>
  <c r="C16" i="76"/>
  <c r="C16" i="67"/>
  <c r="C17" i="82"/>
  <c r="AE10" i="1"/>
  <c r="C17" i="76"/>
  <c r="C16" i="81"/>
  <c r="C17" i="15"/>
  <c r="C17" i="75"/>
  <c r="C16" i="15"/>
  <c r="C17" i="77"/>
  <c r="C16" i="77"/>
  <c r="J10" i="75" l="1"/>
  <c r="J5" i="75" s="1"/>
  <c r="J26" i="75" s="1"/>
  <c r="C49" i="75"/>
  <c r="F24" i="81"/>
  <c r="C24" i="81" s="1"/>
  <c r="Q61" i="76"/>
  <c r="Q60" i="82"/>
  <c r="Q74" i="67"/>
  <c r="C38" i="76"/>
  <c r="F1" i="76"/>
  <c r="Q61" i="15"/>
  <c r="C38" i="15"/>
  <c r="Q57" i="82"/>
  <c r="F24" i="75"/>
  <c r="C24" i="75" s="1"/>
  <c r="C49" i="76"/>
  <c r="J10" i="76"/>
  <c r="J5" i="76" s="1"/>
  <c r="J26" i="76" s="1"/>
  <c r="F24" i="76"/>
  <c r="C24" i="76" s="1"/>
  <c r="F24" i="67"/>
  <c r="C24" i="67" s="1"/>
  <c r="Q74" i="81"/>
  <c r="Q57" i="75"/>
  <c r="F22" i="69"/>
  <c r="C44" i="69" s="1"/>
  <c r="D41" i="69" s="1"/>
  <c r="F24" i="82"/>
  <c r="C24" i="82" s="1"/>
  <c r="F1" i="15"/>
  <c r="C5" i="77"/>
  <c r="C38" i="77" s="1"/>
  <c r="C53" i="76"/>
  <c r="C23" i="11"/>
  <c r="C48" i="76"/>
  <c r="C66" i="76" s="1"/>
  <c r="C49" i="77"/>
  <c r="C48" i="77" s="1"/>
  <c r="C60" i="77" s="1"/>
  <c r="C19" i="81"/>
  <c r="C20" i="81" s="1"/>
  <c r="C26" i="81" s="1"/>
  <c r="C49" i="15"/>
  <c r="J10" i="15"/>
  <c r="J5" i="15" s="1"/>
  <c r="F22" i="68"/>
  <c r="F24" i="15"/>
  <c r="C24" i="15" s="1"/>
  <c r="J24" i="81"/>
  <c r="C48" i="75"/>
  <c r="C66" i="75" s="1"/>
  <c r="J26" i="81"/>
  <c r="J29" i="81" s="1"/>
  <c r="C38" i="67"/>
  <c r="C26" i="69"/>
  <c r="D22" i="69" s="1"/>
  <c r="C42" i="11"/>
  <c r="C44" i="11"/>
  <c r="D41" i="11" s="1"/>
  <c r="C26" i="11"/>
  <c r="D22" i="11" s="1"/>
  <c r="C24" i="11"/>
  <c r="C43" i="11"/>
  <c r="C60" i="75"/>
  <c r="C32" i="77"/>
  <c r="J18" i="75"/>
  <c r="J24" i="75"/>
  <c r="J18" i="77"/>
  <c r="J24" i="77"/>
  <c r="J26" i="77"/>
  <c r="C19" i="82"/>
  <c r="C20" i="82"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6" i="68"/>
  <c r="C45" i="68" s="1"/>
  <c r="K63" i="40"/>
  <c r="J65" i="40"/>
  <c r="K70" i="39"/>
  <c r="J24" i="76" l="1"/>
  <c r="J18" i="76"/>
  <c r="C22" i="11"/>
  <c r="C23" i="81"/>
  <c r="C29" i="81" s="1"/>
  <c r="J59" i="81" s="1"/>
  <c r="J60" i="81" s="1"/>
  <c r="Q48" i="81" s="1"/>
  <c r="C60" i="76"/>
  <c r="C44" i="68"/>
  <c r="D41" i="68" s="1"/>
  <c r="C26" i="68"/>
  <c r="D22" i="68" s="1"/>
  <c r="C24" i="68"/>
  <c r="C42" i="68"/>
  <c r="C43" i="68"/>
  <c r="J24" i="15"/>
  <c r="J18" i="15"/>
  <c r="C31" i="11"/>
  <c r="C66" i="77"/>
  <c r="C41" i="11"/>
  <c r="C49" i="11" s="1"/>
  <c r="C51" i="11" s="1"/>
  <c r="C26" i="82"/>
  <c r="C23" i="82"/>
  <c r="C57" i="81"/>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L63" i="40"/>
  <c r="K65" i="40"/>
  <c r="L70" i="39"/>
  <c r="E8" i="70"/>
  <c r="E2" i="70" s="1"/>
  <c r="C34" i="69"/>
  <c r="M21" i="75"/>
  <c r="F35" i="75"/>
  <c r="C17" i="67"/>
  <c r="F35" i="15"/>
  <c r="M21" i="67"/>
  <c r="F35" i="67"/>
  <c r="M21" i="15"/>
  <c r="Q49" i="81" l="1"/>
  <c r="C13" i="81"/>
  <c r="Q70" i="81" s="1"/>
  <c r="C36" i="81"/>
  <c r="C33" i="81"/>
  <c r="C31" i="81" s="1"/>
  <c r="J14" i="81"/>
  <c r="J13" i="81" s="1"/>
  <c r="J23" i="81" s="1"/>
  <c r="J19" i="81"/>
  <c r="J17" i="81" s="1"/>
  <c r="C41" i="68"/>
  <c r="C49" i="68" s="1"/>
  <c r="C51" i="68" s="1"/>
  <c r="C52" i="11"/>
  <c r="B2" i="11" s="1"/>
  <c r="B3" i="11" s="1"/>
  <c r="C29" i="82"/>
  <c r="C57" i="82"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22" i="81" l="1"/>
  <c r="J16" i="81" s="1"/>
  <c r="J25" i="81" s="1"/>
  <c r="C37" i="81"/>
  <c r="C30" i="81" s="1"/>
  <c r="C39" i="81" s="1"/>
  <c r="C75" i="81"/>
  <c r="C56" i="81"/>
  <c r="C65" i="81" s="1"/>
  <c r="C56" i="11"/>
  <c r="C57" i="11" s="1"/>
  <c r="C33" i="82"/>
  <c r="C31" i="82" s="1"/>
  <c r="C36" i="82"/>
  <c r="C13" i="82"/>
  <c r="Q70" i="82" s="1"/>
  <c r="J59" i="82"/>
  <c r="J60" i="82" s="1"/>
  <c r="L46" i="82" s="1"/>
  <c r="J14" i="82"/>
  <c r="J13" i="82" s="1"/>
  <c r="J23" i="82" s="1"/>
  <c r="Q49" i="82"/>
  <c r="J19" i="82"/>
  <c r="J17" i="82" s="1"/>
  <c r="C61" i="82"/>
  <c r="C59" i="82" s="1"/>
  <c r="C64" i="82"/>
  <c r="C58" i="81"/>
  <c r="C67" i="81" s="1"/>
  <c r="C68" i="81" s="1"/>
  <c r="C71" i="81" s="1"/>
  <c r="C40" i="81"/>
  <c r="Q69" i="81"/>
  <c r="Q68" i="81" s="1"/>
  <c r="J17" i="75"/>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L51" i="81"/>
  <c r="C80" i="81" l="1"/>
  <c r="C79" i="81" s="1"/>
  <c r="Q67" i="81"/>
  <c r="Q48" i="82"/>
  <c r="J22" i="82"/>
  <c r="J16" i="82" s="1"/>
  <c r="J25" i="82" s="1"/>
  <c r="C37" i="82"/>
  <c r="C30" i="82" s="1"/>
  <c r="C39" i="82" s="1"/>
  <c r="C75" i="82"/>
  <c r="C56" i="82"/>
  <c r="C65" i="82" s="1"/>
  <c r="C58" i="82" s="1"/>
  <c r="C67" i="82" s="1"/>
  <c r="C68" i="82" s="1"/>
  <c r="C71" i="82" s="1"/>
  <c r="C46" i="81"/>
  <c r="C43" i="81"/>
  <c r="Q47" i="81"/>
  <c r="Q53" i="81" s="1"/>
  <c r="C83" i="81"/>
  <c r="C82" i="81" s="1"/>
  <c r="Q65" i="81"/>
  <c r="Q75" i="81" s="1"/>
  <c r="Q56" i="81"/>
  <c r="Q62" i="81" s="1"/>
  <c r="B2" i="81"/>
  <c r="B3" i="81" s="1"/>
  <c r="F6" i="12"/>
  <c r="K6" i="83" s="1"/>
  <c r="B2" i="79"/>
  <c r="F8" i="12" s="1"/>
  <c r="L6" i="83"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C14" i="67"/>
  <c r="L51" i="77"/>
  <c r="Q69" i="82" l="1"/>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6"/>
  <c r="L51" i="75"/>
  <c r="L51" i="82"/>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L51" i="67"/>
  <c r="AE7" i="1"/>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M27" i="67"/>
  <c r="F41" i="67"/>
  <c r="F41" i="76"/>
  <c r="F41" i="75"/>
  <c r="M27" i="15"/>
  <c r="F41" i="15"/>
  <c r="L51" i="15"/>
  <c r="F41" i="7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AO11" i="1"/>
  <c r="AO8" i="1"/>
  <c r="D2" i="79"/>
  <c r="AO7" i="1"/>
  <c r="D2" i="36"/>
  <c r="D2" i="34"/>
  <c r="D2" i="33"/>
  <c r="D2" i="37"/>
  <c r="D2" i="21"/>
  <c r="D2" i="35"/>
  <c r="AO10" i="1"/>
  <c r="E2" i="69"/>
  <c r="B3" i="77" l="1"/>
  <c r="E6" i="12" s="1"/>
  <c r="K10" i="83" s="1"/>
  <c r="B11" i="70"/>
  <c r="B3" i="76"/>
  <c r="B10" i="70"/>
  <c r="B3" i="75"/>
  <c r="B3" i="15"/>
  <c r="C46" i="15"/>
  <c r="B2" i="36"/>
  <c r="B2" i="35"/>
  <c r="B3" i="35" s="1"/>
  <c r="B2" i="37"/>
  <c r="B2" i="34"/>
  <c r="B2" i="21"/>
  <c r="B2" i="69"/>
  <c r="B3" i="69" s="1"/>
  <c r="B8" i="70"/>
  <c r="B3" i="67"/>
  <c r="B7" i="70"/>
  <c r="E2" i="68"/>
  <c r="AO6" i="1"/>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4" i="9"/>
  <c r="D35" i="9"/>
  <c r="C35" i="9" l="1"/>
  <c r="C34" i="9" s="1"/>
  <c r="D118" i="9" s="1"/>
  <c r="L102" i="9"/>
  <c r="C5" i="80"/>
  <c r="D5" i="80"/>
  <c r="H109" i="9"/>
  <c r="D5" i="53"/>
  <c r="H107" i="9"/>
  <c r="D45" i="9"/>
  <c r="M48" i="9"/>
  <c r="C105" i="9"/>
  <c r="H102" i="9"/>
  <c r="D7" i="53" s="1"/>
  <c r="B21" i="72" s="1"/>
  <c r="I4" i="52"/>
  <c r="M108" i="9" l="1"/>
  <c r="J14" i="83"/>
  <c r="L108" i="9"/>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J10" i="83" l="1"/>
  <c r="J13" i="83"/>
  <c r="J4" i="83"/>
  <c r="J3" i="83" s="1"/>
  <c r="I3" i="83" s="1"/>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11" i="83" l="1"/>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<sst xmlns="http://schemas.openxmlformats.org/spreadsheetml/2006/main" count="10882" uniqueCount="3653">
  <si>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</si>
  <si>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</si>
  <si>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</si>
  <si>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</si>
  <si>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</si>
  <si>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</si>
  <si>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</si>
  <si>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</si>
  <si>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</si>
  <si>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</si>
  <si>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</si>
  <si>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</si>
  <si>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</si>
  <si>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</si>
  <si>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</si>
  <si>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</si>
  <si>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</si>
  <si>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</si>
  <si>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</si>
  <si>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</si>
  <si>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</si>
  <si>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</si>
  <si>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</si>
  <si>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</si>
  <si>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</si>
  <si>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</si>
  <si>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</si>
  <si>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</si>
  <si>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</si>
  <si>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</si>
  <si>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</si>
  <si>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</si>
  <si>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</si>
  <si>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</si>
  <si>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</si>
  <si>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</si>
  <si>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</si>
  <si>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</si>
  <si>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</si>
  <si>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</si>
  <si>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</si>
  <si>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</si>
  <si>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</si>
  <si>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</si>
  <si>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</si>
  <si>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</si>
  <si>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</si>
  <si>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</si>
  <si>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</si>
  <si>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</si>
  <si>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</si>
  <si>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</si>
  <si>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</si>
  <si>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</si>
  <si>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</si>
  <si>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</si>
  <si>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</si>
  <si>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</si>
  <si>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</si>
  <si>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</si>
  <si>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</si>
  <si>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</si>
  <si>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</si>
  <si>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</si>
  <si>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</si>
  <si>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</si>
  <si>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</si>
  <si>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</si>
  <si>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</si>
  <si>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</si>
  <si>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</si>
  <si>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</si>
  <si>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</si>
  <si>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</si>
  <si>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</si>
  <si>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</si>
  <si>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</si>
  <si>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</si>
  <si>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</si>
  <si>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</si>
  <si>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</si>
  <si>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</si>
  <si>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</si>
  <si>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</si>
  <si>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</si>
  <si>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</si>
  <si>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</si>
  <si>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</si>
  <si>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</si>
  <si>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</si>
  <si>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</si>
  <si>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</si>
  <si>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</si>
  <si>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</si>
  <si>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</si>
  <si>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</si>
  <si>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</si>
  <si>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</si>
  <si>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</si>
  <si>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</si>
  <si>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</si>
  <si>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</si>
  <si>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</si>
  <si>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</si>
  <si>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</si>
  <si>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</si>
  <si>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</si>
  <si>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</si>
  <si>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</si>
  <si>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</si>
  <si>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</si>
  <si>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</si>
  <si>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</si>
  <si>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</si>
  <si>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</si>
  <si>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</si>
  <si>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</si>
  <si>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</si>
  <si>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</si>
  <si>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</si>
  <si>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</si>
  <si>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</si>
  <si>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</si>
  <si>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</si>
  <si>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</si>
  <si>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</si>
  <si>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</si>
  <si>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</si>
  <si>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</si>
  <si>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</si>
  <si>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</si>
  <si>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</si>
  <si>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</si>
  <si>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</si>
  <si>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</si>
  <si>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</si>
  <si>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</si>
  <si>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</si>
  <si>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</si>
  <si>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</si>
  <si>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</si>
  <si>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</si>
  <si>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</si>
  <si>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</si>
  <si>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</si>
  <si>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</si>
  <si>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</si>
  <si>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</si>
  <si>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</si>
  <si>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</si>
  <si>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</si>
  <si>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</si>
  <si>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</si>
  <si>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</si>
  <si>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</si>
  <si>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</si>
  <si>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</si>
  <si>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</si>
  <si>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</si>
  <si>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</si>
  <si>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</si>
  <si>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</si>
  <si>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</si>
  <si>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</si>
  <si>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</si>
  <si>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</si>
  <si>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</si>
  <si>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</si>
  <si>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</si>
  <si>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</si>
  <si>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</si>
  <si>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</si>
  <si>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</si>
  <si>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</si>
  <si>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</si>
  <si>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</si>
  <si>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</si>
  <si>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</si>
  <si>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</si>
  <si>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</si>
  <si>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</si>
  <si>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</si>
  <si>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</si>
  <si>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</si>
  <si>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</si>
  <si>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</si>
  <si>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</si>
  <si>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</si>
  <si>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</si>
  <si>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</si>
  <si>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</si>
  <si>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</si>
  <si>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</si>
  <si>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</si>
  <si>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</si>
  <si>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</si>
  <si>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</si>
  <si>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</si>
  <si>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</si>
  <si>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</si>
  <si>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</si>
  <si>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</si>
  <si>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</si>
  <si>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</si>
  <si>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</si>
  <si>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</si>
  <si>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</si>
  <si>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</si>
  <si>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</si>
  <si>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</si>
  <si>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</si>
  <si>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</si>
  <si>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</si>
  <si>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</si>
  <si>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</si>
  <si>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</si>
  <si>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</si>
  <si>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</si>
  <si>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</si>
  <si>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</si>
  <si>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</si>
  <si>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</si>
  <si>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</si>
  <si>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</si>
  <si>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</si>
  <si>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</si>
  <si>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</si>
  <si>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</si>
  <si>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</si>
  <si>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</si>
  <si>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</si>
  <si>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</si>
  <si>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</si>
  <si>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</si>
  <si>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</si>
  <si>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</si>
  <si>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</si>
  <si>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</si>
  <si>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</si>
  <si>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</si>
  <si>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</si>
  <si>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</si>
  <si>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</si>
  <si>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</si>
  <si>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</si>
  <si>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</si>
  <si>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</si>
  <si>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</si>
  <si>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</si>
  <si>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</si>
  <si>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</si>
  <si>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</si>
  <si>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</si>
  <si>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</si>
  <si>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</si>
  <si>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</si>
  <si>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</si>
  <si>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</si>
  <si>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</si>
  <si>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</si>
  <si>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</si>
  <si>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</si>
  <si>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</si>
  <si>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</si>
  <si>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</si>
  <si>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</si>
  <si>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</si>
  <si>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</si>
  <si>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</si>
  <si>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</si>
  <si>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</si>
  <si>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</si>
  <si>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</si>
  <si>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</si>
  <si>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</si>
  <si>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</si>
  <si>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</si>
  <si>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</si>
  <si>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</si>
  <si>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</si>
  <si>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</si>
  <si>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</si>
  <si>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</si>
  <si>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</si>
  <si>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</si>
  <si>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</si>
  <si>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</si>
  <si>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</si>
  <si>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</si>
  <si>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</si>
  <si>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</si>
  <si>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</si>
  <si>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</si>
  <si>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</si>
  <si>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</si>
  <si>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</si>
  <si>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</si>
  <si>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</si>
  <si>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</si>
  <si>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</si>
  <si>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</si>
  <si>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</si>
  <si>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</si>
  <si>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</si>
  <si>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</si>
  <si>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</si>
  <si>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</si>
  <si>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</si>
  <si>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</si>
  <si>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</si>
  <si>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</si>
  <si>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</si>
  <si>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</si>
  <si>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</si>
  <si>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</si>
  <si>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</si>
  <si>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</si>
  <si>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</si>
  <si>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</si>
  <si>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</si>
  <si>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</si>
  <si>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</si>
  <si>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</si>
  <si>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</si>
  <si>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</si>
  <si>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</si>
  <si>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</si>
  <si>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</si>
  <si>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</si>
  <si>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</si>
  <si>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</si>
  <si>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</si>
  <si>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</si>
  <si>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</si>
  <si>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</si>
  <si>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</si>
  <si>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</si>
  <si>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</si>
  <si>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</si>
  <si>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</si>
  <si>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</si>
  <si>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</si>
  <si>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</si>
  <si>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</si>
  <si>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</si>
  <si>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</si>
  <si>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</si>
  <si>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</si>
  <si>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</si>
  <si>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</si>
  <si>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</si>
  <si>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</si>
  <si>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</si>
  <si>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</si>
  <si>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</si>
  <si>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</si>
  <si>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</si>
  <si>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</si>
  <si>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</si>
  <si>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</si>
  <si>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</si>
  <si>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</si>
  <si>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</si>
  <si>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</si>
  <si>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</si>
  <si>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</si>
  <si>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</si>
  <si>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</si>
  <si>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</si>
  <si>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</si>
  <si>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</si>
  <si>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</si>
  <si>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</si>
  <si>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</si>
  <si>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</si>
  <si>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</si>
  <si>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</si>
  <si>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</si>
  <si>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</si>
  <si>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</si>
  <si>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</si>
  <si>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</si>
  <si>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</si>
  <si>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</si>
  <si>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</si>
  <si>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</si>
  <si>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</si>
  <si>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</si>
  <si>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</si>
  <si>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</si>
  <si>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</si>
  <si>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</si>
  <si>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</si>
  <si>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</si>
  <si>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</si>
  <si>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</si>
  <si>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</si>
  <si>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</si>
  <si>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</si>
  <si>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</si>
  <si>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</si>
  <si>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</si>
  <si>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</si>
  <si>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</si>
  <si>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</si>
  <si>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</si>
  <si>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</si>
  <si>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</si>
  <si>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</si>
  <si>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</si>
  <si>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</si>
  <si>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</si>
  <si>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</si>
  <si>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</si>
  <si>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</si>
  <si>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</si>
  <si>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</si>
  <si>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</si>
  <si>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</si>
  <si>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</si>
  <si>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</si>
  <si>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</si>
  <si>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</si>
  <si>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</si>
  <si>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</si>
  <si>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</si>
  <si>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</si>
  <si>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</si>
  <si>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</si>
  <si>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</si>
  <si>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</si>
  <si>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</si>
  <si>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</si>
  <si>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</si>
  <si>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</si>
  <si>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</si>
  <si>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</si>
  <si>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</si>
  <si>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</si>
  <si>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</si>
  <si>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</si>
  <si>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</si>
  <si>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</si>
  <si>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</si>
  <si>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</si>
  <si>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</si>
  <si>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</si>
  <si>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</si>
  <si>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</si>
  <si>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</si>
  <si>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</si>
  <si>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</si>
  <si>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</si>
  <si>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</si>
  <si>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</si>
  <si>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</si>
  <si>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</si>
  <si>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</si>
  <si>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</si>
  <si>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</si>
  <si>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</si>
  <si>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</si>
  <si>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</si>
  <si>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</si>
  <si>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</si>
  <si>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</si>
  <si>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</si>
  <si>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</si>
  <si>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</si>
  <si>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</si>
  <si>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</si>
  <si>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</si>
  <si>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</si>
  <si>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</si>
  <si>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</si>
  <si>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</si>
  <si>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</si>
  <si>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</si>
  <si>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</si>
  <si>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</si>
  <si>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</si>
  <si>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</si>
  <si>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</si>
  <si>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</si>
  <si>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</si>
  <si>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</si>
  <si>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</si>
  <si>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</si>
  <si>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</si>
  <si>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</si>
  <si>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</si>
  <si>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</si>
  <si>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</si>
  <si>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</si>
  <si>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</si>
  <si>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</si>
  <si>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</si>
  <si>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</si>
  <si>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</si>
  <si>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</si>
  <si>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</si>
  <si>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</si>
  <si>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</si>
  <si>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</si>
  <si>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</si>
  <si>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</si>
  <si>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</si>
  <si>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</si>
  <si>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</si>
  <si>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</si>
  <si>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</si>
  <si>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</si>
  <si>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</si>
  <si>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</si>
  <si>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</si>
  <si>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</si>
  <si>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</si>
  <si>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</si>
  <si>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</si>
  <si>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</si>
  <si>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</si>
  <si>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</si>
  <si>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</si>
  <si>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</si>
  <si>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</si>
  <si>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</si>
  <si>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</si>
  <si>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</si>
  <si>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</si>
  <si>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</si>
  <si>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</si>
  <si>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</si>
  <si>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</si>
  <si>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</si>
  <si>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</si>
  <si>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</si>
  <si>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</si>
  <si>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</si>
  <si>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</si>
  <si>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</si>
  <si>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</si>
  <si>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</si>
  <si>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</si>
  <si>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</si>
  <si>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</si>
  <si>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</si>
  <si>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</si>
  <si>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</si>
  <si>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</si>
  <si>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</si>
  <si>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</si>
  <si>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</si>
  <si>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</si>
  <si>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</si>
  <si>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</si>
  <si>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</si>
  <si>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</si>
  <si>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</si>
  <si>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</si>
  <si>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</si>
  <si>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</si>
  <si>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</si>
  <si>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</si>
  <si>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</si>
  <si>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</si>
  <si>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</si>
  <si>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</si>
  <si>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</si>
  <si>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</si>
  <si>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</si>
  <si>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</si>
  <si>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</si>
  <si>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</si>
  <si>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</si>
  <si>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</si>
  <si>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</si>
  <si>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</si>
  <si>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</si>
  <si>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</si>
  <si>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</si>
  <si>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</si>
  <si>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</si>
  <si>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</si>
  <si>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</si>
  <si>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</si>
  <si>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</si>
  <si>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</si>
  <si>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</si>
  <si>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</si>
  <si>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</si>
  <si>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</si>
  <si>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</si>
  <si>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</si>
  <si>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</si>
  <si>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</si>
  <si>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</si>
  <si>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</si>
  <si>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</si>
  <si>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</si>
  <si>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</si>
  <si>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</si>
  <si>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</si>
  <si>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</si>
  <si>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</si>
  <si>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</si>
  <si>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</si>
  <si>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</si>
  <si>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</si>
  <si>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</si>
  <si>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</si>
  <si>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</si>
  <si>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</si>
  <si>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</si>
  <si>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</si>
  <si>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</si>
  <si>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</si>
  <si>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</si>
  <si>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</si>
  <si>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</si>
  <si>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</si>
  <si>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</si>
  <si>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</si>
  <si>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</si>
  <si>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</si>
  <si>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</si>
  <si>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</si>
  <si>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</si>
  <si>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</si>
  <si>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</si>
  <si>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</si>
  <si>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</si>
  <si>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</si>
  <si>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</si>
  <si>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</si>
  <si>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</si>
  <si>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</si>
  <si>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</si>
  <si>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</si>
  <si>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</si>
  <si>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</si>
  <si>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</si>
  <si>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</si>
  <si>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</si>
  <si>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</si>
  <si>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</si>
  <si>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</si>
  <si>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</si>
  <si>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</si>
  <si>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</si>
  <si>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</si>
  <si>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</si>
  <si>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</si>
  <si>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</si>
  <si>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</si>
  <si>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</si>
  <si>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</si>
  <si>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</si>
  <si>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</si>
  <si>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</si>
  <si>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</si>
  <si>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</si>
  <si>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</si>
  <si>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</si>
  <si>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</si>
  <si>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</si>
  <si>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</si>
  <si>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</si>
  <si>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</si>
  <si>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</si>
  <si>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</si>
  <si>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</si>
  <si>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</si>
  <si>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</si>
  <si>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</si>
  <si>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</si>
  <si>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</si>
  <si>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</si>
  <si>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</si>
  <si>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</si>
  <si>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</si>
  <si>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</si>
  <si>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</si>
  <si>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</si>
  <si>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</si>
  <si>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</si>
  <si>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</si>
  <si>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</si>
  <si>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</si>
  <si>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</si>
  <si>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</si>
  <si>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</si>
  <si>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</si>
  <si>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</si>
  <si>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</si>
  <si>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</si>
  <si>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</si>
  <si>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</si>
  <si>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</si>
  <si>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</si>
  <si>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</si>
  <si>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</si>
  <si>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</si>
  <si>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</si>
  <si>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</si>
  <si>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</si>
  <si>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</si>
  <si>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</si>
  <si>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</si>
  <si>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</si>
  <si>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</si>
  <si>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</si>
  <si>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</si>
  <si>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</si>
  <si>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</si>
  <si>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</si>
  <si>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</si>
  <si>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</si>
  <si>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</si>
  <si>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</si>
  <si>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</si>
  <si>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</si>
  <si>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</si>
  <si>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</si>
  <si>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</si>
  <si>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</si>
  <si>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</si>
  <si>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</si>
  <si>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</si>
  <si>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</si>
  <si>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</si>
  <si>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</si>
  <si>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</si>
  <si>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</si>
  <si>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</si>
  <si>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</si>
  <si>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</si>
  <si>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</si>
  <si>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</si>
  <si>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</si>
  <si>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</si>
  <si>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</si>
  <si>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</si>
  <si>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</si>
  <si>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</si>
  <si>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</si>
  <si>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</si>
  <si>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</si>
  <si>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</si>
  <si>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</si>
  <si>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</si>
  <si>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</si>
  <si>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</si>
  <si>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</si>
  <si>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</si>
  <si>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</si>
  <si>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</si>
  <si>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</si>
  <si>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</si>
  <si>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</si>
  <si>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</si>
  <si>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</si>
  <si>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</si>
  <si>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</si>
  <si>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</si>
  <si>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</si>
  <si>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</si>
  <si>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</si>
  <si>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</si>
  <si>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</si>
  <si>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</si>
  <si>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</si>
  <si>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</si>
  <si>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</si>
  <si>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</si>
  <si>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</si>
  <si>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</si>
  <si>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</si>
  <si>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</si>
  <si>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</si>
  <si>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</si>
  <si>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</si>
  <si>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</si>
  <si>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</si>
  <si>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</si>
  <si>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</si>
  <si>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</si>
  <si>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</si>
  <si>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</si>
  <si>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</si>
  <si>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</si>
  <si>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</si>
  <si>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</si>
  <si>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</si>
  <si>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</si>
  <si>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</si>
  <si>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</si>
  <si>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</si>
  <si>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</si>
  <si>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</si>
  <si>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</si>
  <si>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</si>
  <si>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</si>
  <si>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</si>
  <si>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</si>
  <si>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</si>
  <si>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</si>
  <si>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</si>
  <si>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</si>
  <si>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</si>
  <si>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</si>
  <si>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</si>
  <si>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</si>
  <si>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</si>
  <si>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</si>
  <si>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</si>
  <si>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</si>
  <si>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</si>
  <si>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</si>
  <si>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</si>
  <si>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</si>
  <si>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</si>
  <si>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</si>
  <si>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</si>
  <si>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</si>
  <si>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</si>
  <si>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</si>
  <si>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</si>
  <si>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</si>
  <si>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</si>
  <si>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</si>
  <si>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</si>
  <si>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</si>
  <si>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</si>
  <si>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</si>
  <si>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</si>
  <si>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</si>
  <si>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</si>
  <si>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</si>
  <si>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</si>
  <si>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</si>
  <si>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</si>
  <si>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</si>
  <si>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</si>
  <si>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</si>
  <si>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</si>
  <si>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</si>
  <si>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</si>
  <si>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</si>
  <si>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</si>
  <si>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</si>
  <si>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</si>
  <si>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</si>
  <si>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</si>
  <si>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</si>
  <si>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</si>
  <si>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</si>
  <si>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</si>
  <si>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</si>
  <si>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</si>
  <si>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</si>
  <si>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</si>
  <si>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</si>
  <si>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</si>
  <si>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</si>
  <si>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</si>
  <si>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</si>
  <si>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</si>
  <si>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</si>
  <si>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</si>
  <si>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</si>
  <si>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</si>
  <si>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</si>
  <si>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</si>
  <si>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</si>
  <si>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</si>
  <si>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</si>
  <si>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</si>
  <si>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</si>
  <si>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</si>
  <si>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</si>
  <si>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</si>
  <si>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</si>
  <si>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</si>
  <si>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</si>
  <si>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</si>
  <si>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</si>
  <si>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</si>
  <si>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</si>
  <si>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</si>
  <si>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</si>
  <si>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</si>
  <si>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</si>
  <si>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</si>
  <si>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</si>
  <si>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</si>
  <si>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</si>
  <si>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</si>
  <si>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</si>
  <si>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</si>
  <si>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</si>
  <si>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</si>
  <si>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</si>
  <si>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</si>
  <si>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</si>
  <si>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</si>
  <si>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</si>
  <si>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</si>
  <si>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</si>
  <si>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</si>
  <si>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</si>
  <si>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</si>
  <si>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</si>
  <si>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</si>
  <si>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</si>
  <si>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</si>
  <si>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</si>
  <si>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</si>
  <si>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</si>
  <si>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</si>
  <si>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</si>
  <si>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</si>
  <si>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</si>
  <si>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</si>
  <si>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</si>
  <si>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</si>
  <si>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</si>
  <si>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</si>
  <si>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</si>
  <si>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</si>
  <si>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</si>
  <si>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</si>
  <si>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</si>
  <si>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</si>
  <si>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</si>
  <si>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</si>
  <si>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</si>
  <si>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</si>
  <si>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</si>
  <si>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</si>
  <si>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</si>
  <si>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</si>
  <si>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</si>
  <si>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</si>
  <si>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</si>
  <si>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</si>
  <si>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</si>
  <si>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</si>
  <si>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</si>
  <si>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</si>
  <si>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</si>
  <si>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</si>
  <si>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</si>
  <si>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</si>
  <si>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</si>
  <si>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</si>
  <si>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</si>
  <si>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</si>
  <si>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</si>
  <si>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</si>
  <si>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</si>
  <si>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</si>
  <si>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</si>
  <si>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</si>
  <si>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</si>
  <si>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</si>
  <si>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</si>
  <si>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</si>
  <si>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</si>
  <si>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</si>
  <si>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</si>
  <si>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</si>
  <si>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</si>
  <si>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</si>
  <si>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</si>
  <si>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</si>
  <si>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</si>
  <si>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</si>
  <si>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</si>
  <si>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</si>
  <si>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</si>
  <si>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</si>
  <si>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</si>
  <si>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</si>
  <si>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</si>
  <si>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</si>
  <si>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</si>
  <si>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</si>
  <si>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</si>
  <si>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</si>
  <si>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</si>
  <si>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</si>
  <si>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</si>
  <si>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</si>
  <si>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</si>
  <si>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</si>
  <si>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</si>
  <si>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</si>
  <si>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</si>
  <si>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</si>
  <si>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</si>
  <si>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</si>
  <si>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</si>
  <si>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</si>
  <si>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</si>
  <si>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</si>
  <si>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</si>
  <si>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</si>
  <si>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</si>
  <si>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</si>
  <si>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</si>
  <si>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</si>
  <si>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</si>
  <si>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</si>
  <si>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</si>
  <si>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</si>
  <si>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</si>
  <si>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</si>
  <si>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</si>
  <si>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</si>
  <si>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</si>
  <si>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</si>
  <si>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</si>
  <si>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</si>
  <si>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</si>
  <si>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</si>
  <si>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</si>
  <si>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</si>
  <si>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</si>
  <si>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</si>
  <si>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</si>
  <si>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</si>
  <si>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</si>
  <si>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</si>
  <si>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</si>
  <si>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</si>
  <si>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</si>
  <si>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</si>
  <si>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</si>
  <si>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</si>
  <si>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</si>
  <si>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</si>
  <si>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</si>
  <si>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</si>
  <si>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</si>
  <si>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</si>
  <si>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</si>
  <si>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</si>
  <si>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</si>
  <si>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</si>
  <si>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</si>
  <si>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</si>
  <si>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</si>
  <si>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</si>
  <si>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</si>
  <si>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</si>
  <si>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</si>
  <si>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</si>
  <si>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</si>
  <si>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</si>
  <si>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</si>
  <si>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</si>
  <si>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</si>
  <si>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</si>
  <si>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</si>
  <si>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</si>
  <si>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</si>
  <si>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</si>
  <si>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</si>
  <si>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</si>
  <si>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</si>
  <si>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</si>
  <si>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</si>
  <si>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</si>
  <si>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</si>
  <si>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</si>
  <si>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</si>
  <si>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</si>
  <si>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</si>
  <si>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</si>
  <si>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</si>
  <si>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</si>
  <si>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</si>
  <si>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</si>
  <si>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</si>
  <si>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</si>
  <si>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</si>
  <si>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</si>
  <si>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</si>
  <si>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</si>
  <si>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</si>
  <si>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</si>
  <si>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</si>
  <si>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</si>
  <si>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</si>
  <si>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</si>
  <si>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</si>
  <si>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</si>
  <si>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</si>
  <si>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</si>
  <si>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</si>
  <si>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</si>
  <si>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</si>
  <si>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</si>
  <si>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</si>
  <si>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</si>
  <si>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</si>
  <si>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</si>
  <si>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</si>
  <si>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</si>
  <si>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</si>
  <si>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</si>
  <si>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</si>
  <si>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</si>
  <si>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</si>
  <si>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</si>
  <si>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</si>
  <si>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</si>
  <si>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</si>
  <si>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</si>
  <si>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</si>
  <si>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</si>
  <si>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</si>
  <si>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</si>
  <si>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</si>
  <si>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</si>
  <si>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</si>
  <si>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</si>
  <si>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</si>
  <si>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</si>
  <si>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</si>
  <si>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</si>
  <si>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</si>
  <si>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</si>
  <si>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</si>
  <si>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</si>
  <si>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</si>
  <si>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</si>
  <si>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</si>
  <si>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</si>
  <si>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</si>
  <si>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</si>
  <si>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</si>
  <si>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</si>
  <si>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</si>
  <si>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</si>
  <si>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</si>
  <si>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</si>
  <si>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</si>
  <si>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</si>
  <si>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</si>
  <si>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</si>
  <si>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</si>
  <si>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</si>
  <si>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</si>
  <si>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</si>
  <si>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</si>
  <si>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</si>
  <si>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</si>
  <si>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</si>
  <si>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</si>
  <si>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</si>
  <si>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</si>
  <si>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</si>
  <si>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</si>
  <si>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</si>
  <si>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</si>
  <si>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</si>
  <si>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</si>
  <si>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</si>
  <si>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</si>
  <si>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</si>
  <si>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</si>
  <si>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</si>
  <si>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</si>
  <si>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</si>
  <si>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</si>
  <si>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</si>
  <si>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</si>
  <si>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</si>
  <si>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</si>
  <si>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</si>
  <si>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</si>
  <si>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</si>
  <si>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</si>
  <si>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</si>
  <si>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</si>
  <si>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</si>
  <si>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</si>
  <si>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</si>
  <si>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</si>
  <si>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</si>
  <si>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</si>
  <si>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</si>
  <si>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</si>
  <si>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</si>
  <si>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</si>
  <si>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</si>
  <si>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</si>
  <si>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</si>
  <si>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</si>
  <si>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</si>
  <si>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</si>
  <si>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</si>
  <si>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</si>
  <si>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</si>
  <si>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</si>
  <si>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</si>
  <si>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</si>
  <si>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</si>
  <si>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</si>
  <si>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</si>
  <si>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</si>
  <si>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</si>
  <si>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</si>
  <si>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</si>
  <si>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</si>
  <si>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</si>
  <si>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</si>
  <si>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</si>
  <si>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</si>
  <si>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</si>
  <si>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</si>
  <si>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</si>
  <si>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</si>
  <si>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</si>
  <si>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</si>
  <si>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</si>
  <si>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</si>
  <si>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</si>
  <si>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</si>
  <si>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</si>
  <si>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</si>
  <si>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</si>
  <si>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</si>
  <si>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</si>
  <si>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</si>
  <si>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</si>
  <si>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</si>
  <si>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</si>
  <si>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</si>
  <si>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</si>
  <si>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</si>
  <si>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</si>
  <si>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</si>
  <si>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</si>
  <si>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</si>
  <si>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</si>
  <si>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</si>
  <si>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</si>
  <si>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</si>
  <si>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</si>
  <si>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</si>
  <si>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</si>
  <si>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</si>
  <si>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</si>
  <si>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</si>
  <si>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</si>
  <si>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</si>
  <si>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</si>
  <si>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</si>
  <si>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</si>
  <si>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</si>
  <si>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</si>
  <si>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</si>
  <si>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</si>
  <si>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</si>
  <si>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</si>
  <si>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</si>
  <si>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</si>
  <si>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</si>
  <si>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</si>
  <si>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</si>
  <si>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</si>
  <si>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</si>
  <si>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</si>
  <si>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</si>
  <si>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</si>
  <si>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</si>
  <si>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</si>
  <si>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</si>
  <si>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</si>
  <si>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</si>
  <si>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</si>
  <si>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</si>
  <si>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</si>
  <si>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</si>
  <si>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</si>
  <si>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</si>
  <si>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</si>
  <si>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</si>
  <si>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</si>
  <si>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</si>
  <si>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</si>
  <si>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</si>
  <si>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</si>
  <si>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</si>
  <si>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</si>
  <si>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</si>
  <si>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</si>
  <si>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</si>
  <si>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</si>
  <si>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</si>
  <si>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</si>
  <si>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</si>
  <si>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</si>
  <si>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</si>
  <si>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</si>
  <si>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</si>
  <si>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</si>
  <si>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</si>
  <si>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</si>
  <si>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</si>
  <si>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</si>
  <si>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</si>
  <si>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</si>
  <si>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</si>
  <si>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</si>
  <si>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</si>
  <si>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</si>
  <si>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</si>
  <si>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</si>
  <si>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</si>
  <si>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</si>
  <si>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</si>
  <si>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</si>
  <si>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</si>
  <si>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</si>
  <si>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</si>
  <si>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</si>
  <si>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</si>
  <si>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</si>
  <si>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</si>
  <si>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</si>
  <si>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</si>
  <si>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</si>
  <si>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</si>
  <si>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</si>
  <si>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</si>
  <si>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</si>
  <si>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</si>
  <si>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</si>
  <si>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</si>
  <si>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</si>
  <si>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</si>
  <si>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</si>
  <si>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</si>
  <si>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</si>
  <si>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</si>
  <si>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</si>
  <si>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</si>
  <si>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</si>
  <si>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</si>
  <si>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</si>
  <si>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</si>
  <si>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</si>
  <si>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</si>
  <si>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</si>
  <si>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</si>
  <si>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</si>
  <si>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</si>
  <si>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</si>
  <si>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</si>
  <si>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</si>
  <si>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</si>
  <si>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</si>
  <si>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</si>
  <si>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</si>
  <si>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</si>
  <si>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</si>
  <si>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</si>
  <si>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</si>
  <si>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</si>
  <si>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</si>
  <si>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</si>
  <si>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</si>
  <si>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</si>
  <si>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</si>
  <si>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</si>
  <si>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</si>
  <si>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</si>
  <si>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</si>
  <si>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</si>
  <si>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</si>
  <si>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</si>
  <si>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</si>
  <si>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</si>
  <si>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</si>
  <si>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</si>
  <si>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</si>
  <si>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</si>
  <si>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</si>
  <si>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</si>
  <si>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</si>
  <si>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</si>
  <si>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</si>
  <si>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</si>
  <si>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</si>
  <si>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</si>
  <si>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</si>
  <si>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</si>
  <si>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</si>
  <si>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</si>
  <si>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</si>
  <si>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</si>
  <si>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</si>
  <si>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</si>
  <si>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</si>
  <si>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</si>
  <si>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</si>
  <si>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</si>
  <si>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</si>
  <si>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</si>
  <si>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</si>
  <si>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</si>
  <si>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</si>
  <si>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</si>
  <si>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</si>
  <si>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</si>
  <si>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</si>
  <si>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</si>
  <si>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</si>
  <si>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</si>
  <si>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</si>
  <si>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</si>
  <si>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</si>
  <si>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</si>
  <si>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</si>
  <si>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</si>
  <si>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</si>
  <si>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</si>
  <si>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</si>
  <si>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</si>
  <si>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</si>
  <si>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</si>
  <si>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</si>
  <si>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</si>
  <si>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</si>
  <si>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</si>
  <si>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</si>
  <si>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</si>
  <si>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</si>
  <si>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</si>
  <si>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</si>
  <si>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</si>
  <si>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</si>
  <si>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</si>
  <si>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</si>
  <si>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</si>
  <si>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</si>
  <si>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</si>
  <si>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</si>
  <si>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</si>
  <si>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</si>
  <si>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</si>
  <si>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</si>
  <si>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</si>
  <si>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</si>
  <si>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</si>
  <si>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</si>
  <si>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</si>
  <si>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</si>
  <si>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</si>
  <si>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</si>
  <si>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</si>
  <si>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</si>
  <si>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</si>
  <si>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</si>
  <si>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</si>
  <si>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</si>
  <si>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</si>
  <si>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</si>
  <si>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</si>
  <si>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</si>
  <si>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</si>
  <si>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</si>
  <si>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</si>
  <si>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</si>
  <si>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</si>
  <si>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</si>
  <si>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</si>
  <si>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</si>
  <si>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</si>
  <si>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</si>
  <si>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</si>
  <si>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</si>
  <si>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</si>
  <si>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</si>
  <si>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</si>
  <si>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</si>
  <si>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</si>
  <si>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</si>
  <si>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</si>
  <si>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</si>
  <si>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</si>
  <si>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</si>
  <si>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</si>
  <si>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</si>
  <si>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</si>
  <si>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</si>
  <si>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</si>
  <si>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</si>
  <si>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</si>
  <si>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</si>
  <si>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</si>
  <si>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</si>
  <si>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</si>
  <si>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</si>
  <si>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</si>
  <si>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</si>
  <si>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</si>
  <si>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</si>
  <si>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</si>
  <si>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</si>
  <si>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</si>
  <si>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</si>
  <si>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</si>
  <si>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</si>
  <si>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</si>
  <si>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</si>
  <si>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</si>
  <si>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</si>
  <si>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</si>
  <si>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</si>
  <si>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</si>
  <si>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</si>
  <si>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</si>
  <si>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</si>
  <si>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</si>
  <si>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</si>
  <si>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</si>
  <si>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</si>
  <si>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</si>
  <si>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</si>
  <si>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</si>
  <si>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</si>
  <si>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</si>
  <si>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</si>
  <si>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</si>
  <si>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</si>
  <si>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</si>
  <si>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</si>
  <si>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</si>
  <si>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</si>
  <si>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</si>
  <si>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</si>
  <si>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</si>
  <si>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</si>
  <si>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</si>
  <si>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</si>
  <si>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</si>
  <si>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</si>
  <si>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</si>
  <si>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</si>
  <si>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</si>
  <si>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</si>
  <si>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</si>
  <si>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</si>
  <si>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</si>
  <si>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</si>
  <si>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</si>
  <si>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</si>
  <si>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</si>
  <si>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</si>
  <si>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</si>
  <si>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</si>
  <si>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</si>
  <si>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</si>
  <si>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</si>
  <si>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</si>
  <si>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</si>
  <si>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</si>
  <si>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</si>
  <si>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</si>
  <si>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</si>
  <si>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</si>
  <si>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</si>
  <si>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</si>
  <si>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</si>
  <si>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</si>
  <si>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</si>
  <si>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</si>
  <si>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</si>
  <si>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</si>
  <si>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</si>
  <si>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</si>
  <si>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</si>
  <si>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</si>
  <si>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</si>
  <si>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</si>
  <si>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</si>
  <si>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</si>
  <si>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</si>
  <si>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</si>
  <si>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</si>
  <si>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</si>
  <si>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</si>
  <si>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</si>
  <si>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</si>
  <si>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</si>
  <si>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</si>
  <si>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</si>
  <si>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</si>
  <si>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</si>
  <si>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</si>
  <si>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</si>
  <si>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</si>
  <si>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</si>
  <si>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</si>
  <si>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</si>
  <si>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</si>
  <si>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</si>
  <si>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</si>
  <si>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</si>
  <si>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</si>
  <si>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</si>
  <si>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</si>
  <si>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</si>
  <si>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</si>
  <si>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</si>
  <si>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</si>
  <si>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</si>
  <si>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</si>
  <si>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</si>
  <si>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</si>
  <si>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</si>
  <si>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</si>
  <si>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</si>
  <si>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</si>
  <si>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</si>
  <si>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</si>
  <si>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</si>
  <si>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</si>
  <si>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</si>
  <si>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</si>
  <si>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</si>
  <si>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</si>
  <si>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</si>
  <si>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</si>
  <si>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</si>
  <si>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</si>
  <si>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</si>
  <si>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</si>
  <si>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</si>
  <si>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</si>
  <si>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</si>
  <si>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</si>
  <si>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</si>
  <si>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</si>
  <si>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</si>
  <si>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</si>
  <si>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</si>
  <si>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</si>
  <si>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</si>
  <si>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</si>
  <si>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</si>
  <si>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</si>
  <si>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</si>
  <si>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</si>
  <si>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</si>
  <si>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</si>
  <si>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</si>
  <si>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</si>
  <si>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</si>
  <si>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</si>
  <si>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</si>
  <si>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</si>
  <si>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</si>
  <si>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</si>
  <si>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</si>
  <si>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</si>
  <si>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</si>
  <si>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</si>
  <si>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</si>
  <si>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</si>
  <si>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</si>
  <si>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</si>
  <si>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</si>
  <si>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</si>
  <si>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</si>
  <si>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</si>
  <si>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</si>
  <si>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</si>
  <si>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</si>
  <si>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</si>
  <si>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</si>
  <si>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</si>
  <si>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</si>
  <si>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</si>
  <si>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</si>
  <si>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</si>
  <si>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</si>
  <si>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</si>
  <si>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</si>
  <si>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</si>
  <si>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</si>
  <si>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</si>
  <si>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</si>
  <si>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</si>
  <si>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</si>
  <si>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</si>
  <si>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</si>
  <si>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</si>
  <si>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</si>
  <si>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</si>
  <si>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</si>
  <si>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</si>
  <si>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</si>
  <si>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</si>
  <si>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</si>
  <si>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</si>
  <si>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</si>
  <si>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</si>
  <si>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</si>
  <si>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</si>
  <si>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</si>
  <si>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</si>
  <si>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</si>
  <si>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</si>
  <si>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</si>
  <si>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</si>
  <si>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</si>
  <si>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</si>
  <si>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</si>
  <si>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</si>
  <si>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</si>
  <si>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</si>
  <si>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</si>
  <si>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</si>
  <si>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</si>
  <si>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</si>
  <si>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</si>
  <si>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</si>
  <si>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</si>
  <si>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</si>
  <si>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</si>
  <si>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</si>
  <si>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</si>
  <si>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</si>
  <si>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</si>
  <si>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</si>
  <si>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</si>
  <si>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</si>
  <si>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</si>
  <si>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</si>
  <si>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</si>
  <si>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</si>
  <si>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</si>
  <si>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</si>
  <si>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</si>
  <si>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</si>
  <si>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</si>
  <si>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</si>
  <si>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</si>
  <si>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</si>
  <si>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</si>
  <si>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</si>
  <si>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</si>
  <si>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</si>
  <si>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</si>
  <si>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</si>
  <si>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</si>
  <si>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</si>
  <si>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</si>
  <si>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</si>
  <si>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</si>
  <si>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</si>
  <si>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</si>
  <si>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</si>
  <si>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</si>
  <si>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</si>
  <si>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</si>
  <si>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</si>
  <si>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</si>
  <si>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</si>
  <si>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</si>
  <si>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</si>
  <si>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</si>
  <si>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</si>
  <si>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</si>
  <si>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</si>
  <si>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</si>
  <si>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</si>
  <si>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</si>
  <si>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</si>
  <si>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</si>
  <si>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</si>
  <si>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</si>
  <si>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</si>
  <si>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</si>
  <si>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</si>
  <si>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</si>
  <si>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</si>
  <si>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</si>
  <si>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</si>
  <si>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</si>
  <si>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</si>
  <si>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</si>
  <si>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</si>
  <si>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</si>
  <si>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</si>
  <si>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</si>
  <si>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</si>
  <si>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</si>
  <si>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</si>
  <si>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</si>
  <si>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</si>
  <si>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</si>
  <si>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</si>
  <si>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</si>
  <si>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</si>
  <si>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</si>
  <si>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</si>
  <si>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</si>
  <si>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</si>
  <si>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</si>
  <si>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</si>
  <si>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</si>
  <si>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</si>
  <si>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</si>
  <si>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</si>
  <si>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</si>
  <si>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</si>
  <si>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</si>
  <si>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</si>
  <si>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</si>
  <si>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</si>
  <si>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</si>
  <si>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</si>
  <si>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</si>
  <si>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</si>
  <si>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</si>
  <si>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</si>
  <si>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</si>
  <si>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</si>
  <si>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</si>
  <si>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</si>
  <si>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</si>
  <si>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</si>
  <si>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</si>
  <si>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</si>
  <si>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</si>
  <si>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</si>
  <si>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</si>
  <si>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</si>
  <si>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</si>
  <si>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</si>
  <si>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</si>
  <si>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</si>
  <si>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</si>
  <si>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</si>
  <si>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</si>
  <si>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</si>
  <si>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</si>
  <si>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</si>
  <si>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</si>
  <si>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</si>
  <si>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</si>
  <si>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</si>
  <si>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</si>
  <si>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</si>
  <si>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</si>
  <si>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</si>
  <si>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</si>
  <si>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</si>
  <si>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</si>
  <si>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</si>
  <si>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</si>
  <si>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</si>
  <si>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</si>
  <si>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</si>
  <si>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</si>
  <si>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</si>
  <si>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</si>
  <si>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</si>
  <si>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</si>
  <si>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</si>
  <si>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</si>
  <si>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</si>
  <si>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</si>
  <si>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</si>
  <si>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</si>
  <si>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</si>
  <si>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</si>
  <si>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</si>
  <si>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</si>
  <si>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</si>
  <si>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</si>
  <si>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</si>
  <si>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</si>
  <si>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</si>
  <si>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</si>
  <si>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</si>
  <si>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</si>
  <si>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</si>
  <si>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</si>
  <si>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</si>
  <si>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</si>
  <si>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</si>
  <si>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</si>
  <si>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</si>
  <si>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</si>
  <si>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</si>
  <si>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</si>
  <si>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</si>
  <si>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</si>
  <si>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</si>
  <si>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</si>
  <si>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</si>
  <si>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</si>
  <si>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</si>
  <si>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</si>
  <si>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</si>
  <si>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</si>
  <si>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</si>
  <si>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</si>
  <si>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</si>
  <si>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</si>
  <si>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</si>
  <si>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</si>
  <si>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</si>
  <si>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</si>
  <si>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</si>
  <si>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</si>
  <si>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</si>
  <si>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</si>
  <si>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</si>
  <si>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</si>
  <si>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</si>
  <si>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</si>
  <si>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</si>
  <si>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</si>
  <si>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</si>
  <si>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</si>
  <si>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</si>
  <si>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</si>
  <si>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</si>
  <si>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</si>
  <si>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</si>
  <si>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</si>
  <si>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</si>
  <si>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</si>
  <si>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</si>
  <si>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</si>
  <si>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</si>
  <si>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</si>
  <si>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</si>
  <si>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</si>
  <si>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</si>
  <si>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</si>
  <si>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</si>
  <si>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</si>
  <si>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</si>
  <si>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</si>
  <si>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</si>
  <si>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</si>
  <si>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</si>
  <si>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</si>
  <si>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</si>
  <si>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</si>
  <si>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</si>
  <si>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</si>
  <si>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</si>
  <si>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</si>
  <si>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</si>
  <si>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</si>
  <si>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</si>
  <si>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</si>
  <si>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</si>
  <si>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</si>
  <si>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</si>
  <si>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</si>
  <si>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</si>
  <si>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</si>
  <si>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</si>
  <si>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</si>
  <si>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</si>
  <si>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</si>
  <si>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</si>
  <si>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</si>
  <si>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</si>
  <si>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</si>
  <si>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</si>
  <si>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</si>
  <si>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</si>
  <si>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</si>
  <si>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</si>
  <si>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</si>
  <si>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</si>
  <si>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</si>
  <si>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</si>
  <si>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</si>
  <si>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</si>
  <si>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</si>
  <si>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</si>
  <si>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</si>
  <si>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</si>
  <si>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</si>
  <si>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</si>
  <si>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</si>
  <si>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</si>
  <si>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</si>
  <si>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</si>
  <si>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</si>
  <si>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</si>
  <si>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</si>
  <si>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</si>
  <si>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</si>
  <si>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</si>
  <si>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</si>
  <si>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</si>
  <si>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</si>
  <si>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</si>
  <si>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</si>
  <si>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</si>
  <si>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</si>
  <si>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</si>
  <si>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</si>
  <si>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</si>
  <si>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</si>
  <si>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</si>
  <si>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</si>
  <si>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</si>
  <si>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</si>
  <si>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</si>
  <si>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</si>
  <si>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</si>
  <si>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</si>
  <si>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</si>
  <si>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</si>
  <si>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</si>
  <si>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</si>
  <si>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</si>
  <si>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</si>
  <si>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</si>
  <si>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</si>
  <si>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</si>
  <si>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</si>
  <si>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</si>
  <si>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</si>
  <si>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</si>
  <si>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</si>
  <si>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</si>
  <si>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</si>
  <si>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</si>
  <si>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</si>
  <si>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</si>
  <si>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</si>
  <si>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</si>
  <si>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</si>
  <si>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</si>
  <si>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</si>
  <si>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</si>
  <si>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</si>
  <si>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</si>
  <si>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</si>
  <si>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</si>
  <si>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</si>
  <si>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</si>
  <si>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</si>
  <si>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</si>
  <si>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</si>
  <si>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</si>
  <si>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</si>
  <si>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</si>
  <si>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</si>
  <si>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</si>
  <si>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</si>
  <si>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</si>
  <si>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</si>
  <si>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</si>
  <si>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</si>
  <si>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</si>
  <si>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</si>
  <si>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</si>
  <si>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</si>
  <si>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</si>
  <si>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</si>
  <si>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</si>
  <si>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</si>
  <si>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</si>
  <si>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</si>
  <si>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</si>
  <si>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</si>
  <si>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</si>
  <si>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</si>
  <si>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</si>
  <si>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</si>
  <si>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</si>
  <si>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</si>
  <si>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</si>
  <si>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</si>
  <si>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</si>
  <si>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</si>
  <si>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</si>
  <si>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</si>
  <si>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</si>
  <si>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</si>
  <si>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</si>
  <si>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</si>
  <si>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</si>
  <si>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</si>
  <si>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</si>
  <si>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</si>
  <si>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</si>
  <si>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</si>
  <si>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</si>
  <si>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</si>
  <si>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</si>
  <si>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</si>
  <si>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</si>
  <si>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</si>
  <si>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</si>
  <si>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</si>
  <si>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</si>
  <si>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</si>
  <si>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</si>
  <si>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</si>
  <si>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</si>
  <si>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</si>
  <si>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</si>
  <si>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</si>
  <si>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</si>
  <si>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</si>
  <si>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</si>
  <si>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</si>
  <si>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</si>
  <si>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</si>
  <si>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</si>
  <si>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</si>
  <si>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</si>
  <si>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</si>
  <si>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</si>
  <si>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</si>
  <si>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</si>
  <si>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</si>
  <si>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</si>
  <si>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</si>
  <si>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</si>
  <si>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</si>
  <si>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</si>
  <si>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</si>
  <si>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</si>
  <si>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</si>
  <si>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</si>
  <si>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</si>
  <si>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</si>
  <si>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</si>
  <si>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</si>
  <si>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</si>
  <si>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</si>
  <si>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</si>
  <si>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</si>
  <si>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</si>
  <si>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</si>
  <si>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</si>
  <si>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</si>
  <si>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</si>
  <si>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</si>
  <si>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</si>
  <si>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</si>
  <si>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</si>
  <si>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</si>
  <si>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</si>
  <si>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</si>
  <si>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</si>
  <si>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</si>
  <si>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</si>
  <si>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</si>
  <si>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</si>
  <si>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</si>
  <si>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</si>
  <si>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</si>
  <si>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</si>
  <si>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</si>
  <si>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</si>
  <si>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</si>
  <si>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</si>
  <si>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</si>
  <si>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</si>
  <si>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</si>
  <si>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</si>
  <si>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</si>
  <si>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</si>
  <si>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</si>
  <si>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</si>
  <si>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</si>
  <si>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</si>
  <si>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</si>
  <si>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</si>
  <si>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</si>
  <si>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</si>
  <si>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</si>
  <si>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</si>
  <si>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</si>
  <si>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</si>
  <si>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</si>
  <si>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</si>
  <si>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</si>
  <si>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</si>
  <si>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</si>
  <si>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</si>
  <si>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</si>
  <si>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</si>
  <si>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</si>
  <si>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</si>
  <si>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</si>
  <si>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</si>
  <si>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</si>
  <si>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</si>
  <si>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</si>
  <si>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</si>
  <si>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</si>
  <si>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</si>
  <si>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</si>
  <si>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</si>
  <si>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</si>
  <si>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</si>
  <si>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</si>
  <si>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</si>
  <si>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</si>
  <si>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</si>
  <si>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</si>
  <si>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</si>
  <si>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</si>
  <si>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</si>
  <si>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</si>
  <si>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</si>
  <si>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</si>
  <si>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</si>
  <si>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</si>
  <si>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</si>
  <si>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</si>
  <si>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</si>
  <si>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</si>
  <si>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</si>
  <si>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</si>
  <si>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</si>
  <si>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</si>
  <si>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</si>
  <si>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</si>
  <si>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</si>
  <si>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</si>
  <si>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</si>
  <si>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</si>
  <si>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</si>
  <si>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</si>
  <si>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</si>
  <si>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</si>
  <si>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</si>
  <si>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</si>
  <si>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</si>
  <si>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</si>
  <si>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</si>
  <si>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</si>
  <si>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</si>
  <si>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</si>
  <si>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</si>
  <si>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</si>
  <si>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</si>
  <si>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</si>
  <si>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</si>
  <si>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</si>
  <si>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</si>
  <si>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</si>
  <si>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</si>
  <si>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</si>
  <si>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</si>
  <si>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</si>
  <si>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</si>
  <si>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</si>
  <si>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</si>
  <si>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</si>
  <si>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</si>
  <si>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</si>
  <si>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</si>
  <si>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</si>
  <si>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</si>
  <si>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</si>
  <si>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</si>
  <si>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</si>
  <si>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</si>
  <si>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</si>
  <si>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</si>
  <si>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</si>
  <si>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</si>
  <si>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</si>
  <si>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</si>
  <si>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</si>
  <si>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</si>
  <si>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</si>
  <si>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</si>
  <si>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</si>
  <si>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</si>
  <si>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</si>
  <si>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</si>
  <si>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</si>
  <si>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</si>
  <si>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</si>
  <si>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</si>
  <si>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</si>
  <si>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</si>
  <si>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</si>
  <si>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</si>
  <si>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</si>
  <si>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</si>
  <si>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</si>
  <si>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</si>
  <si>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</si>
  <si>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</si>
  <si>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</si>
  <si>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</si>
  <si>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</si>
  <si>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</si>
  <si>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</si>
  <si>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</si>
  <si>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</si>
  <si>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</si>
  <si>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</si>
  <si>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</si>
  <si>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</si>
  <si>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</si>
  <si>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</si>
  <si>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</si>
  <si>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</si>
  <si>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</si>
  <si>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</si>
  <si>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</si>
  <si>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</si>
  <si>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</si>
  <si>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</si>
  <si>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</si>
  <si>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</si>
  <si>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</si>
  <si>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</si>
  <si>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</si>
  <si>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</si>
  <si>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</si>
  <si>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</si>
  <si>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</si>
  <si>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</si>
  <si>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</si>
  <si>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</si>
  <si>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</si>
  <si>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</si>
  <si>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</si>
  <si>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</si>
  <si>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</si>
  <si>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</si>
  <si>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</si>
  <si>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</si>
  <si>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</si>
  <si>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</si>
  <si>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</si>
  <si>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</si>
  <si>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</si>
  <si>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</si>
  <si>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</si>
  <si>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</si>
  <si>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</si>
  <si>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</si>
  <si>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</si>
  <si>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</si>
  <si>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</si>
  <si>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</si>
  <si>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</si>
  <si>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</si>
  <si>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</si>
  <si>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</si>
  <si>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</si>
  <si>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</si>
  <si>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</si>
  <si>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</si>
  <si>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</si>
  <si>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</si>
  <si>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</si>
  <si>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</si>
  <si>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</si>
  <si>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</si>
  <si>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</si>
  <si>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</si>
  <si>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</si>
  <si>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</si>
  <si>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</si>
  <si>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</si>
  <si>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</si>
  <si>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</si>
  <si>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</si>
  <si>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</si>
  <si>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</si>
  <si>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</si>
  <si>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</si>
  <si>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</si>
  <si>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</si>
  <si>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</si>
  <si>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</si>
  <si>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</si>
  <si>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</si>
  <si>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</si>
  <si>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</si>
  <si>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</si>
  <si>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</si>
  <si>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</si>
  <si>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</si>
  <si>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</si>
  <si>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</si>
  <si>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</si>
  <si>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</si>
  <si>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</si>
  <si>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</si>
  <si>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</si>
  <si>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</si>
  <si>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</si>
  <si>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</si>
  <si>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</si>
  <si>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</si>
  <si>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</si>
  <si>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</si>
  <si>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</si>
  <si>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</si>
  <si>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</si>
  <si>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</si>
  <si>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</si>
  <si>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</si>
  <si>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</si>
  <si>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</si>
  <si>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</si>
  <si>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</si>
  <si>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</si>
  <si>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</si>
  <si>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</si>
  <si>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</si>
  <si>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</si>
  <si>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</si>
  <si>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</si>
  <si>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</si>
  <si>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</si>
  <si>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</si>
  <si>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</si>
  <si>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</si>
  <si>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</si>
  <si>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</si>
  <si>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</si>
  <si>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</si>
  <si>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</si>
  <si>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</si>
  <si>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</si>
  <si>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</si>
  <si>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</si>
  <si>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</si>
  <si>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</si>
  <si>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</si>
  <si>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</si>
  <si>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</si>
  <si>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</si>
  <si>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</si>
  <si>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</si>
  <si>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</si>
  <si>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</si>
  <si>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</si>
  <si>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</si>
  <si>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</si>
  <si>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</si>
  <si>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</si>
  <si>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</si>
  <si>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</si>
  <si>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</si>
  <si>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</si>
  <si>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</si>
  <si>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</si>
  <si>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</si>
  <si>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</si>
  <si>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</si>
  <si>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</si>
  <si>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</si>
  <si>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</si>
  <si>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</si>
  <si>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</si>
  <si>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</si>
  <si>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</si>
  <si>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</si>
  <si>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</si>
  <si>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</si>
  <si>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</si>
  <si>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</si>
  <si>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</si>
  <si>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</si>
  <si>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</si>
  <si>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</si>
  <si>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</si>
  <si>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</si>
  <si>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</si>
  <si>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</si>
  <si>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5" type="noConversion"/>
  </si>
  <si>
    <t>房地产市场价值</t>
  </si>
  <si>
    <t>BB公司</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</si>
  <si>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</si>
  <si>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</si>
  <si>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</si>
  <si>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</si>
  <si>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</si>
  <si>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</si>
  <si>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</si>
  <si>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</si>
  <si>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</si>
  <si>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</si>
  <si>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</si>
  <si>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</si>
  <si>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</si>
  <si>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</si>
  <si>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</si>
  <si>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</si>
  <si>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</si>
  <si>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</si>
  <si>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</si>
  <si>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</si>
  <si>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</si>
  <si>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</si>
  <si>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</si>
  <si>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</si>
  <si>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</si>
  <si>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</si>
  <si>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</si>
  <si>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</si>
  <si>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</si>
  <si>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</si>
  <si>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</si>
  <si>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</si>
  <si>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</si>
  <si>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</si>
  <si>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</si>
  <si>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</si>
  <si>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</si>
  <si>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</si>
  <si>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</si>
  <si>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</si>
  <si>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</si>
  <si>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</si>
  <si>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</si>
  <si>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</si>
  <si>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</si>
  <si>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</si>
  <si>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</si>
  <si>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</si>
  <si>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</si>
  <si>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</si>
  <si>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</si>
  <si>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</si>
  <si>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</si>
  <si>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</si>
  <si>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</si>
  <si>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</si>
  <si>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</si>
  <si>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</si>
  <si>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</si>
  <si>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</si>
  <si>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</si>
  <si>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</si>
  <si>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</si>
  <si>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</si>
  <si>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</si>
  <si>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</si>
  <si>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</si>
  <si>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</si>
  <si>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</si>
  <si>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</si>
  <si>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</si>
  <si>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</si>
  <si>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</si>
  <si>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</si>
  <si>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</si>
  <si>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</si>
  <si>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</si>
  <si>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</si>
  <si>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</si>
  <si>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</si>
  <si>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</si>
  <si>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</si>
  <si>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</si>
  <si>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</si>
  <si>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</si>
  <si>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</si>
  <si>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</si>
  <si>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</si>
  <si>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</si>
  <si>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</si>
  <si>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</si>
  <si>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</si>
  <si>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</si>
  <si>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</si>
  <si>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</si>
  <si>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</si>
  <si>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</si>
  <si>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</si>
  <si>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</si>
  <si>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</si>
  <si>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</si>
  <si>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</si>
  <si>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</si>
  <si>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</si>
  <si>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</si>
  <si>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</si>
  <si>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</si>
  <si>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</si>
  <si>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</si>
  <si>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</si>
  <si>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</si>
  <si>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</si>
  <si>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</si>
  <si>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</si>
  <si>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</si>
  <si>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</si>
  <si>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</si>
  <si>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</si>
  <si>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</si>
  <si>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</si>
  <si>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</si>
  <si>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</si>
  <si>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</si>
  <si>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</si>
  <si>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</si>
  <si>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</si>
  <si>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</si>
  <si>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</si>
  <si>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</si>
  <si>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</si>
  <si>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</si>
  <si>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</si>
  <si>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</si>
  <si>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</si>
  <si>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</si>
  <si>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</si>
  <si>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</si>
  <si>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</si>
  <si>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</si>
  <si>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</si>
  <si>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</si>
  <si>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</si>
  <si>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</si>
  <si>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</si>
  <si>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</si>
  <si>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</si>
  <si>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</si>
  <si>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</si>
  <si>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</si>
  <si>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</si>
  <si>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</si>
  <si>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</si>
  <si>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</si>
  <si>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</si>
  <si>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</si>
  <si>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</si>
  <si>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</si>
  <si>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</si>
  <si>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</si>
  <si>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</si>
  <si>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</si>
  <si>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</si>
  <si>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</si>
  <si>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</si>
  <si>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</si>
  <si>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</si>
  <si>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</si>
  <si>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</si>
  <si>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</si>
  <si>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</si>
  <si>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</si>
  <si>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</si>
  <si>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</si>
  <si>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</si>
  <si>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</si>
  <si>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</si>
  <si>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</si>
  <si>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</si>
  <si>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</si>
  <si>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</si>
  <si>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</si>
  <si>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</si>
  <si>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</si>
  <si>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</si>
  <si>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</si>
  <si>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</si>
  <si>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</si>
  <si>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</si>
  <si>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</si>
  <si>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</si>
  <si>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</si>
  <si>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</si>
  <si>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</si>
  <si>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</si>
  <si>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</si>
  <si>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</si>
  <si>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</si>
  <si>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</si>
  <si>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</si>
  <si>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</si>
  <si>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</si>
  <si>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</si>
  <si>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</si>
  <si>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</si>
  <si>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</si>
  <si>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</si>
  <si>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</si>
  <si>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</si>
  <si>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</si>
  <si>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</si>
  <si>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</si>
  <si>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</si>
  <si>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</si>
  <si>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</si>
  <si>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</si>
  <si>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</si>
  <si>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</si>
  <si>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</si>
  <si>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</si>
  <si>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</si>
  <si>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</si>
  <si>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</si>
  <si>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</si>
  <si>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</si>
  <si>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</si>
  <si>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</si>
  <si>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</si>
  <si>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</si>
  <si>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</si>
  <si>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</si>
  <si>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</si>
  <si>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</si>
  <si>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</si>
  <si>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</si>
  <si>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</si>
  <si>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</si>
  <si>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</si>
  <si>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</si>
  <si>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</si>
  <si>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</si>
  <si>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</si>
  <si>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</si>
  <si>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</si>
  <si>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</si>
  <si>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</si>
  <si>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</si>
  <si>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</si>
  <si>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</si>
  <si>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</si>
  <si>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</si>
  <si>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</si>
  <si>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</si>
  <si>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</si>
  <si>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</si>
  <si>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</si>
  <si>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</si>
  <si>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</si>
  <si>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</si>
  <si>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</si>
  <si>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</si>
  <si>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</si>
  <si>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</si>
  <si>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</si>
  <si>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</si>
  <si>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</si>
  <si>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</si>
  <si>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</si>
  <si>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</si>
  <si>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</si>
  <si>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</si>
  <si>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</si>
  <si>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</si>
  <si>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</si>
  <si>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</si>
  <si>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</si>
  <si>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</si>
  <si>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</si>
  <si>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</si>
  <si>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</si>
  <si>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</si>
  <si>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</si>
  <si>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</si>
  <si>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</si>
  <si>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</si>
  <si>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</si>
  <si>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</si>
  <si>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</si>
  <si>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</si>
  <si>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</si>
  <si>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</si>
  <si>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</si>
  <si>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</si>
  <si>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</si>
  <si>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</si>
  <si>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</si>
  <si>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</si>
  <si>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</si>
  <si>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</si>
  <si>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</si>
  <si>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</si>
  <si>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</si>
  <si>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</si>
  <si>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</si>
  <si>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</si>
  <si>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</si>
  <si>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</si>
  <si>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</si>
  <si>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</si>
  <si>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</si>
  <si>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</si>
  <si>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</si>
  <si>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</si>
  <si>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</si>
  <si>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</si>
  <si>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</si>
  <si>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</si>
  <si>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</si>
  <si>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</si>
  <si>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</si>
  <si>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</si>
  <si>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</si>
  <si>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</si>
  <si>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</si>
  <si>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</si>
  <si>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</si>
  <si>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</si>
  <si>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</si>
  <si>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</si>
  <si>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</si>
  <si>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</si>
  <si>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</si>
  <si>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</si>
  <si>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</si>
  <si>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</si>
  <si>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</si>
  <si>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</si>
  <si>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</si>
  <si>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</si>
  <si>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</si>
  <si>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</si>
  <si>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</si>
  <si>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</si>
  <si>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</si>
  <si>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</si>
  <si>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</si>
  <si>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</si>
  <si>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</si>
  <si>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</si>
  <si>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</si>
  <si>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</si>
  <si>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</si>
  <si>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</si>
  <si>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</si>
  <si>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</si>
  <si>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</si>
  <si>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</si>
  <si>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</si>
  <si>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</si>
  <si>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</si>
  <si>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</si>
  <si>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</si>
  <si>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</si>
  <si>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</si>
  <si>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</si>
  <si>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</si>
  <si>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</si>
  <si>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</si>
  <si>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</si>
  <si>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</si>
  <si>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</si>
  <si>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</si>
  <si>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</si>
  <si>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</si>
  <si>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</si>
  <si>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</si>
  <si>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</si>
  <si>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</si>
  <si>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</si>
  <si>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</si>
  <si>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</si>
  <si>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</si>
  <si>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</si>
  <si>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</si>
  <si>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</si>
  <si>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</si>
  <si>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</si>
  <si>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</si>
  <si>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</si>
  <si>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</si>
  <si>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</si>
  <si>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</si>
  <si>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</si>
  <si>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</si>
  <si>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</si>
  <si>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</si>
  <si>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</si>
  <si>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</si>
  <si>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</si>
  <si>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</si>
  <si>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</si>
  <si>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</si>
  <si>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</si>
  <si>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</si>
  <si>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</si>
  <si>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</si>
  <si>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</si>
  <si>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</si>
  <si>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</si>
  <si>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</si>
  <si>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</si>
  <si>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</si>
  <si>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</si>
  <si>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</si>
  <si>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</si>
  <si>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</si>
  <si>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</si>
  <si>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</si>
  <si>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</si>
  <si>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</si>
  <si>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</si>
  <si>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</si>
  <si>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</si>
  <si>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</si>
  <si>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</si>
  <si>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</si>
  <si>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</si>
  <si>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</si>
  <si>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</si>
  <si>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</si>
  <si>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</si>
  <si>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</si>
  <si>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</si>
  <si>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</si>
  <si>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</si>
  <si>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</si>
  <si>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</si>
  <si>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</si>
  <si>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</si>
  <si>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</si>
  <si>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</si>
  <si>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</si>
  <si>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</si>
  <si>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</si>
  <si>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</si>
  <si>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</si>
  <si>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</si>
  <si>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</si>
  <si>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</si>
  <si>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</si>
  <si>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</si>
  <si>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</si>
  <si>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</si>
  <si>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</si>
  <si>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</si>
  <si>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</si>
  <si>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</si>
  <si>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</si>
  <si>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</si>
  <si>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</si>
  <si>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</si>
  <si>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</si>
  <si>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</si>
  <si>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</si>
  <si>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</si>
  <si>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</si>
  <si>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</si>
  <si>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</si>
  <si>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</si>
  <si>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</si>
  <si>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</si>
  <si>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</si>
  <si>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</si>
  <si>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</si>
  <si>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</si>
  <si>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</si>
  <si>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</si>
  <si>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</si>
  <si>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</si>
  <si>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</si>
  <si>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</si>
  <si>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</si>
  <si>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</si>
  <si>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</si>
  <si>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</si>
  <si>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</si>
  <si>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</si>
  <si>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</si>
  <si>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</si>
  <si>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</si>
  <si>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</si>
  <si>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</si>
  <si>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</si>
  <si>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</si>
  <si>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</si>
  <si>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</si>
  <si>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</si>
  <si>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</si>
  <si>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</si>
  <si>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</si>
  <si>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</si>
  <si>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</si>
  <si>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</si>
  <si>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</si>
  <si>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</si>
  <si>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</si>
  <si>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</si>
  <si>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</si>
  <si>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</si>
  <si>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</si>
  <si>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</si>
  <si>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</si>
  <si>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</si>
  <si>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</si>
  <si>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</si>
  <si>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</si>
  <si>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</si>
  <si>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</si>
  <si>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</si>
  <si>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</si>
  <si>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</si>
  <si>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</si>
  <si>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</si>
  <si>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</si>
  <si>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</si>
  <si>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</si>
  <si>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</si>
  <si>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</si>
  <si>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</si>
  <si>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</si>
  <si>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</si>
  <si>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</si>
  <si>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</si>
  <si>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</si>
  <si>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</si>
  <si>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</si>
  <si>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</si>
  <si>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</si>
  <si>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</si>
  <si>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</si>
  <si>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</si>
  <si>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</si>
  <si>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</si>
  <si>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</si>
  <si>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</si>
  <si>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</si>
  <si>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</si>
  <si>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</si>
  <si>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</si>
  <si>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</si>
  <si>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</si>
  <si>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</si>
  <si>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</si>
  <si>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</si>
  <si>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</si>
  <si>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</si>
  <si>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</si>
  <si>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</si>
  <si>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</si>
  <si>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</si>
  <si>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</si>
  <si>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</si>
  <si>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</si>
  <si>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</si>
  <si>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</si>
  <si>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</si>
  <si>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</si>
  <si>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</si>
  <si>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</si>
  <si>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</si>
  <si>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</si>
  <si>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</si>
  <si>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</si>
  <si>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</si>
  <si>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</si>
  <si>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</si>
  <si>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</si>
  <si>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</si>
  <si>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</si>
  <si>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</si>
  <si>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</si>
  <si>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</si>
  <si>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</si>
  <si>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</si>
  <si>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</si>
  <si>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</si>
  <si>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</si>
  <si>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</si>
  <si>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</si>
  <si>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</si>
  <si>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</si>
  <si>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</si>
  <si>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</si>
  <si>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</si>
  <si>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</si>
  <si>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</si>
  <si>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</si>
  <si>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</si>
  <si>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</si>
  <si>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</si>
  <si>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</si>
  <si>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</si>
  <si>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</si>
  <si>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</si>
  <si>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</si>
  <si>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</si>
  <si>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</si>
  <si>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</si>
  <si>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</si>
  <si>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</si>
  <si>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</si>
  <si>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</si>
  <si>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</si>
  <si>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</si>
  <si>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</si>
  <si>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</si>
  <si>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</si>
  <si>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</si>
  <si>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</si>
  <si>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</si>
  <si>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</si>
  <si>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</si>
  <si>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</si>
  <si>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</si>
  <si>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</si>
  <si>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</si>
  <si>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</si>
  <si>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</si>
  <si>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</si>
  <si>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</si>
  <si>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</si>
  <si>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</si>
  <si>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</si>
  <si>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</si>
  <si>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</si>
  <si>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</si>
  <si>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</si>
  <si>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</si>
  <si>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</si>
  <si>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</si>
  <si>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</si>
  <si>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</si>
  <si>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</si>
  <si>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</si>
  <si>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</si>
  <si>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</si>
  <si>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</si>
  <si>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</si>
  <si>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</si>
  <si>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</si>
  <si>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</si>
  <si>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</si>
  <si>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</si>
  <si>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</si>
  <si>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</si>
  <si>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</si>
  <si>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</si>
  <si>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</si>
  <si>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</si>
  <si>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</si>
  <si>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</si>
  <si>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</si>
  <si>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</si>
  <si>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</si>
  <si>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</si>
  <si>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</si>
  <si>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</si>
  <si>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</si>
  <si>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</si>
  <si>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</si>
  <si>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</si>
  <si>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</si>
  <si>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</si>
  <si>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</si>
  <si>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</si>
  <si>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</si>
  <si>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</si>
  <si>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</si>
  <si>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</si>
  <si>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</si>
  <si>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</si>
  <si>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</si>
  <si>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</si>
  <si>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</si>
  <si>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</si>
  <si>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</si>
  <si>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</si>
  <si>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</si>
  <si>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</si>
  <si>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</si>
  <si>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</si>
  <si>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</si>
  <si>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</si>
  <si>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</si>
  <si>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</si>
  <si>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</si>
  <si>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</si>
  <si>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</si>
  <si>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</si>
  <si>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</si>
  <si>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</si>
  <si>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</si>
  <si>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</si>
  <si>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</si>
  <si>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</si>
  <si>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</si>
  <si>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</si>
  <si>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</si>
  <si>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</si>
  <si>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</si>
  <si>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</si>
  <si>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</si>
  <si>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</si>
  <si>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</si>
  <si>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</si>
  <si>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</si>
  <si>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</si>
  <si>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</si>
  <si>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</si>
  <si>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</si>
  <si>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</si>
  <si>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</si>
  <si>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</si>
  <si>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</si>
  <si>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</si>
  <si>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</si>
  <si>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</si>
  <si>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</si>
  <si>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</si>
  <si>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</si>
  <si>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</si>
  <si>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</si>
  <si>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</si>
  <si>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</si>
  <si>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</si>
  <si>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</si>
  <si>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</si>
  <si>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</si>
  <si>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</si>
  <si>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</si>
  <si>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</si>
  <si>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</si>
  <si>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</si>
  <si>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</si>
  <si>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</si>
  <si>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</si>
  <si>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</si>
  <si>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</si>
  <si>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</si>
  <si>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</si>
  <si>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</si>
  <si>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</si>
  <si>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</si>
  <si>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</si>
  <si>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</si>
  <si>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</si>
  <si>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</si>
  <si>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</si>
  <si>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</si>
  <si>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</si>
  <si>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</si>
  <si>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</si>
  <si>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</si>
  <si>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</si>
  <si>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</si>
  <si>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</si>
  <si>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</si>
  <si>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</si>
  <si>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</si>
  <si>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</si>
  <si>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</si>
  <si>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</si>
  <si>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</si>
  <si>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</si>
  <si>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</si>
  <si>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</si>
  <si>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</si>
  <si>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</si>
  <si>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</si>
  <si>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</si>
  <si>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</si>
  <si>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</si>
  <si>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</si>
  <si>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</si>
  <si>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</si>
  <si>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</si>
  <si>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</si>
  <si>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</si>
  <si>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</si>
  <si>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</si>
  <si>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</si>
  <si>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</si>
  <si>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</si>
  <si>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</si>
  <si>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</si>
  <si>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</si>
  <si>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</si>
  <si>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</si>
  <si>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</si>
  <si>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</si>
  <si>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</si>
  <si>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</si>
  <si>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</si>
  <si>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</si>
  <si>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</si>
  <si>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</si>
  <si>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</si>
  <si>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</si>
  <si>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</si>
  <si>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</si>
  <si>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</si>
  <si>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</si>
  <si>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</si>
  <si>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</si>
  <si>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</si>
  <si>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</si>
  <si>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</si>
  <si>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</si>
  <si>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</si>
  <si>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</si>
  <si>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</si>
  <si>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</si>
  <si>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</si>
  <si>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</si>
  <si>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</si>
  <si>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</si>
  <si>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</si>
  <si>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</si>
  <si>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</si>
  <si>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</si>
  <si>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</si>
  <si>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</si>
  <si>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</si>
  <si>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</si>
  <si>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</si>
  <si>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</si>
  <si>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</si>
  <si>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</si>
  <si>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</si>
  <si>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</si>
  <si>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</si>
  <si>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</si>
  <si>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</si>
  <si>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</si>
  <si>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</si>
  <si>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</si>
  <si>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</si>
  <si>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</si>
  <si>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</si>
  <si>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</si>
  <si>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</si>
  <si>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</si>
  <si>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</si>
  <si>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</si>
  <si>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</si>
  <si>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</si>
  <si>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</si>
  <si>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</si>
  <si>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</si>
  <si>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</si>
  <si>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</si>
  <si>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</si>
  <si>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</si>
  <si>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</si>
  <si>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</si>
  <si>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</si>
  <si>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</si>
  <si>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</si>
  <si>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</si>
  <si>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</si>
  <si>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</si>
  <si>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</si>
  <si>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</si>
  <si>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</si>
  <si>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土地面积</t>
    <phoneticPr fontId="205" type="noConversion"/>
  </si>
  <si>
    <t>土地</t>
    <phoneticPr fontId="205" type="noConversion"/>
  </si>
  <si>
    <t>项目</t>
    <phoneticPr fontId="205" type="noConversion"/>
  </si>
  <si>
    <t>地上建筑面积</t>
    <phoneticPr fontId="205" type="noConversion"/>
  </si>
  <si>
    <t>地下建筑面积</t>
    <phoneticPr fontId="205" type="noConversion"/>
  </si>
  <si>
    <t>车库</t>
  </si>
  <si>
    <t>郑燚</t>
  </si>
  <si>
    <t>王鹏</t>
  </si>
  <si>
    <t>独立商业</t>
  </si>
  <si>
    <t>工程进度</t>
  </si>
  <si>
    <t>收益法 (办公)</t>
    <phoneticPr fontId="17" type="noConversion"/>
  </si>
  <si>
    <t>收益法（商业）</t>
    <phoneticPr fontId="17" type="noConversion"/>
  </si>
  <si>
    <t>商业、办公</t>
    <phoneticPr fontId="45" type="noConversion"/>
  </si>
  <si>
    <t>假设开发法</t>
  </si>
  <si>
    <t>未包含在土地购买价格中</t>
  </si>
  <si>
    <t>1号楼</t>
    <phoneticPr fontId="205" type="noConversion"/>
  </si>
  <si>
    <t>2号楼</t>
    <phoneticPr fontId="205" type="noConversion"/>
  </si>
  <si>
    <t>3号楼</t>
  </si>
  <si>
    <t>5号楼</t>
  </si>
  <si>
    <t>6号楼</t>
  </si>
  <si>
    <t>7号楼</t>
  </si>
  <si>
    <t>9号楼</t>
  </si>
  <si>
    <t>10号楼</t>
  </si>
  <si>
    <t>11号楼</t>
  </si>
  <si>
    <t>12号楼</t>
  </si>
  <si>
    <t>13号楼</t>
  </si>
  <si>
    <t>幼儿园</t>
    <phoneticPr fontId="205" type="noConversion"/>
  </si>
  <si>
    <t>商业</t>
    <phoneticPr fontId="205" type="noConversion"/>
  </si>
  <si>
    <t>地下室</t>
    <phoneticPr fontId="205" type="noConversion"/>
  </si>
  <si>
    <t>性质</t>
    <phoneticPr fontId="205" type="noConversion"/>
  </si>
  <si>
    <t>住宅</t>
    <phoneticPr fontId="205" type="noConversion"/>
  </si>
  <si>
    <t>办公</t>
    <phoneticPr fontId="205" type="noConversion"/>
  </si>
  <si>
    <t>车位</t>
    <phoneticPr fontId="205" type="noConversion"/>
  </si>
  <si>
    <t>配套</t>
    <phoneticPr fontId="205" type="noConversion"/>
  </si>
  <si>
    <t>北区商业</t>
    <phoneticPr fontId="205" type="noConversion"/>
  </si>
  <si>
    <t>4层</t>
    <phoneticPr fontId="205" type="noConversion"/>
  </si>
  <si>
    <t>建筑面积</t>
    <phoneticPr fontId="205" type="noConversion"/>
  </si>
  <si>
    <t>9号楼商业</t>
    <phoneticPr fontId="205" type="noConversion"/>
  </si>
  <si>
    <r>
      <t>1</t>
    </r>
    <r>
      <rPr>
        <sz val="11"/>
        <color theme="1"/>
        <rFont val="宋体"/>
        <family val="3"/>
        <charset val="134"/>
        <scheme val="minor"/>
      </rPr>
      <t>0号楼商业</t>
    </r>
    <phoneticPr fontId="205" type="noConversion"/>
  </si>
  <si>
    <t>2层</t>
    <phoneticPr fontId="205" type="noConversion"/>
  </si>
  <si>
    <t>楼层</t>
    <phoneticPr fontId="205" type="noConversion"/>
  </si>
  <si>
    <t>公租房</t>
    <phoneticPr fontId="205" type="noConversion"/>
  </si>
  <si>
    <t>物业用房</t>
    <phoneticPr fontId="205" type="noConversion"/>
  </si>
  <si>
    <t>卫生服务站</t>
    <phoneticPr fontId="205" type="noConversion"/>
  </si>
  <si>
    <t>文化活动站</t>
    <phoneticPr fontId="205" type="noConversion"/>
  </si>
  <si>
    <t>社区服务中心</t>
    <phoneticPr fontId="205" type="noConversion"/>
  </si>
  <si>
    <t>居委会</t>
    <phoneticPr fontId="205" type="noConversion"/>
  </si>
  <si>
    <t>便民店</t>
    <phoneticPr fontId="205" type="noConversion"/>
  </si>
  <si>
    <t>储蓄所</t>
    <phoneticPr fontId="205" type="noConversion"/>
  </si>
  <si>
    <t>公厕</t>
    <phoneticPr fontId="205" type="noConversion"/>
  </si>
  <si>
    <t>开闭所</t>
    <phoneticPr fontId="205" type="noConversion"/>
  </si>
  <si>
    <t>消防控制室</t>
    <phoneticPr fontId="205" type="noConversion"/>
  </si>
  <si>
    <t>分项</t>
    <phoneticPr fontId="205" type="noConversion"/>
  </si>
  <si>
    <t>非机动车</t>
    <phoneticPr fontId="205" type="noConversion"/>
  </si>
  <si>
    <t>地库辅助用房</t>
    <phoneticPr fontId="205" type="noConversion"/>
  </si>
  <si>
    <t>地下物业用房</t>
    <phoneticPr fontId="205" type="noConversion"/>
  </si>
  <si>
    <t>热交换站</t>
    <phoneticPr fontId="205" type="noConversion"/>
  </si>
  <si>
    <t>地下设备用房</t>
    <phoneticPr fontId="205" type="noConversion"/>
  </si>
  <si>
    <t>商业</t>
    <phoneticPr fontId="205" type="noConversion"/>
  </si>
  <si>
    <t>车库</t>
    <phoneticPr fontId="205" type="noConversion"/>
  </si>
  <si>
    <t>其他</t>
    <phoneticPr fontId="205" type="noConversion"/>
  </si>
  <si>
    <t>5518个</t>
    <phoneticPr fontId="205" type="noConversion"/>
  </si>
  <si>
    <t>河南恒祥实业有限公司</t>
    <phoneticPr fontId="6" type="noConversion"/>
  </si>
  <si>
    <t>金水区红旗路北、经七路东</t>
    <phoneticPr fontId="115" type="noConversion"/>
  </si>
  <si>
    <t>住宅</t>
    <phoneticPr fontId="3" type="noConversion"/>
  </si>
  <si>
    <t>公租房</t>
    <phoneticPr fontId="3" type="noConversion"/>
  </si>
  <si>
    <t>平层住宅</t>
  </si>
  <si>
    <t>商品住宅</t>
    <phoneticPr fontId="205" type="noConversion"/>
  </si>
  <si>
    <t>安置房</t>
    <phoneticPr fontId="205" type="noConversion"/>
  </si>
  <si>
    <t>郑州一级</t>
  </si>
  <si>
    <t>郑州一级</t>
    <phoneticPr fontId="3" type="noConversion"/>
  </si>
  <si>
    <t>其他省市系数</t>
  </si>
  <si>
    <t>其他：</t>
  </si>
  <si>
    <t>河南省郑州市</t>
    <phoneticPr fontId="6" type="noConversion"/>
  </si>
  <si>
    <t>预测报告面积</t>
    <phoneticPr fontId="205" type="noConversion"/>
  </si>
  <si>
    <t>住宅合计</t>
    <phoneticPr fontId="205" type="noConversion"/>
  </si>
  <si>
    <t>办公合计</t>
    <phoneticPr fontId="205" type="noConversion"/>
  </si>
  <si>
    <t>安置房</t>
    <phoneticPr fontId="205" type="noConversion"/>
  </si>
  <si>
    <t>商品住宅</t>
    <phoneticPr fontId="205" type="noConversion"/>
  </si>
  <si>
    <t>办公（公寓）</t>
    <phoneticPr fontId="3" type="noConversion"/>
  </si>
  <si>
    <t>公寓</t>
  </si>
  <si>
    <t>底商</t>
    <phoneticPr fontId="3" type="noConversion"/>
  </si>
  <si>
    <t>商场</t>
  </si>
  <si>
    <t>商场</t>
    <phoneticPr fontId="3" type="noConversion"/>
  </si>
  <si>
    <t>底商</t>
    <phoneticPr fontId="205" type="noConversion"/>
  </si>
  <si>
    <t>商场</t>
    <phoneticPr fontId="205"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</si>
  <si>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</si>
  <si>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</si>
  <si>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</si>
  <si>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</si>
  <si>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</si>
  <si>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</si>
  <si>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</si>
  <si>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</si>
  <si>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伟业龙湖上城</t>
    <phoneticPr fontId="3" type="noConversion"/>
  </si>
  <si>
    <t>物华国际</t>
    <phoneticPr fontId="3" type="noConversion"/>
  </si>
  <si>
    <t>面积说明</t>
    <phoneticPr fontId="205" type="noConversion"/>
  </si>
  <si>
    <t>地下面积及商场按照建工规证</t>
    <phoneticPr fontId="205" type="noConversion"/>
  </si>
  <si>
    <t>地上住宅、底商及办公面积从预测报告里</t>
    <phoneticPr fontId="205" type="noConversion"/>
  </si>
  <si>
    <t>垃圾站</t>
    <phoneticPr fontId="205" type="noConversion"/>
  </si>
  <si>
    <t>统计</t>
    <phoneticPr fontId="205" type="noConversion"/>
  </si>
  <si>
    <t>商品住宅</t>
    <phoneticPr fontId="205" type="noConversion"/>
  </si>
  <si>
    <t>公租房</t>
    <phoneticPr fontId="205" type="noConversion"/>
  </si>
  <si>
    <t>安置房</t>
    <phoneticPr fontId="205" type="noConversion"/>
  </si>
  <si>
    <t>办公用房</t>
    <phoneticPr fontId="205" type="noConversion"/>
  </si>
  <si>
    <t>地下车库</t>
    <phoneticPr fontId="205" type="noConversion"/>
  </si>
  <si>
    <t>其他设备用房</t>
    <phoneticPr fontId="205" type="noConversion"/>
  </si>
  <si>
    <t>地上</t>
    <phoneticPr fontId="205" type="noConversion"/>
  </si>
  <si>
    <t>地下</t>
    <phoneticPr fontId="205" type="noConversion"/>
  </si>
  <si>
    <t>底商</t>
    <phoneticPr fontId="205" type="noConversion"/>
  </si>
  <si>
    <t>商场</t>
    <phoneticPr fontId="205" type="noConversion"/>
  </si>
  <si>
    <t>地下车库</t>
    <phoneticPr fontId="205" type="noConversion"/>
  </si>
  <si>
    <t>公共配套</t>
    <phoneticPr fontId="205" type="noConversion"/>
  </si>
  <si>
    <t>设备用房</t>
    <phoneticPr fontId="205" type="noConversion"/>
  </si>
  <si>
    <t>合计</t>
    <phoneticPr fontId="205" type="noConversion"/>
  </si>
  <si>
    <t>统计汇总</t>
    <phoneticPr fontId="205" type="noConversion"/>
  </si>
  <si>
    <t>比较法-住宅</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</si>
  <si>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</si>
  <si>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</si>
  <si>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</si>
  <si>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</si>
  <si>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</si>
  <si>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</si>
  <si>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</si>
  <si>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</si>
  <si>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</si>
  <si>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</si>
  <si>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</si>
  <si>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</si>
  <si>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</si>
  <si>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</si>
  <si>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</si>
  <si>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</si>
  <si>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</si>
  <si>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</si>
  <si>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</si>
  <si>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</si>
  <si>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</si>
  <si>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</si>
  <si>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</si>
  <si>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</si>
  <si>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</si>
  <si>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</si>
  <si>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</si>
  <si>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</si>
  <si>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</si>
  <si>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</si>
  <si>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</si>
  <si>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</si>
  <si>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</si>
  <si>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</si>
  <si>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</si>
  <si>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</si>
  <si>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</si>
  <si>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</si>
  <si>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</si>
  <si>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</si>
  <si>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</si>
  <si>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</si>
  <si>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</si>
  <si>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</si>
  <si>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</si>
  <si>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</si>
  <si>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</si>
  <si>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</si>
  <si>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</si>
  <si>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</si>
  <si>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</si>
  <si>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</si>
  <si>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</si>
  <si>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</si>
  <si>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</si>
  <si>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</si>
  <si>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</si>
  <si>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7" type="noConversion"/>
  </si>
  <si>
    <t>中原信托有限公司保障基金认购款</t>
    <phoneticPr fontId="247" type="noConversion"/>
  </si>
  <si>
    <t>财务费用</t>
    <phoneticPr fontId="247" type="noConversion"/>
  </si>
  <si>
    <t>业务招待费</t>
    <phoneticPr fontId="247" type="noConversion"/>
  </si>
  <si>
    <t>工资费用</t>
    <phoneticPr fontId="247" type="noConversion"/>
  </si>
  <si>
    <t>其他费用支出</t>
    <phoneticPr fontId="247" type="noConversion"/>
  </si>
  <si>
    <t>合计</t>
    <phoneticPr fontId="247" type="noConversion"/>
  </si>
  <si>
    <t>河南恒祥实业有限公司截止目前已经投入成本表</t>
    <phoneticPr fontId="247" type="noConversion"/>
  </si>
  <si>
    <t>河南恒祥实业有限公司土地出让金返还明细表</t>
    <phoneticPr fontId="247" type="noConversion"/>
  </si>
  <si>
    <t>单位：元</t>
    <phoneticPr fontId="247" type="noConversion"/>
  </si>
  <si>
    <t>序号</t>
    <phoneticPr fontId="247" type="noConversion"/>
  </si>
  <si>
    <t>收款日期</t>
    <phoneticPr fontId="247" type="noConversion"/>
  </si>
  <si>
    <t>摘要</t>
    <phoneticPr fontId="247" type="noConversion"/>
  </si>
  <si>
    <t>本次收款金额</t>
    <phoneticPr fontId="247" type="noConversion"/>
  </si>
  <si>
    <t>2016.5.31</t>
    <phoneticPr fontId="247" type="noConversion"/>
  </si>
  <si>
    <t>收到土地出让金返还</t>
    <phoneticPr fontId="247" type="noConversion"/>
  </si>
  <si>
    <t>2016.9.30</t>
    <phoneticPr fontId="247"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</si>
  <si>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</si>
  <si>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</si>
  <si>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</si>
  <si>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</si>
  <si>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安置面积说明</t>
    <phoneticPr fontId="205" type="noConversion"/>
  </si>
  <si>
    <t>安置住宅</t>
    <phoneticPr fontId="205" type="noConversion"/>
  </si>
  <si>
    <t>安置办公面积</t>
    <phoneticPr fontId="205" type="noConversion"/>
  </si>
  <si>
    <t>安置村集体办公</t>
    <phoneticPr fontId="205" type="noConversion"/>
  </si>
  <si>
    <t>公共配套</t>
    <phoneticPr fontId="205" type="noConversion"/>
  </si>
  <si>
    <t>合计</t>
    <phoneticPr fontId="205" type="noConversion"/>
  </si>
  <si>
    <t>全部缴纳</t>
  </si>
  <si>
    <t>凤栖街以东、安达路以北</t>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</si>
  <si>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</si>
  <si>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</si>
  <si>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</si>
  <si>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</si>
  <si>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</si>
  <si>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</si>
  <si>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</si>
  <si>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</si>
  <si>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</si>
  <si>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</si>
  <si>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</si>
  <si>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安置办公</t>
  </si>
  <si>
    <t>幼儿园</t>
    <phoneticPr fontId="3" type="noConversion"/>
  </si>
  <si>
    <t>1.不计地下建筑分摊成本投入？</t>
    <phoneticPr fontId="8" type="noConversion"/>
  </si>
  <si>
    <t>五通一平</t>
  </si>
  <si>
    <t>三通一平</t>
  </si>
  <si>
    <t>3.土地案例A既限售价、又限成本，如有可能尽量更换。</t>
    <phoneticPr fontId="8" type="noConversion"/>
  </si>
  <si>
    <t>2.土地案例区域基础条件和公服配套确认能与估价对象水平一致？</t>
    <phoneticPr fontId="8" type="noConversion"/>
  </si>
  <si>
    <t>押一</t>
  </si>
  <si>
    <t>商住</t>
    <phoneticPr fontId="205" type="noConversion"/>
  </si>
  <si>
    <t>住宅、商服公寓</t>
    <phoneticPr fontId="6" type="noConversion"/>
  </si>
  <si>
    <t>如不计算配套面积，是否应按地下建筑比例加大单方造价水平？</t>
    <phoneticPr fontId="3" type="noConversion"/>
  </si>
  <si>
    <t>4.短时间内，选择案例地价由6K涨到9K，是否合理？</t>
    <phoneticPr fontId="8" type="noConversion"/>
  </si>
  <si>
    <t>分配比例</t>
    <phoneticPr fontId="8" type="noConversion"/>
  </si>
  <si>
    <t>企业提供的抵押物清单</t>
    <phoneticPr fontId="205" type="noConversion"/>
  </si>
  <si>
    <t>商品住宅</t>
    <phoneticPr fontId="205" type="noConversion"/>
  </si>
  <si>
    <t>住宅安置房</t>
    <phoneticPr fontId="205" type="noConversion"/>
  </si>
  <si>
    <t>商品公寓</t>
    <phoneticPr fontId="205" type="noConversion"/>
  </si>
  <si>
    <t>安置办公</t>
    <phoneticPr fontId="205" type="noConversion"/>
  </si>
  <si>
    <t>2号楼</t>
    <phoneticPr fontId="205" type="noConversion"/>
  </si>
  <si>
    <t>3号楼</t>
    <phoneticPr fontId="205" type="noConversion"/>
  </si>
  <si>
    <t>5号楼</t>
    <phoneticPr fontId="205" type="noConversion"/>
  </si>
  <si>
    <t>6号楼</t>
    <phoneticPr fontId="205" type="noConversion"/>
  </si>
  <si>
    <t>9号楼</t>
    <phoneticPr fontId="205" type="noConversion"/>
  </si>
  <si>
    <t>10号楼</t>
    <phoneticPr fontId="205" type="noConversion"/>
  </si>
  <si>
    <t>11号楼</t>
    <phoneticPr fontId="205" type="noConversion"/>
  </si>
  <si>
    <t>底商</t>
    <phoneticPr fontId="205" type="noConversion"/>
  </si>
  <si>
    <t>合计</t>
    <phoneticPr fontId="205" type="noConversion"/>
  </si>
  <si>
    <t>安置过度费（万元）</t>
    <phoneticPr fontId="8" type="noConversion"/>
  </si>
  <si>
    <t>加上安置房</t>
    <phoneticPr fontId="8" type="noConversion"/>
  </si>
  <si>
    <t>升龙天汇广场</t>
    <phoneticPr fontId="3" type="noConversion"/>
  </si>
  <si>
    <t>亚新美好城邦</t>
    <phoneticPr fontId="3" type="noConversion"/>
  </si>
  <si>
    <t>伟业龙湖上城</t>
    <phoneticPr fontId="3" type="noConversion"/>
  </si>
  <si>
    <t>凤栖街以东、安达路以北</t>
    <phoneticPr fontId="45" type="noConversion"/>
  </si>
  <si>
    <t>桑林东路东、瑞风路南</t>
    <phoneticPr fontId="45" type="noConversion"/>
  </si>
  <si>
    <t>经开第十九大街以东、四港联东大道以西</t>
    <phoneticPr fontId="45" type="noConversion"/>
  </si>
  <si>
    <r>
      <t>38.8</t>
    </r>
    <r>
      <rPr>
        <sz val="11"/>
        <color indexed="8"/>
        <rFont val="宋体"/>
        <family val="3"/>
        <charset val="134"/>
      </rPr>
      <t>、</t>
    </r>
    <r>
      <rPr>
        <sz val="11"/>
        <color indexed="8"/>
        <rFont val="Arial"/>
        <family val="2"/>
      </rPr>
      <t>68.8</t>
    </r>
    <phoneticPr fontId="45" type="noConversion"/>
  </si>
  <si>
    <t>2.估价师知悉的法定优先受偿款</t>
  </si>
  <si>
    <t>正常操作</t>
  </si>
  <si>
    <t>序号</t>
    <phoneticPr fontId="205" type="noConversion"/>
  </si>
  <si>
    <t>评估楼层</t>
    <phoneticPr fontId="205" type="noConversion"/>
  </si>
  <si>
    <t>结构</t>
    <phoneticPr fontId="205" type="noConversion"/>
  </si>
  <si>
    <t>用途</t>
    <phoneticPr fontId="205" type="noConversion"/>
  </si>
  <si>
    <t>建筑面积</t>
    <phoneticPr fontId="205" type="noConversion"/>
  </si>
  <si>
    <t>分摊土地面积</t>
    <phoneticPr fontId="205" type="noConversion"/>
  </si>
  <si>
    <t>单价</t>
    <phoneticPr fontId="205" type="noConversion"/>
  </si>
  <si>
    <t>楼号</t>
    <phoneticPr fontId="205" type="noConversion"/>
  </si>
  <si>
    <t>企业提供的抵押物清单</t>
  </si>
  <si>
    <t>2号楼</t>
  </si>
  <si>
    <t>商品住宅</t>
  </si>
  <si>
    <t>住宅安置房</t>
  </si>
  <si>
    <t>商品公寓</t>
  </si>
  <si>
    <r>
      <t>5至</t>
    </r>
    <r>
      <rPr>
        <sz val="11"/>
        <color theme="1"/>
        <rFont val="宋体"/>
        <family val="3"/>
        <charset val="134"/>
        <scheme val="minor"/>
      </rPr>
      <t>16</t>
    </r>
    <phoneticPr fontId="205" type="noConversion"/>
  </si>
  <si>
    <t>钢混</t>
    <phoneticPr fontId="205" type="noConversion"/>
  </si>
  <si>
    <r>
      <t>5至</t>
    </r>
    <r>
      <rPr>
        <sz val="11"/>
        <color theme="1"/>
        <rFont val="宋体"/>
        <family val="3"/>
        <charset val="134"/>
        <scheme val="minor"/>
      </rPr>
      <t>21</t>
    </r>
    <phoneticPr fontId="205" type="noConversion"/>
  </si>
  <si>
    <t>商业</t>
    <phoneticPr fontId="205" type="noConversion"/>
  </si>
  <si>
    <t>5至24</t>
    <phoneticPr fontId="205" type="noConversion"/>
  </si>
  <si>
    <t>5至31</t>
    <phoneticPr fontId="205" type="noConversion"/>
  </si>
  <si>
    <t>5至28</t>
    <phoneticPr fontId="205" type="noConversion"/>
  </si>
  <si>
    <t>1至4</t>
    <phoneticPr fontId="205" type="noConversion"/>
  </si>
  <si>
    <t>5至30</t>
    <phoneticPr fontId="205" type="noConversion"/>
  </si>
  <si>
    <t>合计</t>
    <phoneticPr fontId="205" type="noConversion"/>
  </si>
  <si>
    <t>分摊土地面积</t>
    <phoneticPr fontId="205" type="noConversion"/>
  </si>
  <si>
    <t>办公单价</t>
    <phoneticPr fontId="205" type="noConversion"/>
  </si>
  <si>
    <t>住宅单价</t>
    <phoneticPr fontId="205" type="noConversion"/>
  </si>
  <si>
    <t>商业单价</t>
    <phoneticPr fontId="205" type="noConversion"/>
  </si>
  <si>
    <t>商业总价</t>
    <phoneticPr fontId="205" type="noConversion"/>
  </si>
  <si>
    <t>住宅总价</t>
    <phoneticPr fontId="205" type="noConversion"/>
  </si>
  <si>
    <t>办公总价</t>
    <phoneticPr fontId="205" type="noConversion"/>
  </si>
  <si>
    <t>开发完成后合计</t>
    <phoneticPr fontId="205" type="noConversion"/>
  </si>
  <si>
    <t>总价</t>
    <phoneticPr fontId="205" type="noConversion"/>
  </si>
  <si>
    <t>总楼层</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</si>
</sst>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2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0" xfId="0" applyFont="1" applyFill="1" applyBorder="1">
      <alignment vertical="center"/>
    </xf>
    <xf numFmtId="0" fontId="194" fillId="0" borderId="2" xfId="0" applyFont="1" applyBorder="1" applyAlignment="1" applyProtection="1">
      <alignment horizontal="center" vertical="center" wrapText="1"/>
      <protection locked="0"/>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1" fillId="16" borderId="1" xfId="0" applyFont="1" applyFill="1" applyBorder="1">
      <alignment vertical="center"/>
    </xf>
    <xf numFmtId="0" fontId="0" fillId="16" borderId="0" xfId="0" applyFill="1">
      <alignment vertical="center"/>
    </xf>
    <xf numFmtId="0" fontId="130"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186" fontId="138"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8"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0" fillId="0" borderId="16" xfId="0" applyFont="1" applyBorder="1" applyAlignment="1" applyProtection="1">
      <alignment horizontal="center" vertical="center"/>
      <protection locked="0"/>
    </xf>
    <xf numFmtId="192" fontId="250" fillId="0" borderId="151" xfId="0" applyNumberFormat="1" applyFont="1" applyBorder="1" applyAlignment="1" applyProtection="1">
      <alignment horizontal="center" vertical="center"/>
      <protection locked="0"/>
    </xf>
    <xf numFmtId="0" fontId="250" fillId="0" borderId="1" xfId="0" applyFont="1" applyBorder="1" applyAlignment="1" applyProtection="1">
      <alignment horizontal="center" vertical="center"/>
      <protection locked="0"/>
    </xf>
    <xf numFmtId="0" fontId="250" fillId="0" borderId="10" xfId="0" applyFont="1" applyBorder="1" applyAlignment="1" applyProtection="1">
      <alignment horizontal="center" vertical="center"/>
      <protection locked="0"/>
    </xf>
    <xf numFmtId="0" fontId="251"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9" borderId="0" xfId="0" applyFont="1" applyFill="1" applyAlignment="1" applyProtection="1">
      <alignment vertical="center"/>
      <protection locked="0"/>
    </xf>
    <xf numFmtId="0" fontId="140" fillId="9" borderId="0" xfId="0" applyFont="1" applyFill="1" applyAlignment="1" applyProtection="1">
      <alignment horizontal="center" vertical="center"/>
      <protection locked="0"/>
    </xf>
    <xf numFmtId="0" fontId="252" fillId="9" borderId="0" xfId="0" applyFont="1" applyFill="1" applyAlignment="1" applyProtection="1">
      <alignment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0" fontId="130" fillId="0" borderId="0" xfId="0" applyFont="1" applyFill="1" applyBorder="1" applyAlignment="1">
      <alignment horizontal="center" vertical="center"/>
    </xf>
    <xf numFmtId="0" fontId="0" fillId="0" borderId="0" xfId="0" applyBorder="1" applyAlignment="1">
      <alignment horizontal="center" vertical="center"/>
    </xf>
    <xf numFmtId="0" fontId="130" fillId="5" borderId="1" xfId="0" applyFont="1" applyFill="1" applyBorder="1">
      <alignment vertical="center"/>
    </xf>
    <xf numFmtId="0" fontId="0" fillId="5" borderId="1" xfId="0" applyFill="1" applyBorder="1">
      <alignment vertical="center"/>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3" fillId="0" borderId="0" xfId="0" applyFont="1">
      <alignment vertical="center"/>
    </xf>
    <xf numFmtId="58" fontId="130"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0" fillId="0" borderId="1" xfId="0" applyNumberFormat="1" applyFont="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1" fillId="8" borderId="5" xfId="0" applyFont="1" applyFill="1" applyBorder="1" applyAlignment="1">
      <alignment horizontal="center" vertical="center"/>
    </xf>
    <xf numFmtId="0" fontId="131" fillId="8" borderId="54" xfId="0" applyFont="1" applyFill="1" applyBorder="1" applyAlignment="1">
      <alignment horizontal="center" vertical="center"/>
    </xf>
    <xf numFmtId="0" fontId="131" fillId="8" borderId="3" xfId="0"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7" borderId="1" xfId="0" applyFont="1" applyFill="1" applyBorder="1" applyAlignment="1" applyProtection="1">
      <alignment horizontal="center" vertical="center" wrapText="1"/>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49" fillId="0" borderId="0" xfId="0" applyNumberFormat="1" applyFont="1" applyAlignment="1" applyProtection="1">
      <alignment horizontal="center" vertical="center"/>
      <protection locked="0"/>
    </xf>
    <xf numFmtId="0" fontId="249"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3203</v>
      </c>
      <c r="B1" s="3096" t="s">
        <v>3294</v>
      </c>
    </row>
    <row r="2" spans="1:2" s="3101" customFormat="1" ht="15" thickTop="1">
      <c r="A2" s="3099" t="s">
        <v>3204</v>
      </c>
      <c r="B2" s="3100" t="str">
        <f>'预评函-封皮'!B37:I37</f>
        <v>河南省郑州市金水区红旗路北、经七路东出让国有建设用地使用权及在建建筑物房地产市场价值预评估</v>
      </c>
    </row>
    <row r="3" spans="1:2" s="3104" customFormat="1">
      <c r="A3" s="3102" t="s">
        <v>3205</v>
      </c>
      <c r="B3" s="3103" t="str">
        <f>'预评函-封皮'!B40</f>
        <v>河南恒祥实业有限公司</v>
      </c>
    </row>
    <row r="4" spans="1:2" s="3104" customFormat="1">
      <c r="A4" s="3102" t="s">
        <v>3206</v>
      </c>
      <c r="B4" s="3103" t="str">
        <f ca="1">'预评函-封皮'!B46</f>
        <v>王鹏（注册号：1120050019)、郑燚（注册号：1120070131)</v>
      </c>
    </row>
    <row r="5" spans="1:2" s="3098" customFormat="1" ht="15" thickBot="1">
      <c r="A5" s="3105" t="s">
        <v>3207</v>
      </c>
      <c r="B5" s="3106" t="str">
        <f>'预评函-封皮'!B49</f>
        <v>康正预评字号</v>
      </c>
    </row>
    <row r="6" spans="1:2" s="3101" customFormat="1" ht="15" thickTop="1">
      <c r="A6" s="3099" t="s">
        <v>3208</v>
      </c>
      <c r="B6" s="3100" t="str">
        <f>'预评函-1'!A4</f>
        <v>受贵公司委托，我公司对河南省郑州市金水区红旗路北、经七路东出让国有建设用地使用权及在建建筑物房地产抵押价值进行了预评估。</v>
      </c>
    </row>
    <row r="7" spans="1:2" s="3104" customFormat="1">
      <c r="A7" s="3102" t="s">
        <v>3248</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2" s="3104" customFormat="1">
      <c r="A8" s="3102" t="s">
        <v>3249</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3250</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0" spans="1:2" s="3104" customFormat="1">
      <c r="A10" s="3102" t="s">
        <v>3251</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3209</v>
      </c>
      <c r="B11" s="3103" t="str">
        <f>'预评函-1'!A13</f>
        <v>为估价委托人在向XX银行办理贷款手续过程中，确定房地产抵押贷款额度提供参考依据而评估房地产抵押价值。</v>
      </c>
    </row>
    <row r="12" spans="1:2" s="3104" customFormat="1">
      <c r="A12" s="3102" t="s">
        <v>3210</v>
      </c>
      <c r="B12" s="3103" t="str">
        <f>'预评函-1'!A15</f>
        <v>2017年9月28日评估专业人员实地查勘之日</v>
      </c>
    </row>
    <row r="13" spans="1:2" s="3104" customFormat="1">
      <c r="A13" s="3102" t="s">
        <v>3211</v>
      </c>
      <c r="B13" s="3103" t="str">
        <f>'预评函-1'!A18</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4" spans="1:2" s="3104" customFormat="1">
      <c r="A14" s="3102" t="s">
        <v>3212</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3213</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3214</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3215</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3216</v>
      </c>
      <c r="B18" s="3106" t="str">
        <f>'预评函-1'!A24</f>
        <v>本次评估采用的主估价方法为成本法和假设开发法。</v>
      </c>
    </row>
    <row r="19" spans="1:2" s="3101" customFormat="1" ht="15" thickTop="1">
      <c r="A19" s="3099" t="s">
        <v>3217</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3218</v>
      </c>
      <c r="B20" s="3103">
        <f ca="1">'预评函-2'!D5</f>
        <v>236159</v>
      </c>
    </row>
    <row r="21" spans="1:2" s="3104" customFormat="1">
      <c r="A21" s="3102" t="s">
        <v>3219</v>
      </c>
      <c r="B21" s="3103">
        <f ca="1">'预评函-2'!D7</f>
        <v>16294</v>
      </c>
    </row>
    <row r="22" spans="1:2" s="3104" customFormat="1">
      <c r="A22" s="3102" t="s">
        <v>3220</v>
      </c>
      <c r="B22" s="3103" t="str">
        <f ca="1">'预评函-2'!D6</f>
        <v>贰拾叁亿陆仟壹佰伍拾玖万元整</v>
      </c>
    </row>
    <row r="23" spans="1:2" s="3104" customFormat="1">
      <c r="A23" s="3102" t="s">
        <v>3282</v>
      </c>
      <c r="B23" s="3103" t="str">
        <f>'预评函-2'!B8</f>
        <v>2.估价师知悉的法定优先受偿款</v>
      </c>
    </row>
    <row r="24" spans="1:2" s="3104" customFormat="1">
      <c r="A24" s="3102" t="s">
        <v>3288</v>
      </c>
      <c r="B24" s="3103">
        <f>'预评函-2'!D8</f>
        <v>17165</v>
      </c>
    </row>
    <row r="25" spans="1:2" s="3104" customFormat="1">
      <c r="A25" s="3102" t="s">
        <v>3221</v>
      </c>
      <c r="B25" s="3103" t="str">
        <f>'预评函-2'!D9</f>
        <v>壹亿柒仟壹佰陆拾伍万元整</v>
      </c>
    </row>
    <row r="26" spans="1:2" s="3104" customFormat="1">
      <c r="A26" s="3102" t="s">
        <v>3222</v>
      </c>
      <c r="B26" s="3103">
        <f>'预评函-2'!D10</f>
        <v>0</v>
      </c>
    </row>
    <row r="27" spans="1:2" s="3104" customFormat="1">
      <c r="A27" s="3102" t="s">
        <v>3223</v>
      </c>
      <c r="B27" s="3103">
        <f>'预评函-2'!D11</f>
        <v>3785</v>
      </c>
    </row>
    <row r="28" spans="1:2" s="3104" customFormat="1">
      <c r="A28" s="3102" t="s">
        <v>3224</v>
      </c>
      <c r="B28" s="3103">
        <f>'预评函-2'!D12</f>
        <v>13380</v>
      </c>
    </row>
    <row r="29" spans="1:2" s="3104" customFormat="1">
      <c r="A29" s="3102" t="s">
        <v>3286</v>
      </c>
      <c r="B29" s="3103" t="str">
        <f>'预评函-2'!B13</f>
        <v>3.房地产抵押价值</v>
      </c>
    </row>
    <row r="30" spans="1:2" s="3104" customFormat="1">
      <c r="A30" s="3102" t="s">
        <v>3287</v>
      </c>
      <c r="B30" s="3103">
        <f ca="1">'预评函-2'!D13</f>
        <v>218994</v>
      </c>
    </row>
    <row r="31" spans="1:2" s="3104" customFormat="1">
      <c r="A31" s="3102" t="s">
        <v>3259</v>
      </c>
      <c r="B31" s="3103">
        <f ca="1">'预评函-2'!D15</f>
        <v>15110</v>
      </c>
    </row>
    <row r="32" spans="1:2" s="3104" customFormat="1">
      <c r="A32" s="3102" t="s">
        <v>3225</v>
      </c>
      <c r="B32" s="3103" t="str">
        <f ca="1">'预评函-2'!D14</f>
        <v>贰拾壹亿捌仟玖佰玖拾肆万元整</v>
      </c>
    </row>
    <row r="33" spans="1:2" s="3104" customFormat="1">
      <c r="A33" s="3102" t="s">
        <v>3261</v>
      </c>
      <c r="B33" s="3103" t="str">
        <f>'预评函-2'!B16</f>
        <v>4.抵押担保权已注销时的房地产抵押价值</v>
      </c>
    </row>
    <row r="34" spans="1:2" s="3104" customFormat="1">
      <c r="A34" s="3102" t="s">
        <v>3289</v>
      </c>
      <c r="B34" s="3103">
        <f ca="1">'预评函-2'!D16</f>
        <v>218994</v>
      </c>
    </row>
    <row r="35" spans="1:2" s="3104" customFormat="1">
      <c r="A35" s="3102" t="s">
        <v>3260</v>
      </c>
      <c r="B35" s="3103">
        <f ca="1">'预评函-2'!D18</f>
        <v>15110</v>
      </c>
    </row>
    <row r="36" spans="1:2" s="3104" customFormat="1">
      <c r="A36" s="3102" t="s">
        <v>3226</v>
      </c>
      <c r="B36" s="3103" t="str">
        <f ca="1">'预评函-2'!D17</f>
        <v>贰拾壹亿捌仟玖佰玖拾肆万元整</v>
      </c>
    </row>
    <row r="37" spans="1:2" s="3104" customFormat="1">
      <c r="A37" s="3102" t="s">
        <v>3262</v>
      </c>
      <c r="B37" s="3103" t="str">
        <f>'预评函-2'!B19</f>
        <v>5.抵押净值</v>
      </c>
    </row>
    <row r="38" spans="1:2" s="3104" customFormat="1">
      <c r="A38" s="3102" t="s">
        <v>3290</v>
      </c>
      <c r="B38" s="3103">
        <f ca="1">'预评函-2'!D19</f>
        <v>203630</v>
      </c>
    </row>
    <row r="39" spans="1:2" s="3104" customFormat="1">
      <c r="A39" s="3102" t="s">
        <v>3227</v>
      </c>
      <c r="B39" s="3103">
        <f ca="1">'预评函-2'!D21</f>
        <v>14050</v>
      </c>
    </row>
    <row r="40" spans="1:2" s="3104" customFormat="1">
      <c r="A40" s="3102" t="s">
        <v>3228</v>
      </c>
      <c r="B40" s="3103" t="str">
        <f ca="1">'预评函-2'!D20</f>
        <v>贰拾亿叁仟陆佰叁拾万元整</v>
      </c>
    </row>
    <row r="41" spans="1:2" s="3104" customFormat="1">
      <c r="A41" s="3102" t="s">
        <v>3285</v>
      </c>
      <c r="B41" s="3103" t="str">
        <f>'预评函-3'!A4</f>
        <v>河南省郑州市金水区红旗路北、经七路东出让国有建设用地使用权及在建建筑物房地产</v>
      </c>
    </row>
    <row r="42" spans="1:2" s="3104" customFormat="1">
      <c r="A42" s="3102" t="s">
        <v>3283</v>
      </c>
      <c r="B42" s="3103" t="str">
        <f>'预评函-3'!B2</f>
        <v>建筑面积</v>
      </c>
    </row>
    <row r="43" spans="1:2" s="3104" customFormat="1">
      <c r="A43" s="3102" t="s">
        <v>3284</v>
      </c>
      <c r="B43" s="3103">
        <f>'预评函-3'!B4</f>
        <v>144934.76999999999</v>
      </c>
    </row>
    <row r="44" spans="1:2" s="3104" customFormat="1">
      <c r="A44" s="3102" t="s">
        <v>3258</v>
      </c>
      <c r="B44" s="3103" t="str">
        <f>'预评函-3'!C2</f>
        <v>(分摊)土地面积</v>
      </c>
    </row>
    <row r="45" spans="1:2" s="3104" customFormat="1">
      <c r="A45" s="3102" t="s">
        <v>3229</v>
      </c>
      <c r="B45" s="3103">
        <f>'预评函-3'!C4</f>
        <v>24804.11</v>
      </c>
    </row>
    <row r="46" spans="1:2" s="3104" customFormat="1">
      <c r="A46" s="3102" t="s">
        <v>3256</v>
      </c>
      <c r="B46" s="3103" t="str">
        <f>'预评函-3'!D2</f>
        <v>出让国有建设用地使用权价值</v>
      </c>
    </row>
    <row r="47" spans="1:2" s="3104" customFormat="1">
      <c r="A47" s="3102" t="s">
        <v>3230</v>
      </c>
      <c r="B47" s="3103">
        <f ca="1">'预评函-3'!D4</f>
        <v>192706</v>
      </c>
    </row>
    <row r="48" spans="1:2" s="3104" customFormat="1">
      <c r="A48" s="3102" t="s">
        <v>3231</v>
      </c>
      <c r="B48" s="3103">
        <f ca="1">'预评函-3'!E4</f>
        <v>13296</v>
      </c>
    </row>
    <row r="49" spans="1:2" s="3104" customFormat="1">
      <c r="A49" s="3102" t="s">
        <v>3232</v>
      </c>
      <c r="B49" s="3103" t="str">
        <f ca="1">'预评函-3'!D5</f>
        <v>壹拾玖亿贰仟柒佰零陆万元整</v>
      </c>
    </row>
    <row r="50" spans="1:2" s="3104" customFormat="1">
      <c r="A50" s="3102" t="s">
        <v>3257</v>
      </c>
      <c r="B50" s="3103" t="str">
        <f>'预评函-3'!F2</f>
        <v>在建建筑物价值</v>
      </c>
    </row>
    <row r="51" spans="1:2" s="3104" customFormat="1">
      <c r="A51" s="3102" t="s">
        <v>3233</v>
      </c>
      <c r="B51" s="3103">
        <f ca="1">'预评函-3'!F4</f>
        <v>43453</v>
      </c>
    </row>
    <row r="52" spans="1:2" s="3104" customFormat="1">
      <c r="A52" s="3102" t="s">
        <v>3234</v>
      </c>
      <c r="B52" s="3103">
        <f ca="1">'预评函-3'!G4</f>
        <v>2998</v>
      </c>
    </row>
    <row r="53" spans="1:2" s="3104" customFormat="1">
      <c r="A53" s="3102" t="s">
        <v>3263</v>
      </c>
      <c r="B53" s="3103" t="str">
        <f ca="1">'预评函-3'!F5</f>
        <v>肆亿叁仟肆佰伍拾叁万元整</v>
      </c>
    </row>
    <row r="54" spans="1:2" s="3104" customFormat="1">
      <c r="A54" s="3102" t="s">
        <v>3292</v>
      </c>
      <c r="B54" s="3103" t="str">
        <f>'预评函-3'!A8</f>
        <v>房地产抵押价值</v>
      </c>
    </row>
    <row r="55" spans="1:2" s="3104" customFormat="1">
      <c r="A55" s="3102" t="s">
        <v>3264</v>
      </c>
      <c r="B55" s="3103" t="str">
        <f>'预评函-3'!A10</f>
        <v>抵押担保权已注销时的房地产抵押价值</v>
      </c>
    </row>
    <row r="56" spans="1:2" s="3104" customFormat="1">
      <c r="A56" s="3102" t="s">
        <v>3265</v>
      </c>
      <c r="B56" s="3103" t="str">
        <f>'预评函-3'!A12</f>
        <v>抵押净值</v>
      </c>
    </row>
    <row r="57" spans="1:2" s="3098" customFormat="1" ht="15" thickBot="1">
      <c r="A57" s="3105" t="s">
        <v>3293</v>
      </c>
      <c r="B57" s="3106" t="str">
        <f>'预评函-3'!A6</f>
        <v>估价师知悉的法定优先受偿款</v>
      </c>
    </row>
    <row r="58" spans="1:2" s="3101" customFormat="1" ht="15" thickTop="1">
      <c r="A58" s="3099" t="s">
        <v>3235</v>
      </c>
      <c r="B58" s="3100" t="str">
        <f>'预评函-4'!A12</f>
        <v>2.本《评估意见函》仅供金融机构进行内部审核使用，不做其他目的之用。</v>
      </c>
    </row>
    <row r="59" spans="1:2" s="3104" customFormat="1">
      <c r="A59" s="3102" t="s">
        <v>3236</v>
      </c>
      <c r="B59" s="3103" t="str">
        <f>'预评函-4'!A13</f>
        <v>3.抵押双方在办理抵押登记手续时，应使用本公司出具的正式《房地产评估报告》，特提醒报告使用者注意。</v>
      </c>
    </row>
    <row r="60" spans="1:2" s="3104" customFormat="1">
      <c r="A60" s="3102" t="s">
        <v>3237</v>
      </c>
      <c r="B60" s="3103" t="str">
        <f>'预评函-4'!A14</f>
        <v>4.本次评估估价师所知悉的法定优先受偿款情况说明如下：</v>
      </c>
    </row>
    <row r="61" spans="1:2" s="3104" customFormat="1">
      <c r="A61" s="3102" t="s">
        <v>3238</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3239</v>
      </c>
      <c r="B62" s="3103" t="str">
        <f>'预评函-4'!A16</f>
        <v>（2）根据《工程款支付情况说明》，截至价值时点，估价对象不存在应付未付工程款项。（只要没有施工方盖章的，均“设定”进行表述）</v>
      </c>
    </row>
    <row r="63" spans="1:2" s="3104" customFormat="1">
      <c r="A63" s="3102" t="s">
        <v>3240</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3252</v>
      </c>
      <c r="B64" s="3103" t="str">
        <f>'预评函-4'!A18</f>
        <v>故，本次评估估价师知悉的法定优先受偿款为人民币17165万元整。</v>
      </c>
    </row>
    <row r="65" spans="1:2" s="3104" customFormat="1">
      <c r="A65" s="3102" t="s">
        <v>3241</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3242</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3253</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3254</v>
      </c>
      <c r="B68" s="3103" t="str">
        <f>'预评函-4'!A22</f>
        <v>8.其他需特殊说明事项：无（注意调整序号）</v>
      </c>
    </row>
    <row r="69" spans="1:2" s="3098" customFormat="1" ht="15" thickBot="1">
      <c r="A69" s="3105" t="s">
        <v>3243</v>
      </c>
      <c r="B69" s="3107">
        <f>'预评函-4'!C31</f>
        <v>42551</v>
      </c>
    </row>
    <row r="70" spans="1:2" ht="15" thickTop="1">
      <c r="A70" s="3108" t="s">
        <v>3244</v>
      </c>
      <c r="B70" s="3109" t="str">
        <f>'预评函-4'!A4</f>
        <v>王鹏</v>
      </c>
    </row>
    <row r="71" spans="1:2">
      <c r="A71" s="3102" t="s">
        <v>3245</v>
      </c>
      <c r="B71" s="3103">
        <f ca="1">'预评函-4'!B4</f>
        <v>1120050019</v>
      </c>
    </row>
    <row r="72" spans="1:2">
      <c r="A72" s="3102" t="s">
        <v>3246</v>
      </c>
      <c r="B72" s="3111" t="str">
        <f>'预评函-4'!A5</f>
        <v>郑燚</v>
      </c>
    </row>
    <row r="73" spans="1:2" s="3098" customFormat="1" ht="15" thickBot="1">
      <c r="A73" s="3105" t="s">
        <v>3247</v>
      </c>
      <c r="B73" s="3106">
        <f ca="1">'预评函-4'!B5</f>
        <v>1120070131</v>
      </c>
    </row>
    <row r="74" spans="1:2" ht="15" thickTop="1">
      <c r="A74" s="3095" t="s">
        <v>3310</v>
      </c>
      <c r="B74" s="31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A55" zoomScale="80" zoomScaleNormal="80" workbookViewId="0">
      <selection activeCell="G74" sqref="G74:P80"/>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3370</v>
      </c>
      <c r="B1" s="3317" t="s">
        <v>3397</v>
      </c>
      <c r="C1" s="3317" t="s">
        <v>3368</v>
      </c>
      <c r="D1" s="3317" t="s">
        <v>3371</v>
      </c>
      <c r="E1" s="3317" t="s">
        <v>3372</v>
      </c>
      <c r="F1" s="3318"/>
      <c r="G1" s="3318"/>
      <c r="H1" s="3318"/>
      <c r="I1" s="3318"/>
      <c r="J1" s="3318"/>
      <c r="N1" s="3317" t="s">
        <v>3370</v>
      </c>
      <c r="O1" s="3317" t="s">
        <v>3397</v>
      </c>
      <c r="P1" s="3317" t="s">
        <v>3368</v>
      </c>
      <c r="Q1" s="3317" t="s">
        <v>3371</v>
      </c>
      <c r="R1" s="3317" t="s">
        <v>3372</v>
      </c>
    </row>
    <row r="2" spans="1:18">
      <c r="A2" s="3317" t="s">
        <v>3369</v>
      </c>
      <c r="B2" s="3317"/>
      <c r="C2" s="3318">
        <v>87028.31</v>
      </c>
      <c r="D2" s="3318"/>
      <c r="E2" s="3318"/>
      <c r="F2" s="3318"/>
      <c r="G2" s="3318"/>
      <c r="H2" s="3318"/>
      <c r="I2" s="3318"/>
      <c r="J2" s="3318"/>
      <c r="N2" s="3300" t="s">
        <v>3435</v>
      </c>
      <c r="Q2">
        <f>260375.88-7953.42-183000</f>
        <v>69422.459999999992</v>
      </c>
    </row>
    <row r="3" spans="1:18">
      <c r="A3" s="3317" t="s">
        <v>3384</v>
      </c>
      <c r="B3" s="3317" t="s">
        <v>3399</v>
      </c>
      <c r="C3" s="3318"/>
      <c r="D3" s="3318">
        <v>62949.45</v>
      </c>
      <c r="E3" s="3318"/>
      <c r="F3" s="3318"/>
      <c r="G3" s="3318"/>
      <c r="H3" s="3318"/>
      <c r="I3" s="3318"/>
      <c r="J3" s="3318"/>
      <c r="N3" s="3300" t="s">
        <v>3409</v>
      </c>
      <c r="Q3">
        <v>7953.42</v>
      </c>
    </row>
    <row r="4" spans="1:18">
      <c r="A4" s="3317" t="s">
        <v>3385</v>
      </c>
      <c r="B4" s="3317" t="s">
        <v>3399</v>
      </c>
      <c r="C4" s="3318"/>
      <c r="D4" s="3318">
        <v>56522.68</v>
      </c>
      <c r="E4" s="3318"/>
      <c r="F4" s="3318"/>
      <c r="G4" s="3318"/>
      <c r="H4" s="3318"/>
      <c r="I4" s="3318"/>
      <c r="J4" s="3318"/>
      <c r="N4" s="3321" t="s">
        <v>3426</v>
      </c>
      <c r="Q4">
        <v>131553.93</v>
      </c>
    </row>
    <row r="5" spans="1:18">
      <c r="A5" s="3317" t="s">
        <v>3383</v>
      </c>
      <c r="B5" s="3317" t="s">
        <v>3398</v>
      </c>
      <c r="C5" s="3318"/>
      <c r="D5" s="3318">
        <v>34009.230000000003</v>
      </c>
      <c r="E5" s="3318"/>
      <c r="F5" s="3318"/>
      <c r="G5" s="3318"/>
      <c r="H5" s="3318"/>
      <c r="I5" s="3318"/>
      <c r="J5" s="3318"/>
      <c r="N5" s="3321" t="s">
        <v>3399</v>
      </c>
      <c r="Q5">
        <v>119472.13</v>
      </c>
    </row>
    <row r="6" spans="1:18">
      <c r="A6" s="3317" t="s">
        <v>3386</v>
      </c>
      <c r="B6" s="3317" t="s">
        <v>3398</v>
      </c>
      <c r="C6" s="3318"/>
      <c r="D6" s="3317">
        <f>13767.7-7953.42</f>
        <v>5814.2800000000007</v>
      </c>
      <c r="E6" s="3318"/>
      <c r="F6" s="3318"/>
      <c r="G6" s="3318"/>
      <c r="H6" s="3318"/>
      <c r="I6" s="3318"/>
      <c r="J6" s="3318"/>
      <c r="N6" s="3321" t="s">
        <v>3427</v>
      </c>
      <c r="R6" s="3341">
        <f>227445.27-22856.79</f>
        <v>204588.47999999998</v>
      </c>
    </row>
    <row r="7" spans="1:18">
      <c r="A7" s="3317" t="s">
        <v>3387</v>
      </c>
      <c r="B7" s="3317" t="s">
        <v>3398</v>
      </c>
      <c r="C7" s="3318"/>
      <c r="D7" s="3317">
        <v>20813.240000000002</v>
      </c>
      <c r="E7" s="3318"/>
      <c r="F7" s="3318"/>
      <c r="G7" s="3318"/>
      <c r="H7" s="3318"/>
      <c r="I7" s="3318"/>
      <c r="J7" s="3318"/>
      <c r="N7" s="3321" t="s">
        <v>3428</v>
      </c>
      <c r="R7" s="3341">
        <f>22856.79+192.48+1100.92+22716.64+20619.02</f>
        <v>67485.850000000006</v>
      </c>
    </row>
    <row r="8" spans="1:18">
      <c r="A8" s="3317" t="s">
        <v>3388</v>
      </c>
      <c r="B8" s="3317" t="s">
        <v>3398</v>
      </c>
      <c r="C8" s="3318"/>
      <c r="D8" s="3317">
        <v>32034.9</v>
      </c>
      <c r="E8" s="3318"/>
      <c r="F8" s="3318"/>
      <c r="G8" s="3318"/>
      <c r="H8" s="3318"/>
      <c r="I8" s="3318">
        <v>227445.27</v>
      </c>
      <c r="J8" s="3318"/>
      <c r="N8" s="3321" t="s">
        <v>3436</v>
      </c>
      <c r="Q8">
        <v>183000</v>
      </c>
    </row>
    <row r="9" spans="1:18">
      <c r="A9" s="3317" t="s">
        <v>3389</v>
      </c>
      <c r="B9" s="3317" t="s">
        <v>3398</v>
      </c>
      <c r="C9" s="3318"/>
      <c r="D9" s="3317">
        <f>40039.38-3092.91</f>
        <v>36946.47</v>
      </c>
      <c r="E9" s="3318"/>
      <c r="F9" s="3317"/>
      <c r="G9" s="3318"/>
      <c r="H9" s="3318"/>
      <c r="I9" s="3318">
        <v>272074.33</v>
      </c>
      <c r="J9" s="3318"/>
    </row>
    <row r="10" spans="1:18">
      <c r="A10" s="3317" t="s">
        <v>3390</v>
      </c>
      <c r="B10" s="3317" t="s">
        <v>3398</v>
      </c>
      <c r="C10" s="3318"/>
      <c r="D10" s="3317">
        <f>40377.19-3101.38</f>
        <v>37275.810000000005</v>
      </c>
      <c r="E10" s="3318"/>
      <c r="F10" s="3317"/>
      <c r="G10" s="3318"/>
      <c r="H10" s="3318"/>
      <c r="I10" s="3318"/>
      <c r="J10" s="3318"/>
    </row>
    <row r="11" spans="1:18">
      <c r="A11" s="3317" t="s">
        <v>3391</v>
      </c>
      <c r="B11" s="3317" t="s">
        <v>3398</v>
      </c>
      <c r="C11" s="3318"/>
      <c r="D11" s="3317">
        <v>38051.279999999999</v>
      </c>
      <c r="E11" s="3318"/>
      <c r="F11" s="3317"/>
      <c r="G11" s="3318"/>
      <c r="H11" s="3318"/>
      <c r="I11" s="3318"/>
      <c r="J11" s="3318"/>
    </row>
    <row r="12" spans="1:18">
      <c r="A12" s="3317" t="s">
        <v>3392</v>
      </c>
      <c r="B12" s="3317" t="s">
        <v>3398</v>
      </c>
      <c r="C12" s="3318"/>
      <c r="D12" s="3317">
        <v>23750.14</v>
      </c>
      <c r="E12" s="3318"/>
      <c r="F12" s="3318"/>
      <c r="G12" s="3318"/>
      <c r="H12" s="3318"/>
      <c r="I12" s="3318"/>
      <c r="J12" s="3318"/>
    </row>
    <row r="13" spans="1:18">
      <c r="A13" s="3317" t="s">
        <v>3393</v>
      </c>
      <c r="B13" s="3317" t="s">
        <v>3398</v>
      </c>
      <c r="C13" s="3318"/>
      <c r="D13" s="3317">
        <v>23751.78</v>
      </c>
      <c r="E13" s="3318"/>
      <c r="F13" s="3318"/>
      <c r="G13" s="3318"/>
      <c r="H13" s="3318"/>
      <c r="I13" s="3318"/>
      <c r="J13" s="3318"/>
    </row>
    <row r="14" spans="1:18">
      <c r="A14" s="3317" t="s">
        <v>3409</v>
      </c>
      <c r="B14" s="3318"/>
      <c r="C14" s="3318"/>
      <c r="D14" s="3317">
        <v>7953.42</v>
      </c>
      <c r="E14" s="3318"/>
      <c r="F14" s="3318"/>
      <c r="G14" s="3318"/>
      <c r="H14" s="3318"/>
      <c r="I14" s="3318"/>
      <c r="J14" s="3318"/>
      <c r="N14" s="3300" t="s">
        <v>3468</v>
      </c>
    </row>
    <row r="15" spans="1:18">
      <c r="A15" s="3317" t="s">
        <v>3394</v>
      </c>
      <c r="B15" s="3317"/>
      <c r="C15" s="3318"/>
      <c r="D15" s="3317">
        <v>2433.1</v>
      </c>
      <c r="E15" s="3318"/>
      <c r="F15" s="3318"/>
      <c r="G15" s="3318"/>
      <c r="H15" s="3318"/>
      <c r="I15" s="3318"/>
      <c r="J15" s="3318"/>
      <c r="N15" s="3300"/>
      <c r="O15" s="3300" t="s">
        <v>3475</v>
      </c>
      <c r="P15" s="3300" t="s">
        <v>3476</v>
      </c>
    </row>
    <row r="16" spans="1:18">
      <c r="A16" s="3317" t="s">
        <v>3395</v>
      </c>
      <c r="B16" s="3317" t="s">
        <v>3395</v>
      </c>
      <c r="C16" s="3318"/>
      <c r="D16" s="3317">
        <v>131553.93</v>
      </c>
      <c r="E16" s="3318"/>
      <c r="F16" s="3318"/>
      <c r="G16" s="3318"/>
      <c r="H16" s="3318"/>
      <c r="I16" s="3317" t="s">
        <v>3404</v>
      </c>
      <c r="J16" s="3319" t="s">
        <v>3408</v>
      </c>
      <c r="N16" s="3300" t="s">
        <v>3469</v>
      </c>
    </row>
    <row r="17" spans="1:14">
      <c r="A17" s="3317" t="s">
        <v>3396</v>
      </c>
      <c r="B17" s="3317" t="s">
        <v>3400</v>
      </c>
      <c r="C17" s="3318"/>
      <c r="D17" s="3318"/>
      <c r="E17" s="3318">
        <f>227445.27-22856.79</f>
        <v>204588.47999999998</v>
      </c>
      <c r="F17" s="3317" t="s">
        <v>3429</v>
      </c>
      <c r="G17" s="3318"/>
      <c r="H17" s="3319" t="s">
        <v>3402</v>
      </c>
      <c r="I17" s="3320">
        <v>125359.64</v>
      </c>
      <c r="J17" s="3319" t="s">
        <v>3403</v>
      </c>
      <c r="N17" s="3300" t="s">
        <v>3470</v>
      </c>
    </row>
    <row r="18" spans="1:14">
      <c r="A18" s="3317" t="s">
        <v>3401</v>
      </c>
      <c r="B18" s="3318"/>
      <c r="C18" s="3318"/>
      <c r="D18" s="3318"/>
      <c r="E18" s="3318"/>
      <c r="F18" s="3318"/>
      <c r="G18" s="3318"/>
      <c r="H18" s="3319" t="s">
        <v>3405</v>
      </c>
      <c r="I18" s="3320">
        <v>3092.91</v>
      </c>
      <c r="J18" s="3319" t="s">
        <v>3407</v>
      </c>
      <c r="N18" s="3300" t="s">
        <v>3471</v>
      </c>
    </row>
    <row r="19" spans="1:14">
      <c r="A19" s="3317"/>
      <c r="B19" s="3317" t="s">
        <v>3420</v>
      </c>
      <c r="C19" s="3318"/>
      <c r="D19" s="3318"/>
      <c r="E19" s="3318"/>
      <c r="F19" s="3318"/>
      <c r="G19" s="3318"/>
      <c r="H19" s="3319" t="s">
        <v>3406</v>
      </c>
      <c r="I19" s="3320">
        <v>3101.38</v>
      </c>
      <c r="J19" s="3319" t="s">
        <v>3407</v>
      </c>
      <c r="N19" s="3300" t="s">
        <v>3472</v>
      </c>
    </row>
    <row r="20" spans="1:14">
      <c r="A20" s="3318"/>
      <c r="B20" s="3317" t="s">
        <v>3410</v>
      </c>
      <c r="C20" s="3318"/>
      <c r="D20" s="3338">
        <v>2097.56</v>
      </c>
      <c r="E20" s="3318"/>
      <c r="F20" s="3318"/>
      <c r="G20" s="3318"/>
      <c r="H20" s="3318"/>
      <c r="I20" s="3318"/>
      <c r="J20" s="3318"/>
      <c r="N20" s="3300" t="s">
        <v>3473</v>
      </c>
    </row>
    <row r="21" spans="1:14">
      <c r="A21" s="3318"/>
      <c r="B21" s="3317" t="s">
        <v>3411</v>
      </c>
      <c r="C21" s="3318"/>
      <c r="D21" s="3338">
        <v>324.39999999999998</v>
      </c>
      <c r="E21" s="3318"/>
      <c r="F21" s="3318"/>
      <c r="G21" s="3318"/>
      <c r="H21" s="3318"/>
      <c r="I21" s="3318"/>
      <c r="J21" s="3318"/>
      <c r="N21" s="3300" t="s">
        <v>3474</v>
      </c>
    </row>
    <row r="22" spans="1:14">
      <c r="A22" s="3318"/>
      <c r="B22" s="3317" t="s">
        <v>3412</v>
      </c>
      <c r="C22" s="3318"/>
      <c r="D22" s="3338">
        <v>617.02</v>
      </c>
      <c r="E22" s="3318"/>
      <c r="F22" s="3318"/>
      <c r="G22" s="3318"/>
      <c r="H22" s="3318"/>
      <c r="I22" s="3318"/>
      <c r="J22" s="3318"/>
    </row>
    <row r="23" spans="1:14">
      <c r="A23" s="3318"/>
      <c r="B23" s="3317" t="s">
        <v>3413</v>
      </c>
      <c r="C23" s="3318"/>
      <c r="D23" s="3338">
        <v>253.24</v>
      </c>
      <c r="E23" s="3318"/>
      <c r="F23" s="3318"/>
      <c r="G23" s="3318"/>
      <c r="H23" s="3318"/>
      <c r="I23" s="3318"/>
      <c r="J23" s="3318"/>
    </row>
    <row r="24" spans="1:14">
      <c r="A24" s="3318"/>
      <c r="B24" s="3317" t="s">
        <v>3414</v>
      </c>
      <c r="C24" s="3318"/>
      <c r="D24" s="3338">
        <v>42.81</v>
      </c>
      <c r="E24" s="3318"/>
      <c r="F24" s="3318"/>
      <c r="G24" s="3318"/>
      <c r="H24" s="3318"/>
      <c r="I24" s="3318"/>
      <c r="J24" s="3318"/>
    </row>
    <row r="25" spans="1:14">
      <c r="A25" s="3318"/>
      <c r="B25" s="3317" t="s">
        <v>3415</v>
      </c>
      <c r="C25" s="3318"/>
      <c r="D25" s="3338">
        <v>1042.42</v>
      </c>
      <c r="E25" s="3318"/>
      <c r="F25" s="3318"/>
      <c r="G25" s="3318"/>
      <c r="H25" s="3318"/>
      <c r="I25" s="3318"/>
      <c r="J25" s="3318"/>
    </row>
    <row r="26" spans="1:14">
      <c r="A26" s="3318"/>
      <c r="B26" s="3317" t="s">
        <v>3416</v>
      </c>
      <c r="C26" s="3318"/>
      <c r="D26" s="3338">
        <v>158.99</v>
      </c>
      <c r="E26" s="3318"/>
      <c r="F26" s="3318"/>
      <c r="G26" s="3318"/>
      <c r="H26" s="3318"/>
      <c r="I26" s="3318"/>
      <c r="J26" s="3318"/>
    </row>
    <row r="27" spans="1:14">
      <c r="A27" s="3318"/>
      <c r="B27" s="3317" t="s">
        <v>3417</v>
      </c>
      <c r="C27" s="3318"/>
      <c r="D27" s="3338">
        <v>87.26</v>
      </c>
      <c r="E27" s="3318"/>
      <c r="F27" s="3318"/>
      <c r="G27" s="3318"/>
      <c r="H27" s="3318"/>
      <c r="I27" s="3318"/>
      <c r="J27" s="3318"/>
    </row>
    <row r="28" spans="1:14">
      <c r="A28" s="3318"/>
      <c r="B28" s="3317" t="s">
        <v>3418</v>
      </c>
      <c r="C28" s="3318"/>
      <c r="D28" s="3338">
        <v>133.28</v>
      </c>
      <c r="E28" s="3318"/>
      <c r="F28" s="3318"/>
      <c r="G28" s="3318"/>
      <c r="H28" s="3318"/>
      <c r="I28" s="3318"/>
      <c r="J28" s="3318"/>
    </row>
    <row r="29" spans="1:14">
      <c r="A29" s="3318"/>
      <c r="B29" s="3317" t="s">
        <v>3419</v>
      </c>
      <c r="C29" s="3318"/>
      <c r="D29" s="3338">
        <v>76.72</v>
      </c>
      <c r="E29" s="3318"/>
      <c r="F29" s="3318"/>
      <c r="G29" s="3318"/>
      <c r="H29" s="3318"/>
      <c r="I29" s="3318"/>
      <c r="J29" s="3318"/>
    </row>
    <row r="30" spans="1:14">
      <c r="A30" s="3318"/>
      <c r="B30" s="3317" t="s">
        <v>3467</v>
      </c>
      <c r="C30" s="3318"/>
      <c r="D30" s="3338">
        <v>102</v>
      </c>
      <c r="E30" s="3318"/>
      <c r="F30" s="3318"/>
      <c r="G30" s="3318"/>
      <c r="H30" s="3318"/>
      <c r="I30" s="3318"/>
      <c r="J30" s="3318"/>
    </row>
    <row r="31" spans="1:14">
      <c r="A31" s="3318"/>
      <c r="B31" s="3317" t="s">
        <v>3421</v>
      </c>
      <c r="C31" s="3318"/>
      <c r="D31" s="3318"/>
      <c r="E31" s="3318">
        <v>22856.79</v>
      </c>
      <c r="F31" s="3318"/>
      <c r="G31" s="3318"/>
      <c r="H31" s="3318"/>
      <c r="I31" s="3318"/>
      <c r="J31" s="3318"/>
    </row>
    <row r="32" spans="1:14">
      <c r="A32" s="3318"/>
      <c r="B32" s="3317" t="s">
        <v>3422</v>
      </c>
      <c r="C32" s="3318"/>
      <c r="D32" s="3318"/>
      <c r="E32" s="3318">
        <v>22716.639999999999</v>
      </c>
      <c r="F32" s="3318"/>
      <c r="G32" s="3318"/>
      <c r="H32" s="3318"/>
      <c r="I32" s="3318"/>
      <c r="J32" s="3318"/>
    </row>
    <row r="33" spans="1:10">
      <c r="A33" s="3318"/>
      <c r="B33" s="3317" t="s">
        <v>3423</v>
      </c>
      <c r="C33" s="3318"/>
      <c r="D33" s="3318"/>
      <c r="E33" s="3318">
        <v>1100.92</v>
      </c>
      <c r="F33" s="3318"/>
      <c r="G33" s="3318"/>
      <c r="H33" s="3318"/>
      <c r="I33" s="3318"/>
      <c r="J33" s="3318"/>
    </row>
    <row r="34" spans="1:10">
      <c r="A34" s="3318"/>
      <c r="B34" s="3317" t="s">
        <v>3424</v>
      </c>
      <c r="C34" s="3318"/>
      <c r="E34" s="3318">
        <v>192.48</v>
      </c>
      <c r="F34" s="3318"/>
      <c r="G34" s="3318"/>
      <c r="H34" s="3318"/>
      <c r="I34" s="3318"/>
      <c r="J34" s="3318"/>
    </row>
    <row r="35" spans="1:10">
      <c r="A35" s="3318"/>
      <c r="B35" s="3317" t="s">
        <v>3425</v>
      </c>
      <c r="C35" s="3318"/>
      <c r="D35" s="3318"/>
      <c r="E35" s="3318">
        <v>20619.02</v>
      </c>
      <c r="F35" s="3318"/>
      <c r="G35" s="3318"/>
      <c r="H35" s="3318"/>
      <c r="I35" s="3318"/>
      <c r="J35" s="3318"/>
    </row>
    <row r="38" spans="1:10">
      <c r="A38" s="3334" t="s">
        <v>3442</v>
      </c>
    </row>
    <row r="39" spans="1:10">
      <c r="A39" s="3300"/>
      <c r="H39" s="3300" t="s">
        <v>3464</v>
      </c>
    </row>
    <row r="40" spans="1:10">
      <c r="A40" s="3317" t="s">
        <v>3370</v>
      </c>
      <c r="B40" s="3317" t="s">
        <v>3397</v>
      </c>
      <c r="C40" s="3317" t="s">
        <v>3368</v>
      </c>
      <c r="D40" s="3317" t="s">
        <v>3371</v>
      </c>
      <c r="E40" s="3317" t="s">
        <v>3372</v>
      </c>
      <c r="H40" s="3300" t="s">
        <v>3466</v>
      </c>
    </row>
    <row r="41" spans="1:10">
      <c r="A41" s="3317" t="s">
        <v>3369</v>
      </c>
      <c r="B41" s="3317"/>
      <c r="C41" s="3340">
        <v>87028.31</v>
      </c>
      <c r="D41" s="3318"/>
      <c r="E41" s="3318"/>
      <c r="H41" s="3300" t="s">
        <v>3465</v>
      </c>
    </row>
    <row r="42" spans="1:10">
      <c r="A42" s="3317" t="s">
        <v>3384</v>
      </c>
      <c r="B42" s="3317" t="s">
        <v>3399</v>
      </c>
      <c r="C42" s="3318"/>
      <c r="D42" s="3337">
        <v>61354.65</v>
      </c>
      <c r="E42" s="3318"/>
    </row>
    <row r="43" spans="1:10">
      <c r="A43" s="3317" t="s">
        <v>3385</v>
      </c>
      <c r="B43" s="3317" t="s">
        <v>3399</v>
      </c>
      <c r="C43" s="3318"/>
      <c r="D43" s="3337">
        <v>56546.37</v>
      </c>
      <c r="E43" s="3318"/>
    </row>
    <row r="44" spans="1:10">
      <c r="A44" s="3317" t="s">
        <v>3383</v>
      </c>
      <c r="B44" s="3317" t="s">
        <v>3398</v>
      </c>
      <c r="C44" s="3318"/>
      <c r="D44" s="3337">
        <v>34059.230000000003</v>
      </c>
      <c r="E44" s="3318"/>
    </row>
    <row r="45" spans="1:10">
      <c r="A45" s="3317" t="s">
        <v>3386</v>
      </c>
      <c r="B45" s="3317" t="s">
        <v>3398</v>
      </c>
      <c r="C45" s="3318"/>
      <c r="D45" s="3337">
        <f>2646.96+2856.64</f>
        <v>5503.6</v>
      </c>
      <c r="E45" s="3318"/>
    </row>
    <row r="46" spans="1:10">
      <c r="A46" s="3317" t="s">
        <v>3387</v>
      </c>
      <c r="B46" s="3317" t="s">
        <v>3398</v>
      </c>
      <c r="C46" s="3318"/>
      <c r="D46" s="3337">
        <v>20242.439999999999</v>
      </c>
      <c r="E46" s="3318"/>
    </row>
    <row r="47" spans="1:10">
      <c r="A47" s="3317" t="s">
        <v>3388</v>
      </c>
      <c r="B47" s="3317" t="s">
        <v>3398</v>
      </c>
      <c r="C47" s="3318"/>
      <c r="D47" s="3337">
        <v>31936.68</v>
      </c>
      <c r="E47" s="3318"/>
    </row>
    <row r="48" spans="1:10">
      <c r="A48" s="3317" t="s">
        <v>3389</v>
      </c>
      <c r="B48" s="3317" t="s">
        <v>3398</v>
      </c>
      <c r="C48" s="3318"/>
      <c r="D48" s="3337">
        <v>35993.199999999997</v>
      </c>
      <c r="E48" s="3318"/>
    </row>
    <row r="49" spans="1:8">
      <c r="A49" s="3317" t="s">
        <v>3390</v>
      </c>
      <c r="B49" s="3317" t="s">
        <v>3398</v>
      </c>
      <c r="C49" s="3318"/>
      <c r="D49" s="3337">
        <v>35987.71</v>
      </c>
      <c r="E49" s="3318"/>
    </row>
    <row r="50" spans="1:8">
      <c r="A50" s="3317" t="s">
        <v>3391</v>
      </c>
      <c r="B50" s="3317" t="s">
        <v>3398</v>
      </c>
      <c r="C50" s="3318"/>
      <c r="D50" s="3337">
        <v>37709.49</v>
      </c>
      <c r="E50" s="3318"/>
    </row>
    <row r="51" spans="1:8">
      <c r="A51" s="3317" t="s">
        <v>3392</v>
      </c>
      <c r="B51" s="3317" t="s">
        <v>3398</v>
      </c>
      <c r="C51" s="3318"/>
      <c r="D51" s="3337">
        <v>23588.25</v>
      </c>
      <c r="E51" s="3318"/>
    </row>
    <row r="52" spans="1:8">
      <c r="A52" s="3317" t="s">
        <v>3393</v>
      </c>
      <c r="B52" s="3317" t="s">
        <v>3398</v>
      </c>
      <c r="C52" s="3318"/>
      <c r="D52" s="3337">
        <v>23588.25</v>
      </c>
      <c r="E52" s="3318"/>
    </row>
    <row r="53" spans="1:8">
      <c r="A53" s="3317" t="s">
        <v>3409</v>
      </c>
      <c r="B53" s="3318"/>
      <c r="C53" s="3318"/>
      <c r="D53" s="3337">
        <v>8033.82</v>
      </c>
      <c r="E53" s="3318"/>
    </row>
    <row r="54" spans="1:8">
      <c r="A54" s="3317" t="s">
        <v>3394</v>
      </c>
      <c r="B54" s="3317"/>
      <c r="C54" s="3318"/>
      <c r="D54" s="3338">
        <v>2424.1</v>
      </c>
      <c r="E54" s="3318"/>
    </row>
    <row r="55" spans="1:8">
      <c r="C55" s="3300" t="s">
        <v>3444</v>
      </c>
      <c r="D55" s="3339">
        <f>SUM(D42:D43)</f>
        <v>117901.02</v>
      </c>
    </row>
    <row r="56" spans="1:8">
      <c r="C56" s="3300" t="s">
        <v>3443</v>
      </c>
      <c r="D56" s="3339">
        <f>SUM(D44:D52)</f>
        <v>248608.85</v>
      </c>
    </row>
    <row r="57" spans="1:8">
      <c r="C57" s="3300" t="s">
        <v>3445</v>
      </c>
      <c r="D57" s="3339">
        <v>183000</v>
      </c>
    </row>
    <row r="58" spans="1:8">
      <c r="C58" s="3321" t="s">
        <v>3446</v>
      </c>
      <c r="D58" s="3339">
        <f>D56-D57</f>
        <v>65608.850000000006</v>
      </c>
    </row>
    <row r="59" spans="1:8">
      <c r="C59" s="3321" t="s">
        <v>3452</v>
      </c>
      <c r="D59" s="3339">
        <f>3153.34+3167.72</f>
        <v>6321.0599999999995</v>
      </c>
    </row>
    <row r="61" spans="1:8">
      <c r="C61" s="3300" t="s">
        <v>3453</v>
      </c>
      <c r="D61">
        <f>Q4-D59</f>
        <v>125232.87</v>
      </c>
    </row>
    <row r="63" spans="1:8">
      <c r="B63" s="3495" t="s">
        <v>3483</v>
      </c>
      <c r="C63" s="3496"/>
      <c r="D63" s="3497"/>
      <c r="G63" s="3300" t="s">
        <v>3563</v>
      </c>
    </row>
    <row r="64" spans="1:8">
      <c r="B64" s="3319"/>
      <c r="C64" s="3319" t="s">
        <v>3475</v>
      </c>
      <c r="D64" s="3319" t="s">
        <v>3476</v>
      </c>
      <c r="G64" s="3317" t="s">
        <v>3564</v>
      </c>
      <c r="H64" s="3318">
        <v>183000</v>
      </c>
    </row>
    <row r="65" spans="2:16">
      <c r="B65" s="3319" t="s">
        <v>3469</v>
      </c>
      <c r="C65" s="3320">
        <f>D58</f>
        <v>65608.850000000006</v>
      </c>
      <c r="D65" s="3320">
        <v>0</v>
      </c>
      <c r="G65" s="3317" t="s">
        <v>3565</v>
      </c>
      <c r="H65" s="3318">
        <v>32500</v>
      </c>
    </row>
    <row r="66" spans="2:16">
      <c r="B66" s="3319" t="s">
        <v>3470</v>
      </c>
      <c r="C66" s="3320">
        <f>D53</f>
        <v>8033.82</v>
      </c>
      <c r="D66" s="3320">
        <v>0</v>
      </c>
      <c r="G66" s="3317" t="s">
        <v>3566</v>
      </c>
      <c r="H66" s="3318">
        <v>12338</v>
      </c>
    </row>
    <row r="67" spans="2:16">
      <c r="B67" s="3319" t="s">
        <v>3471</v>
      </c>
      <c r="C67" s="3320">
        <f>D57</f>
        <v>183000</v>
      </c>
      <c r="D67" s="3320">
        <v>0</v>
      </c>
      <c r="G67" s="3317" t="s">
        <v>3567</v>
      </c>
      <c r="H67" s="3318">
        <v>3370</v>
      </c>
    </row>
    <row r="68" spans="2:16">
      <c r="B68" s="3319" t="s">
        <v>3472</v>
      </c>
      <c r="C68" s="3320">
        <f>D55</f>
        <v>117901.02</v>
      </c>
      <c r="D68" s="3320">
        <v>0</v>
      </c>
      <c r="G68" s="3321" t="s">
        <v>3568</v>
      </c>
      <c r="H68">
        <f>H67+H66+H65+H64</f>
        <v>231208</v>
      </c>
    </row>
    <row r="69" spans="2:16">
      <c r="B69" s="3342" t="s">
        <v>3477</v>
      </c>
      <c r="C69" s="3320">
        <f>D59</f>
        <v>6321.0599999999995</v>
      </c>
      <c r="D69" s="3320">
        <v>0</v>
      </c>
    </row>
    <row r="70" spans="2:16">
      <c r="B70" s="3319" t="s">
        <v>3478</v>
      </c>
      <c r="C70" s="3320">
        <f>D61</f>
        <v>125232.87</v>
      </c>
      <c r="D70" s="3320">
        <v>0</v>
      </c>
    </row>
    <row r="71" spans="2:16">
      <c r="B71" s="3319" t="s">
        <v>3479</v>
      </c>
      <c r="C71" s="3320">
        <v>0</v>
      </c>
      <c r="D71" s="3320">
        <f>R6</f>
        <v>204588.47999999998</v>
      </c>
    </row>
    <row r="72" spans="2:16">
      <c r="B72" s="3342" t="s">
        <v>3480</v>
      </c>
      <c r="C72" s="3320">
        <f>SUM(D20:D30)+D54</f>
        <v>7359.8000000000011</v>
      </c>
      <c r="D72" s="3320">
        <v>0</v>
      </c>
    </row>
    <row r="73" spans="2:16">
      <c r="B73" s="3342" t="s">
        <v>3481</v>
      </c>
      <c r="C73" s="3320">
        <v>0</v>
      </c>
      <c r="D73" s="3320">
        <f>R7</f>
        <v>67485.850000000006</v>
      </c>
    </row>
    <row r="74" spans="2:16">
      <c r="B74" s="3342" t="s">
        <v>3482</v>
      </c>
      <c r="C74" s="3320">
        <f>SUM(C65:C73)</f>
        <v>513457.42</v>
      </c>
      <c r="D74" s="3320">
        <f>SUM(D65:D73)</f>
        <v>272074.32999999996</v>
      </c>
      <c r="G74" s="3437" t="s">
        <v>3595</v>
      </c>
      <c r="H74" s="3438"/>
      <c r="I74" s="3438"/>
      <c r="J74" s="3438"/>
      <c r="K74" s="3438"/>
      <c r="L74" s="3438"/>
      <c r="M74" s="3438"/>
      <c r="N74" s="3438"/>
      <c r="O74" s="3438"/>
      <c r="P74" s="3438"/>
    </row>
    <row r="75" spans="2:16">
      <c r="B75" s="3435"/>
      <c r="C75" s="3436"/>
      <c r="D75" s="3436"/>
      <c r="G75" s="3437"/>
      <c r="H75" s="3437" t="s">
        <v>3600</v>
      </c>
      <c r="I75" s="3437" t="s">
        <v>3601</v>
      </c>
      <c r="J75" s="3437" t="s">
        <v>3602</v>
      </c>
      <c r="K75" s="3437" t="s">
        <v>3603</v>
      </c>
      <c r="L75" s="3438"/>
      <c r="M75" s="3437" t="s">
        <v>3604</v>
      </c>
      <c r="N75" s="3437" t="s">
        <v>3605</v>
      </c>
      <c r="O75" s="3437" t="s">
        <v>3606</v>
      </c>
      <c r="P75" s="3437" t="s">
        <v>3608</v>
      </c>
    </row>
    <row r="76" spans="2:16">
      <c r="G76" s="3437" t="s">
        <v>3596</v>
      </c>
      <c r="H76" s="3438"/>
      <c r="I76" s="3438"/>
      <c r="J76" s="3438">
        <v>3316.76</v>
      </c>
      <c r="K76" s="3438">
        <v>20242.439999999999</v>
      </c>
      <c r="L76" s="3438"/>
      <c r="M76" s="3438">
        <v>10058.049999999999</v>
      </c>
      <c r="N76" s="3438">
        <v>21672</v>
      </c>
      <c r="O76" s="3438">
        <v>10309.780000000001</v>
      </c>
      <c r="P76" s="3438">
        <f>SUM(H76:O76)</f>
        <v>65599.03</v>
      </c>
    </row>
    <row r="77" spans="2:16">
      <c r="G77" s="3437" t="s">
        <v>3597</v>
      </c>
      <c r="H77" s="3438">
        <f>D56-P76</f>
        <v>183009.82</v>
      </c>
      <c r="I77" s="3438"/>
      <c r="J77" s="3438"/>
      <c r="K77" s="3438"/>
      <c r="L77" s="3438"/>
      <c r="M77" s="3438"/>
      <c r="N77" s="3438"/>
      <c r="O77" s="3438"/>
      <c r="P77" s="3438">
        <f>H77</f>
        <v>183009.82</v>
      </c>
    </row>
    <row r="78" spans="2:16">
      <c r="G78" s="3437" t="s">
        <v>3598</v>
      </c>
      <c r="H78" s="3438">
        <v>36051.14</v>
      </c>
      <c r="I78" s="3438">
        <v>36963.54</v>
      </c>
      <c r="J78" s="3438"/>
      <c r="K78" s="3438"/>
      <c r="L78" s="3438"/>
      <c r="M78" s="3438"/>
      <c r="N78" s="3438"/>
      <c r="O78" s="3438"/>
      <c r="P78" s="3438">
        <f t="shared" ref="P78:P80" si="0">SUM(H78:O78)</f>
        <v>73014.679999999993</v>
      </c>
    </row>
    <row r="79" spans="2:16">
      <c r="G79" s="3437" t="s">
        <v>3599</v>
      </c>
      <c r="H79" s="3438">
        <f>D42-H78</f>
        <v>25303.510000000002</v>
      </c>
      <c r="I79" s="3438">
        <v>19582.830000000002</v>
      </c>
      <c r="J79" s="3438"/>
      <c r="K79" s="3438"/>
      <c r="L79" s="3438"/>
      <c r="M79" s="3438"/>
      <c r="N79" s="3438"/>
      <c r="O79" s="3438"/>
      <c r="P79" s="3438">
        <f t="shared" si="0"/>
        <v>44886.340000000004</v>
      </c>
    </row>
    <row r="80" spans="2:16">
      <c r="G80" s="3437" t="s">
        <v>3607</v>
      </c>
      <c r="H80" s="3438"/>
      <c r="I80" s="3438"/>
      <c r="J80" s="3438"/>
      <c r="K80" s="3438"/>
      <c r="L80" s="3438"/>
      <c r="M80" s="3438">
        <v>3153.34</v>
      </c>
      <c r="N80" s="3438">
        <v>3167.72</v>
      </c>
      <c r="O80" s="3438"/>
      <c r="P80" s="3438">
        <f t="shared" si="0"/>
        <v>6321.0599999999995</v>
      </c>
    </row>
  </sheetData>
  <mergeCells count="1">
    <mergeCell ref="B63:D6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3044</v>
      </c>
      <c r="R1" s="1508" t="s">
        <v>3034</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3038</v>
      </c>
      <c r="S2" s="298" t="s">
        <v>396</v>
      </c>
      <c r="T2" s="298" t="s">
        <v>397</v>
      </c>
      <c r="U2" s="298" t="s">
        <v>396</v>
      </c>
      <c r="V2" s="298" t="s">
        <v>398</v>
      </c>
      <c r="W2" s="298" t="s">
        <v>396</v>
      </c>
    </row>
    <row r="3" spans="1:23">
      <c r="A3" s="2837" t="s">
        <v>804</v>
      </c>
      <c r="B3" s="2838" t="s">
        <v>3081</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3036</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3039</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3040</v>
      </c>
      <c r="S5" s="298" t="s">
        <v>412</v>
      </c>
      <c r="T5" s="298" t="s">
        <v>413</v>
      </c>
      <c r="U5" s="298" t="s">
        <v>412</v>
      </c>
      <c r="W5" s="298" t="s">
        <v>412</v>
      </c>
    </row>
    <row r="6" spans="1:23">
      <c r="A6" s="2837" t="s">
        <v>810</v>
      </c>
      <c r="B6" s="2838" t="s">
        <v>3082</v>
      </c>
      <c r="C6" s="1794" t="s">
        <v>326</v>
      </c>
      <c r="F6" s="298" t="s">
        <v>414</v>
      </c>
      <c r="H6" s="298" t="s">
        <v>415</v>
      </c>
      <c r="I6" s="298" t="s">
        <v>416</v>
      </c>
      <c r="K6" s="298" t="s">
        <v>417</v>
      </c>
      <c r="L6" s="298" t="s">
        <v>417</v>
      </c>
      <c r="M6" s="298" t="s">
        <v>417</v>
      </c>
      <c r="N6" s="298" t="s">
        <v>417</v>
      </c>
      <c r="O6" s="298" t="s">
        <v>417</v>
      </c>
      <c r="P6" s="298" t="s">
        <v>417</v>
      </c>
      <c r="Q6" s="298" t="s">
        <v>417</v>
      </c>
      <c r="R6" s="2800" t="s">
        <v>3041</v>
      </c>
      <c r="S6" s="298" t="s">
        <v>417</v>
      </c>
      <c r="T6" s="298"/>
      <c r="U6" s="298" t="s">
        <v>417</v>
      </c>
      <c r="W6" s="298" t="s">
        <v>417</v>
      </c>
    </row>
    <row r="7" spans="1:23">
      <c r="A7" s="2837" t="s">
        <v>812</v>
      </c>
      <c r="B7" s="2838" t="s">
        <v>3083</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3528</v>
      </c>
      <c r="C17" s="1795"/>
    </row>
    <row r="18" spans="1:3">
      <c r="A18" s="2837" t="s">
        <v>830</v>
      </c>
      <c r="B18" s="2837" t="s">
        <v>3378</v>
      </c>
      <c r="C18" s="1795"/>
    </row>
    <row r="19" spans="1:3">
      <c r="A19" s="2837" t="s">
        <v>831</v>
      </c>
      <c r="B19" s="2837" t="s">
        <v>3379</v>
      </c>
      <c r="C19" s="1795"/>
    </row>
    <row r="20" spans="1:3">
      <c r="A20" s="2837" t="s">
        <v>832</v>
      </c>
      <c r="B20" s="2837" t="s">
        <v>3457</v>
      </c>
      <c r="C20" s="1795"/>
    </row>
    <row r="21" spans="1:3">
      <c r="A21" s="2837" t="s">
        <v>833</v>
      </c>
      <c r="B21" s="2837" t="s">
        <v>3487</v>
      </c>
      <c r="C21" s="1795"/>
    </row>
    <row r="22" spans="1:3">
      <c r="A22" s="2837" t="s">
        <v>834</v>
      </c>
      <c r="B22" s="2837" t="s">
        <v>3485</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3272</v>
      </c>
    </row>
    <row r="52" spans="1:4">
      <c r="A52" s="1976" t="s">
        <v>2370</v>
      </c>
      <c r="B52" s="1976" t="s">
        <v>2371</v>
      </c>
      <c r="C52" s="1166" t="s">
        <v>2372</v>
      </c>
      <c r="D52" s="1166" t="s">
        <v>2373</v>
      </c>
    </row>
    <row r="53" spans="1:4">
      <c r="A53" s="3498"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498"/>
      <c r="B54" s="2119" t="s">
        <v>2376</v>
      </c>
      <c r="C54" s="1166" t="s">
        <v>3269</v>
      </c>
    </row>
    <row r="55" spans="1:4">
      <c r="A55" s="3498"/>
      <c r="B55" s="2119" t="s">
        <v>2377</v>
      </c>
      <c r="C55" s="1166" t="s">
        <v>3270</v>
      </c>
    </row>
    <row r="56" spans="1:4">
      <c r="A56" s="3498"/>
      <c r="B56" s="2119" t="s">
        <v>2378</v>
      </c>
      <c r="C56" s="1166" t="s">
        <v>3281</v>
      </c>
    </row>
    <row r="57" spans="1:4">
      <c r="A57" s="3498"/>
      <c r="B57" s="2119" t="s">
        <v>2379</v>
      </c>
      <c r="C57" s="1166" t="s">
        <v>3271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J11" sqref="J11:J12"/>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3">
      <c r="A1" s="3317" t="s">
        <v>3620</v>
      </c>
      <c r="B1" s="3317" t="s">
        <v>3627</v>
      </c>
      <c r="C1" s="3317" t="s">
        <v>3621</v>
      </c>
      <c r="D1" s="3317" t="s">
        <v>3652</v>
      </c>
      <c r="E1" s="3317" t="s">
        <v>3622</v>
      </c>
      <c r="F1" s="3317" t="s">
        <v>3623</v>
      </c>
      <c r="G1" s="3317" t="s">
        <v>3624</v>
      </c>
      <c r="H1" s="3317" t="s">
        <v>3625</v>
      </c>
      <c r="I1" s="3300" t="s">
        <v>3626</v>
      </c>
      <c r="J1" s="3300" t="s">
        <v>3651</v>
      </c>
      <c r="K1" s="3300" t="s">
        <v>3643</v>
      </c>
      <c r="L1" s="3300"/>
      <c r="M1" s="3300"/>
    </row>
    <row r="2" spans="1:13">
      <c r="A2" s="3318">
        <v>1</v>
      </c>
      <c r="B2" s="3318">
        <v>2</v>
      </c>
      <c r="C2" s="3449" t="s">
        <v>3633</v>
      </c>
      <c r="D2" s="3452">
        <v>25</v>
      </c>
      <c r="E2" s="3317" t="s">
        <v>3634</v>
      </c>
      <c r="F2" s="3317" t="s">
        <v>3399</v>
      </c>
      <c r="G2" s="3318">
        <v>36051.14</v>
      </c>
      <c r="H2" s="3318">
        <f>ROUND(G2/$G$14*$K$3,2)</f>
        <v>6169.79</v>
      </c>
      <c r="I2" s="3451">
        <f ca="1">J2/G2*10000</f>
        <v>13034.104922462171</v>
      </c>
      <c r="J2" s="3450">
        <f ca="1">G2/(G3+G2)*J4</f>
        <v>46989.434133437288</v>
      </c>
    </row>
    <row r="3" spans="1:13">
      <c r="A3" s="3318">
        <v>2</v>
      </c>
      <c r="B3" s="3318">
        <v>3</v>
      </c>
      <c r="C3" s="3317" t="s">
        <v>3635</v>
      </c>
      <c r="D3" s="3452">
        <v>30</v>
      </c>
      <c r="E3" s="3317" t="s">
        <v>3634</v>
      </c>
      <c r="F3" s="3317" t="s">
        <v>3399</v>
      </c>
      <c r="G3" s="3318">
        <v>36963.54</v>
      </c>
      <c r="H3" s="3318">
        <f t="shared" ref="H3:H12" si="0">ROUND(G3/$G$14*$K$3,2)</f>
        <v>6325.93</v>
      </c>
      <c r="I3" s="3451">
        <f ca="1">J3/G3*10000</f>
        <v>13034.104922462171</v>
      </c>
      <c r="J3" s="3450">
        <f ca="1">G3/(G2+G3)*J4</f>
        <v>48178.665866562733</v>
      </c>
      <c r="K3">
        <v>24804.11</v>
      </c>
    </row>
    <row r="4" spans="1:13">
      <c r="A4" s="3318"/>
      <c r="B4" s="3318"/>
      <c r="C4" s="3317"/>
      <c r="D4" s="3452"/>
      <c r="E4" s="3317"/>
      <c r="F4" s="3317"/>
      <c r="G4" s="3318"/>
      <c r="H4" s="3318"/>
      <c r="I4" s="3451"/>
      <c r="J4" s="3318">
        <f ca="1">ROUND(L6/L12*J14,2)</f>
        <v>95168.1</v>
      </c>
    </row>
    <row r="5" spans="1:13">
      <c r="A5" s="3318">
        <v>3</v>
      </c>
      <c r="B5" s="3318">
        <v>5</v>
      </c>
      <c r="C5" s="3317" t="s">
        <v>3637</v>
      </c>
      <c r="D5" s="3452">
        <v>30</v>
      </c>
      <c r="E5" s="3317" t="s">
        <v>3634</v>
      </c>
      <c r="F5" s="3317" t="s">
        <v>3398</v>
      </c>
      <c r="G5" s="3318">
        <v>3316.76</v>
      </c>
      <c r="H5" s="3318">
        <f t="shared" si="0"/>
        <v>567.63</v>
      </c>
      <c r="I5" s="3451">
        <f ca="1">J5/G5*10000</f>
        <v>15409.767363330478</v>
      </c>
      <c r="J5" s="3318">
        <f ca="1">ROUND(G5/($G$9+$G$8+$G$7+$G$6+$G$5)*$J$10,2)</f>
        <v>5111.05</v>
      </c>
      <c r="K5" s="3300" t="s">
        <v>3644</v>
      </c>
      <c r="L5" s="3300" t="s">
        <v>3649</v>
      </c>
    </row>
    <row r="6" spans="1:13">
      <c r="A6" s="3318">
        <v>4</v>
      </c>
      <c r="B6" s="3318">
        <v>6</v>
      </c>
      <c r="C6" s="3317" t="s">
        <v>3638</v>
      </c>
      <c r="D6" s="3452">
        <v>31</v>
      </c>
      <c r="E6" s="3317" t="s">
        <v>3634</v>
      </c>
      <c r="F6" s="3317" t="s">
        <v>3398</v>
      </c>
      <c r="G6" s="3318">
        <v>20242.439999999999</v>
      </c>
      <c r="H6" s="3318">
        <f t="shared" si="0"/>
        <v>3464.29</v>
      </c>
      <c r="I6" s="3451">
        <f t="shared" ref="I6:I9" ca="1" si="1">J6/G6*10000</f>
        <v>15409.782615139282</v>
      </c>
      <c r="J6" s="3318">
        <f t="shared" ref="J6:J9" ca="1" si="2">ROUND(G6/($G$9+$G$8+$G$7+$G$6+$G$5)*$J$10,2)</f>
        <v>31193.16</v>
      </c>
      <c r="K6">
        <f>假设开发法!F6</f>
        <v>16268</v>
      </c>
      <c r="L6">
        <f>假设开发法!F8</f>
        <v>118780</v>
      </c>
    </row>
    <row r="7" spans="1:13">
      <c r="A7" s="3318">
        <v>5</v>
      </c>
      <c r="B7" s="3318">
        <v>9</v>
      </c>
      <c r="C7" s="3317" t="s">
        <v>3639</v>
      </c>
      <c r="D7" s="3452">
        <v>33</v>
      </c>
      <c r="E7" s="3317" t="s">
        <v>3634</v>
      </c>
      <c r="F7" s="3317" t="s">
        <v>3398</v>
      </c>
      <c r="G7" s="3318">
        <v>10058.049999999999</v>
      </c>
      <c r="H7" s="3318">
        <f t="shared" si="0"/>
        <v>1721.33</v>
      </c>
      <c r="I7" s="3451">
        <f t="shared" ca="1" si="1"/>
        <v>15409.77624887528</v>
      </c>
      <c r="J7" s="3318">
        <f t="shared" ca="1" si="2"/>
        <v>15499.23</v>
      </c>
      <c r="K7" s="3300" t="s">
        <v>3645</v>
      </c>
      <c r="L7" s="3300" t="s">
        <v>3648</v>
      </c>
    </row>
    <row r="8" spans="1:13">
      <c r="A8" s="3318">
        <v>6</v>
      </c>
      <c r="B8" s="3318">
        <v>10</v>
      </c>
      <c r="C8" s="3317" t="s">
        <v>3638</v>
      </c>
      <c r="D8" s="3452">
        <v>33</v>
      </c>
      <c r="E8" s="3317" t="s">
        <v>3634</v>
      </c>
      <c r="F8" s="3317" t="s">
        <v>3398</v>
      </c>
      <c r="G8" s="3318">
        <v>21672</v>
      </c>
      <c r="H8" s="3318">
        <f t="shared" si="0"/>
        <v>3708.94</v>
      </c>
      <c r="I8" s="3451">
        <f t="shared" ca="1" si="1"/>
        <v>15409.782207456627</v>
      </c>
      <c r="J8" s="3318">
        <f t="shared" ca="1" si="2"/>
        <v>33396.080000000002</v>
      </c>
      <c r="K8">
        <f>假设开发法!C6</f>
        <v>19233</v>
      </c>
      <c r="L8">
        <f>假设开发法!C8</f>
        <v>126167</v>
      </c>
    </row>
    <row r="9" spans="1:13">
      <c r="A9" s="3318">
        <v>7</v>
      </c>
      <c r="B9" s="3318">
        <v>11</v>
      </c>
      <c r="C9" s="3317" t="s">
        <v>3641</v>
      </c>
      <c r="D9" s="3452">
        <v>34</v>
      </c>
      <c r="E9" s="3317" t="s">
        <v>3634</v>
      </c>
      <c r="F9" s="3317" t="s">
        <v>3398</v>
      </c>
      <c r="G9" s="3318">
        <v>10309.780000000001</v>
      </c>
      <c r="H9" s="3318">
        <f t="shared" si="0"/>
        <v>1764.41</v>
      </c>
      <c r="I9" s="3451">
        <f t="shared" ca="1" si="1"/>
        <v>15409.785659829791</v>
      </c>
      <c r="J9" s="3318">
        <f t="shared" ca="1" si="2"/>
        <v>15887.15</v>
      </c>
      <c r="K9" s="3300" t="s">
        <v>3646</v>
      </c>
      <c r="L9" s="3300" t="s">
        <v>3647</v>
      </c>
    </row>
    <row r="10" spans="1:13">
      <c r="A10" s="3318"/>
      <c r="B10" s="3318"/>
      <c r="C10" s="3317"/>
      <c r="D10" s="3452"/>
      <c r="E10" s="3317"/>
      <c r="F10" s="3317"/>
      <c r="G10" s="3318"/>
      <c r="H10" s="3318"/>
      <c r="I10" s="3451"/>
      <c r="J10" s="3450">
        <f ca="1">ROUND(L8/L12*J14,2)</f>
        <v>101086.67</v>
      </c>
      <c r="K10">
        <f ca="1">假设开发法!E6</f>
        <v>44899</v>
      </c>
      <c r="L10">
        <f ca="1">假设开发法!E8</f>
        <v>28381</v>
      </c>
    </row>
    <row r="11" spans="1:13">
      <c r="A11" s="3318">
        <v>8</v>
      </c>
      <c r="B11" s="3318">
        <v>9</v>
      </c>
      <c r="C11" s="3317" t="s">
        <v>3640</v>
      </c>
      <c r="D11" s="3452">
        <v>33</v>
      </c>
      <c r="E11" s="3317" t="s">
        <v>3634</v>
      </c>
      <c r="F11" s="3317" t="s">
        <v>3636</v>
      </c>
      <c r="G11" s="3318">
        <v>3153.34</v>
      </c>
      <c r="H11" s="3318">
        <f t="shared" si="0"/>
        <v>539.66</v>
      </c>
      <c r="I11" s="3451">
        <f ca="1">J11/G11*10000</f>
        <v>35973.761154838998</v>
      </c>
      <c r="J11" s="3318">
        <f ca="1">ROUND(G11/($G$12+$G$11)*$J$13,2)</f>
        <v>11343.75</v>
      </c>
      <c r="L11" s="3300" t="s">
        <v>3650</v>
      </c>
    </row>
    <row r="12" spans="1:13">
      <c r="A12" s="3318">
        <v>9</v>
      </c>
      <c r="B12" s="3318">
        <v>10</v>
      </c>
      <c r="C12" s="3317" t="s">
        <v>3640</v>
      </c>
      <c r="D12" s="3452">
        <v>33</v>
      </c>
      <c r="E12" s="3317" t="s">
        <v>3634</v>
      </c>
      <c r="F12" s="3317" t="s">
        <v>3636</v>
      </c>
      <c r="G12" s="3318">
        <v>3167.72</v>
      </c>
      <c r="H12" s="3318">
        <f t="shared" si="0"/>
        <v>542.12</v>
      </c>
      <c r="I12" s="3451">
        <f ca="1">J12/G12*10000</f>
        <v>35973.760307097851</v>
      </c>
      <c r="J12" s="3318">
        <f ca="1">ROUND(G12/($G$12+$G$11)*$J$13,2)</f>
        <v>11395.48</v>
      </c>
      <c r="L12">
        <f ca="1">假设开发法!C4</f>
        <v>273328</v>
      </c>
    </row>
    <row r="13" spans="1:13">
      <c r="A13" s="3318"/>
      <c r="B13" s="3318"/>
      <c r="C13" s="3318"/>
      <c r="D13" s="3452"/>
      <c r="E13" s="3318"/>
      <c r="F13" s="3318"/>
      <c r="G13" s="3318"/>
      <c r="H13" s="3318"/>
      <c r="I13" s="3318"/>
      <c r="J13" s="3450">
        <f ca="1">ROUND(L10/L12*J14,2)</f>
        <v>22739.23</v>
      </c>
    </row>
    <row r="14" spans="1:13">
      <c r="A14" s="3318"/>
      <c r="B14" s="3318"/>
      <c r="C14" s="3318"/>
      <c r="D14" s="3452"/>
      <c r="E14" s="3318"/>
      <c r="F14" s="3317" t="s">
        <v>3642</v>
      </c>
      <c r="G14" s="3318">
        <f>SUM(G2:G13)</f>
        <v>144934.76999999999</v>
      </c>
      <c r="H14" s="3450">
        <f>SUM(H2:H13)</f>
        <v>24804.1</v>
      </c>
      <c r="I14" s="3318"/>
      <c r="J14" s="3318">
        <f ca="1">结果表!H107</f>
        <v>218994</v>
      </c>
    </row>
    <row r="27" spans="3:13">
      <c r="C27" t="s">
        <v>3628</v>
      </c>
    </row>
    <row r="28" spans="3:13">
      <c r="E28" t="s">
        <v>3629</v>
      </c>
      <c r="F28" t="s">
        <v>3385</v>
      </c>
      <c r="G28" t="s">
        <v>3386</v>
      </c>
    </row>
    <row r="29" spans="3:13">
      <c r="C29" t="s">
        <v>3630</v>
      </c>
      <c r="G29">
        <v>3316.76</v>
      </c>
    </row>
    <row r="30" spans="3:13">
      <c r="C30" t="s">
        <v>3631</v>
      </c>
      <c r="E30">
        <v>183009.82</v>
      </c>
      <c r="H30" t="s">
        <v>3387</v>
      </c>
      <c r="J30" t="s">
        <v>3389</v>
      </c>
      <c r="K30" t="s">
        <v>3390</v>
      </c>
      <c r="L30" t="s">
        <v>3391</v>
      </c>
      <c r="M30" t="s">
        <v>348</v>
      </c>
    </row>
    <row r="31" spans="3:13">
      <c r="C31" t="s">
        <v>3632</v>
      </c>
      <c r="E31">
        <v>36051.14</v>
      </c>
      <c r="F31">
        <v>36963.54</v>
      </c>
      <c r="H31">
        <v>20242.439999999999</v>
      </c>
      <c r="J31">
        <v>10058.049999999999</v>
      </c>
      <c r="K31">
        <v>21672</v>
      </c>
      <c r="L31">
        <v>10309.780000000001</v>
      </c>
      <c r="M31">
        <v>65599.03</v>
      </c>
    </row>
    <row r="32" spans="3:13">
      <c r="C32" t="s">
        <v>3582</v>
      </c>
      <c r="E32">
        <v>25303.510000000002</v>
      </c>
      <c r="F32">
        <v>19582.830000000002</v>
      </c>
      <c r="M32">
        <v>183009.82</v>
      </c>
    </row>
    <row r="33" spans="3:13">
      <c r="C33" t="s">
        <v>177</v>
      </c>
      <c r="M33">
        <v>73014.679999999993</v>
      </c>
    </row>
    <row r="34" spans="3:13">
      <c r="M34">
        <v>44886.340000000004</v>
      </c>
    </row>
    <row r="35" spans="3:13">
      <c r="J35">
        <v>3153.34</v>
      </c>
      <c r="K35">
        <v>3167.72</v>
      </c>
      <c r="M35">
        <v>6321.0599999999995</v>
      </c>
    </row>
  </sheetData>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499"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00"/>
      <c r="D1" s="3500"/>
      <c r="E1" s="3500"/>
      <c r="F1" s="3500"/>
      <c r="G1" s="3500"/>
      <c r="H1" s="3500"/>
      <c r="I1" s="3501"/>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43006</v>
      </c>
      <c r="C3" s="1947" t="s">
        <v>2359</v>
      </c>
      <c r="D3" s="3276">
        <v>43006</v>
      </c>
      <c r="E3" s="2020"/>
      <c r="F3" s="2020"/>
      <c r="G3" s="2020"/>
      <c r="H3" s="2020"/>
      <c r="I3" s="2020"/>
      <c r="J3" s="2020"/>
      <c r="K3" s="2126"/>
      <c r="L3" s="2021"/>
      <c r="M3" s="2021"/>
      <c r="N3" s="1201"/>
      <c r="O3" s="11"/>
      <c r="P3" s="1201"/>
      <c r="Q3" s="1201"/>
      <c r="R3" s="1201"/>
      <c r="S3" s="1200"/>
    </row>
    <row r="4" spans="1:19" ht="18" customHeight="1" thickBot="1">
      <c r="A4" s="1948" t="s">
        <v>2360</v>
      </c>
      <c r="B4" s="1949" t="s">
        <v>3375</v>
      </c>
      <c r="C4" s="1950">
        <f ca="1">SUMIF(注册房地产估价师,B4,估价师及机构信息!B3:B24)</f>
        <v>1120050019</v>
      </c>
      <c r="D4" s="1949" t="s">
        <v>3374</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3430</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3275</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02" t="s">
        <v>2369</v>
      </c>
      <c r="E8" s="2060" t="s">
        <v>3280</v>
      </c>
      <c r="F8" s="2061"/>
      <c r="G8" s="2020"/>
      <c r="H8" s="2020"/>
      <c r="I8" s="2020"/>
      <c r="J8" s="2025"/>
      <c r="K8" s="2127"/>
      <c r="L8" s="2021"/>
      <c r="M8" s="2021"/>
      <c r="N8" s="1201"/>
      <c r="O8" s="11"/>
      <c r="P8" s="1201"/>
      <c r="Q8" s="1201"/>
      <c r="R8" s="1201"/>
    </row>
    <row r="9" spans="1:19" ht="18" customHeight="1" thickBot="1">
      <c r="A9" s="1979" t="s">
        <v>2307</v>
      </c>
      <c r="B9" s="1980" t="s">
        <v>2493</v>
      </c>
      <c r="C9" s="2029"/>
      <c r="D9" s="3503"/>
      <c r="E9" s="1980" t="s">
        <v>3276</v>
      </c>
      <c r="F9" s="2929"/>
      <c r="G9" s="2024"/>
      <c r="H9" s="2024"/>
      <c r="I9" s="2024"/>
      <c r="J9" s="2025"/>
      <c r="K9" s="2128"/>
      <c r="L9" s="2021"/>
      <c r="M9" s="2021"/>
      <c r="N9" s="1201"/>
      <c r="O9" s="11"/>
      <c r="P9" s="1201"/>
      <c r="Q9" s="1201"/>
      <c r="R9" s="1201"/>
    </row>
    <row r="10" spans="1:19" ht="18" customHeight="1" thickTop="1">
      <c r="A10" s="2034" t="s">
        <v>2426</v>
      </c>
      <c r="B10" s="2080" t="s">
        <v>3440</v>
      </c>
      <c r="C10" s="2062" t="s">
        <v>3441</v>
      </c>
      <c r="D10" s="2026"/>
      <c r="E10" s="1964" t="s">
        <v>2308</v>
      </c>
      <c r="F10" s="1977" t="s">
        <v>3431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3110</v>
      </c>
      <c r="F12" s="2049" t="s">
        <v>3111</v>
      </c>
      <c r="G12" s="2049" t="s">
        <v>3112</v>
      </c>
      <c r="H12" s="2049" t="s">
        <v>3113</v>
      </c>
      <c r="I12" s="2049" t="s">
        <v>3114</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68.739999999999995</v>
      </c>
      <c r="E15" s="2076">
        <f>IF(B12="出让",IF(E13="","",ROUNDDOWN(MIN((E13-$D$3)/365,E14),2)),E14)</f>
        <v>38.72</v>
      </c>
      <c r="F15" s="2076">
        <f>IF(B12="出让",IF(F13="","",ROUNDDOWN(MIN((F13-$D$3)/365,F14),2)),F14)</f>
        <v>48.73</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09" t="s">
        <v>3591</v>
      </c>
      <c r="C16" s="3510"/>
      <c r="D16" s="3511"/>
      <c r="E16" s="1981" t="s">
        <v>2381</v>
      </c>
      <c r="F16" s="3512"/>
      <c r="G16" s="3513"/>
      <c r="H16" s="3513"/>
      <c r="I16" s="3514"/>
      <c r="J16" s="1201"/>
      <c r="K16" s="2130"/>
      <c r="L16" s="1235"/>
      <c r="M16" s="1235"/>
      <c r="N16" s="2045"/>
      <c r="O16" s="1235"/>
      <c r="P16" s="2045"/>
      <c r="Q16" s="1201"/>
      <c r="R16" s="1201"/>
    </row>
    <row r="17" spans="1:22" ht="18" customHeight="1">
      <c r="A17" s="2032" t="s">
        <v>2309</v>
      </c>
      <c r="B17" s="1965" t="s">
        <v>2310</v>
      </c>
      <c r="C17" s="2111">
        <f>'数据-汇总表'!E3</f>
        <v>144934.76999999999</v>
      </c>
      <c r="D17" s="1966" t="s">
        <v>2311</v>
      </c>
      <c r="E17" s="3515" t="s">
        <v>2368</v>
      </c>
      <c r="F17" s="3516"/>
      <c r="G17" s="3516"/>
      <c r="H17" s="3516"/>
      <c r="I17" s="3517"/>
      <c r="J17" s="1201"/>
      <c r="K17" s="2733"/>
      <c r="L17" s="1235"/>
      <c r="M17" s="1235"/>
      <c r="N17" s="2045"/>
      <c r="O17" s="1235"/>
      <c r="P17" s="2045"/>
      <c r="Q17" s="1201"/>
      <c r="R17" s="1201"/>
      <c r="S17" s="1201"/>
      <c r="T17" s="1201"/>
      <c r="U17" s="1201"/>
      <c r="V17" s="1201"/>
    </row>
    <row r="18" spans="1:22" ht="36" customHeight="1" thickBot="1">
      <c r="A18" s="2935" t="s">
        <v>3106</v>
      </c>
      <c r="B18" s="1948" t="s">
        <v>2312</v>
      </c>
      <c r="C18" s="2936">
        <f>'数据-汇总表'!D3</f>
        <v>24804.11</v>
      </c>
      <c r="D18" s="2937" t="s">
        <v>2311</v>
      </c>
      <c r="E18" s="3518" t="s">
        <v>2367</v>
      </c>
      <c r="F18" s="3519"/>
      <c r="G18" s="3519"/>
      <c r="H18" s="3519"/>
      <c r="I18" s="3520"/>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05" t="s">
        <v>2411</v>
      </c>
      <c r="C20" s="3506"/>
      <c r="D20" s="3507" t="s">
        <v>2412</v>
      </c>
      <c r="E20" s="3508"/>
      <c r="F20" s="2093" t="s">
        <v>2413</v>
      </c>
      <c r="G20" s="2025"/>
      <c r="H20" s="2025"/>
      <c r="I20" s="2025"/>
      <c r="J20" s="2025"/>
      <c r="K20" s="3504"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04"/>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04"/>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22"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22"/>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22"/>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23"/>
      <c r="B30" s="1965" t="s">
        <v>2432</v>
      </c>
      <c r="C30" s="3524"/>
      <c r="D30" s="3525"/>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26"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27"/>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27"/>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21" t="s">
        <v>2470</v>
      </c>
      <c r="T34" s="2038" t="str">
        <f>NUMBERSTRING(7-K34,1)&amp;"通"</f>
        <v>五通</v>
      </c>
      <c r="U34" s="1201"/>
      <c r="V34" s="1201"/>
    </row>
    <row r="35" spans="1:22" ht="18" customHeight="1">
      <c r="A35" s="2039"/>
      <c r="B35" s="3528" t="s">
        <v>2225</v>
      </c>
      <c r="C35" s="3528"/>
      <c r="D35" s="3528"/>
      <c r="E35" s="3528"/>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21"/>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2904</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73632.850000000006</v>
      </c>
      <c r="J5" s="311">
        <f t="shared" si="0"/>
        <v>0</v>
      </c>
      <c r="K5" s="311">
        <f t="shared" si="0"/>
        <v>131553.93</v>
      </c>
      <c r="L5" s="311">
        <f t="shared" si="0"/>
        <v>0</v>
      </c>
      <c r="M5" s="311">
        <f t="shared" si="0"/>
        <v>73014.679999999993</v>
      </c>
      <c r="N5" s="311">
        <f t="shared" si="0"/>
        <v>0</v>
      </c>
      <c r="O5" s="311">
        <f t="shared" si="0"/>
        <v>183009.82</v>
      </c>
      <c r="P5" s="311">
        <f t="shared" si="0"/>
        <v>0</v>
      </c>
      <c r="Q5" s="311">
        <f t="shared" si="0"/>
        <v>44886.340000000004</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144934.76999999999</v>
      </c>
      <c r="BA5" s="313">
        <f t="shared" si="1"/>
        <v>144934.76999999999</v>
      </c>
      <c r="BB5" s="313">
        <f t="shared" si="1"/>
        <v>65599.03</v>
      </c>
      <c r="BC5" s="313">
        <f t="shared" si="1"/>
        <v>6321.0599999999995</v>
      </c>
      <c r="BD5" s="313">
        <f t="shared" si="1"/>
        <v>73014.679999999993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12601.51</v>
      </c>
      <c r="J6" s="311">
        <f t="shared" si="2"/>
        <v>0</v>
      </c>
      <c r="K6" s="311">
        <f t="shared" si="2"/>
        <v>22514.11</v>
      </c>
      <c r="L6" s="311">
        <f t="shared" si="2"/>
        <v>0</v>
      </c>
      <c r="M6" s="311">
        <f t="shared" si="2"/>
        <v>12495.72</v>
      </c>
      <c r="N6" s="311">
        <f t="shared" si="2"/>
        <v>0</v>
      </c>
      <c r="O6" s="311">
        <f t="shared" si="2"/>
        <v>31320.27</v>
      </c>
      <c r="P6" s="311">
        <f t="shared" si="2"/>
        <v>0</v>
      </c>
      <c r="Q6" s="311">
        <f t="shared" si="2"/>
        <v>7681.84</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24804.11</v>
      </c>
      <c r="AZ6" s="311" t="s">
        <v>29</v>
      </c>
      <c r="BA6" s="311">
        <f>ROUND($AY$6*BA5/$AZ$5,2)</f>
        <v>24804.11</v>
      </c>
      <c r="BB6" s="311">
        <f>ROUND($AY$6*BB5/$AZ$5,2)</f>
        <v>11226.61</v>
      </c>
      <c r="BC6" s="311">
        <f t="shared" ref="BC6:BH6" si="4">ROUND($AY$6*BC5/$AZ$5,2)</f>
        <v>1081.79</v>
      </c>
      <c r="BD6" s="311">
        <f t="shared" si="4"/>
        <v>12495.72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3434</v>
      </c>
      <c r="J11" s="259"/>
      <c r="K11" s="258" t="s">
        <v>3376</v>
      </c>
      <c r="L11" s="259"/>
      <c r="M11" s="258" t="s">
        <v>3448</v>
      </c>
      <c r="N11" s="259"/>
      <c r="O11" s="258" t="s">
        <v>346</v>
      </c>
      <c r="P11" s="259"/>
      <c r="Q11" s="258" t="s">
        <v>3580</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3432</v>
      </c>
      <c r="D13" s="217" t="s">
        <v>39</v>
      </c>
      <c r="E13" s="311">
        <f>IF($C$3="是",ROUND($A$3*G13/$B$3,2),ROUND($A$3*(G13-AT13)/$B$3,2))</f>
        <v>11226.61</v>
      </c>
      <c r="F13" s="327"/>
      <c r="G13" s="328">
        <f>H13+AC13+AT13</f>
        <v>65599.03</v>
      </c>
      <c r="H13" s="315">
        <f>SUMIF(I$12:AB$12,"总值",I13:AB13)</f>
        <v>65599.03</v>
      </c>
      <c r="I13" s="1422">
        <f>面积表!P76</f>
        <v>65599.03</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11226.61</v>
      </c>
      <c r="AZ13" s="311">
        <f>BA13+BL13</f>
        <v>65599.03</v>
      </c>
      <c r="BA13" s="311">
        <f>SUM(BB13:BK13)</f>
        <v>65599.03</v>
      </c>
      <c r="BB13" s="311">
        <f>IF($D13="是",I13-J13,0)</f>
        <v>65599.03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3447</v>
      </c>
      <c r="D14" s="217" t="s">
        <v>39</v>
      </c>
      <c r="E14" s="311">
        <f>IF($C$3="是",ROUND($A$3*G14/$B$3,2),ROUND($A$3*(G14-AT14)/$B$3,2))</f>
        <v>12495.72</v>
      </c>
      <c r="F14" s="327"/>
      <c r="G14" s="328">
        <f>H14+AC14+AT14</f>
        <v>73014.679999999993</v>
      </c>
      <c r="H14" s="315">
        <f>SUMIF(I$12:AB$12,"总值",I14:AB14)</f>
        <v>73014.679999999993</v>
      </c>
      <c r="I14" s="1422"/>
      <c r="J14" s="1422"/>
      <c r="K14" s="3323"/>
      <c r="L14" s="1422"/>
      <c r="M14" s="1422">
        <f>面积表!P78</f>
        <v>73014.679999999993</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12495.72</v>
      </c>
      <c r="AZ14" s="311">
        <f>BA14+BL14</f>
        <v>73014.679999999993</v>
      </c>
      <c r="BA14" s="311">
        <f>SUM(BB14:BK14)</f>
        <v>73014.679999999993</v>
      </c>
      <c r="BB14" s="311">
        <f>IF($D14="是",I14-J14,0)</f>
        <v>0</v>
      </c>
      <c r="BC14" s="311">
        <f>IF($D14="是",K14-L14,0)</f>
        <v>0</v>
      </c>
      <c r="BD14" s="311">
        <f>IF($D14="是",M14-N14,0)</f>
        <v>73014.679999999993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3451</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3578</v>
      </c>
      <c r="D16" s="217" t="s">
        <v>44</v>
      </c>
      <c r="E16" s="311">
        <f>IF($C$3="是",ROUND($A$3*G16/$B$3,2),ROUND($A$3*(G16-AT16)/$B$3,2))</f>
        <v>31320.27</v>
      </c>
      <c r="F16" s="327"/>
      <c r="G16" s="328">
        <f>H16+AC16+AT16</f>
        <v>183009.82</v>
      </c>
      <c r="H16" s="315">
        <f>SUMIF(I$12:AB$12,"总值",I16:AB16)</f>
        <v>183009.82</v>
      </c>
      <c r="I16" s="1422"/>
      <c r="J16" s="1422"/>
      <c r="K16" s="1422"/>
      <c r="L16" s="1422"/>
      <c r="M16" s="1422"/>
      <c r="N16" s="1422"/>
      <c r="O16" s="1422">
        <f>面积表!P77</f>
        <v>183009.82</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3579</v>
      </c>
      <c r="D17" s="217" t="s">
        <v>44</v>
      </c>
      <c r="E17" s="311">
        <f>IF($C$3="是",ROUND($A$3*G17/$B$3,2),ROUND($A$3*(G17-AT17)/$B$3,2))</f>
        <v>7681.84</v>
      </c>
      <c r="F17" s="327"/>
      <c r="G17" s="328">
        <f>H17+AC17+AT17</f>
        <v>44886.340000000004</v>
      </c>
      <c r="H17" s="315">
        <f>SUMIF(I$12:AB$12,"总值",I17:AB17)</f>
        <v>44886.340000000004</v>
      </c>
      <c r="I17" s="1422"/>
      <c r="J17" s="1422"/>
      <c r="K17" s="1422"/>
      <c r="L17" s="1422"/>
      <c r="M17" s="1422"/>
      <c r="N17" s="1422"/>
      <c r="O17" s="1422"/>
      <c r="P17" s="1422"/>
      <c r="Q17" s="1422">
        <f>面积表!P79</f>
        <v>44886.340000000004</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3433</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3583</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3449</v>
      </c>
      <c r="D20" s="2241" t="s">
        <v>39</v>
      </c>
      <c r="E20" s="330">
        <f t="shared" si="7"/>
        <v>1081.79</v>
      </c>
      <c r="F20" s="331"/>
      <c r="G20" s="332">
        <f t="shared" si="8"/>
        <v>6321.0599999999995</v>
      </c>
      <c r="H20" s="333">
        <f t="shared" si="9"/>
        <v>6321.0599999999995</v>
      </c>
      <c r="I20" s="334"/>
      <c r="J20" s="334"/>
      <c r="K20" s="334">
        <f>面积表!P80</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6" t="s">
        <v>2</v>
      </c>
      <c r="B1" s="3466" t="s">
        <v>37</v>
      </c>
      <c r="C1" s="3466" t="s">
        <v>38</v>
      </c>
      <c r="D1" s="3529" t="s">
        <v>364</v>
      </c>
      <c r="E1" s="3529" t="s">
        <v>365</v>
      </c>
      <c r="F1" s="3529"/>
      <c r="G1" s="3529"/>
      <c r="H1" s="3529"/>
      <c r="I1" s="3529"/>
      <c r="J1" s="3529"/>
      <c r="K1" s="3529"/>
      <c r="L1" s="3529"/>
      <c r="M1" s="3529"/>
    </row>
    <row r="2" spans="1:13" ht="27" customHeight="1">
      <c r="A2" s="3466"/>
      <c r="B2" s="3466"/>
      <c r="C2" s="3466"/>
      <c r="D2" s="3529"/>
      <c r="E2" s="3529" t="s">
        <v>348</v>
      </c>
      <c r="F2" s="3529" t="s">
        <v>349</v>
      </c>
      <c r="G2" s="3529"/>
      <c r="H2" s="3529"/>
      <c r="I2" s="3529"/>
      <c r="J2" s="3529" t="s">
        <v>350</v>
      </c>
      <c r="K2" s="3529"/>
      <c r="L2" s="3529"/>
      <c r="M2" s="3529"/>
    </row>
    <row r="3" spans="1:13" ht="28.5">
      <c r="A3" s="3466"/>
      <c r="B3" s="3466"/>
      <c r="C3" s="3466"/>
      <c r="D3" s="3529"/>
      <c r="E3" s="3529"/>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9" t="s">
        <v>366</v>
      </c>
      <c r="B9" s="3529"/>
      <c r="C9" s="35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tabSelected="1" view="pageBreakPreview" zoomScale="90" zoomScaleNormal="100" zoomScaleSheetLayoutView="90" workbookViewId="0">
      <selection activeCell="E24" sqref="E24"/>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39" t="s">
        <v>869</v>
      </c>
      <c r="B2" s="3539"/>
      <c r="C2" s="3539"/>
      <c r="D2" s="2234" t="s">
        <v>870</v>
      </c>
      <c r="E2" s="19" t="s">
        <v>871</v>
      </c>
      <c r="F2" s="2253"/>
      <c r="G2" s="1184"/>
      <c r="H2" s="1185"/>
      <c r="I2" s="2242" t="s">
        <v>872</v>
      </c>
      <c r="J2" s="2253"/>
      <c r="K2" s="2253"/>
      <c r="L2" s="2253"/>
      <c r="M2" s="2253"/>
      <c r="N2" s="2262"/>
      <c r="O2" s="2253"/>
      <c r="P2" s="2253"/>
    </row>
    <row r="3" spans="1:16" ht="15.75" thickBot="1">
      <c r="A3" s="3540" t="s">
        <v>873</v>
      </c>
      <c r="B3" s="3540"/>
      <c r="C3" s="3540"/>
      <c r="D3" s="341">
        <f>'数据-基础表'!AY6</f>
        <v>24804.11</v>
      </c>
      <c r="E3" s="341">
        <f>'数据-基础表'!AZ5</f>
        <v>144934.76999999999</v>
      </c>
      <c r="F3" s="2253"/>
      <c r="G3" s="446"/>
      <c r="H3" s="444" t="s">
        <v>874</v>
      </c>
      <c r="I3" s="350">
        <f>ROUND('数据-基础表'!B3/'数据-基础表'!A3,2)</f>
        <v>5.84</v>
      </c>
      <c r="J3" s="2253"/>
      <c r="K3" s="2253"/>
      <c r="L3" s="2253"/>
      <c r="M3" s="2253"/>
      <c r="N3" s="2262"/>
      <c r="O3" s="2253"/>
      <c r="P3" s="2253"/>
    </row>
    <row r="4" spans="1:16" ht="14.25">
      <c r="A4" s="3541"/>
      <c r="B4" s="3542"/>
      <c r="C4" s="3543"/>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44" t="s">
        <v>877</v>
      </c>
      <c r="C5" s="3544"/>
      <c r="D5" s="343">
        <f>ROUND($D$3*E5/$E$3,2)</f>
        <v>11226.61</v>
      </c>
      <c r="E5" s="344">
        <f>SUMIF('数据-基础表'!$11:$11,"住宅",'数据-基础表'!$5:$5)</f>
        <v>65599.03</v>
      </c>
      <c r="F5" s="2253"/>
      <c r="G5" s="446"/>
      <c r="H5" s="444" t="s">
        <v>874</v>
      </c>
      <c r="I5" s="350">
        <f>ROUND(E31/D31,2)</f>
        <v>5.84</v>
      </c>
      <c r="J5" s="2253"/>
      <c r="K5" s="2253"/>
      <c r="L5" s="2253"/>
      <c r="M5" s="2253"/>
      <c r="N5" s="2253"/>
      <c r="O5" s="2253"/>
      <c r="P5" s="2253"/>
    </row>
    <row r="6" spans="1:16" ht="15" thickBot="1">
      <c r="A6" s="24"/>
      <c r="B6" s="3544" t="s">
        <v>878</v>
      </c>
      <c r="C6" s="3544"/>
      <c r="D6" s="343">
        <f>ROUND($D$3*E6/$E$3,2)</f>
        <v>13577.5</v>
      </c>
      <c r="E6" s="344">
        <f>E3-E5</f>
        <v>79335.739999999991</v>
      </c>
      <c r="F6" s="2253"/>
      <c r="G6" s="1783" t="s">
        <v>2139</v>
      </c>
      <c r="H6" s="446" t="s">
        <v>875</v>
      </c>
      <c r="I6" s="1784">
        <f>ROUND(F31/D31,2)</f>
        <v>5.84</v>
      </c>
      <c r="J6" s="2253"/>
      <c r="K6" s="2253"/>
      <c r="L6" s="2253"/>
      <c r="M6" s="2253"/>
      <c r="N6" s="2253"/>
      <c r="O6" s="2253"/>
      <c r="P6" s="2253"/>
    </row>
    <row r="7" spans="1:16" ht="14.25">
      <c r="A7" s="3536"/>
      <c r="B7" s="3537"/>
      <c r="C7" s="3538"/>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24804.11</v>
      </c>
      <c r="E8" s="346">
        <f>SUMIF('数据-基础表'!BB10:BK10,"地上",'数据-基础表'!BB5:BK5)</f>
        <v>144934.76999999999</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24804.11</v>
      </c>
      <c r="E16" s="348">
        <f>SUM(E8:E15)</f>
        <v>144934.76999999999</v>
      </c>
      <c r="F16" s="2253"/>
      <c r="G16" s="2254"/>
      <c r="H16" s="1183" t="s">
        <v>758</v>
      </c>
      <c r="I16" s="1187"/>
      <c r="J16" s="2253"/>
      <c r="K16" s="3533" t="s">
        <v>758</v>
      </c>
      <c r="L16" s="3534"/>
      <c r="M16" s="3534"/>
      <c r="N16" s="3534"/>
      <c r="O16" s="3534"/>
      <c r="P16" s="3535"/>
    </row>
    <row r="17" spans="1:19" ht="14.25">
      <c r="A17" s="29" t="s">
        <v>889</v>
      </c>
      <c r="B17" s="30" t="s">
        <v>890</v>
      </c>
      <c r="C17" s="34" t="s">
        <v>2763</v>
      </c>
      <c r="D17" s="2100" t="s">
        <v>870</v>
      </c>
      <c r="E17" s="2098" t="s">
        <v>871</v>
      </c>
      <c r="F17" s="36"/>
      <c r="G17" s="37"/>
      <c r="H17" s="1188" t="s">
        <v>891</v>
      </c>
      <c r="I17" s="1189" t="s">
        <v>370</v>
      </c>
      <c r="J17" s="2253"/>
      <c r="K17" s="3530" t="s">
        <v>897</v>
      </c>
      <c r="L17" s="3531"/>
      <c r="M17" s="3532"/>
      <c r="N17" s="3530" t="s">
        <v>3092</v>
      </c>
      <c r="O17" s="3531"/>
      <c r="P17" s="3532"/>
      <c r="R17" s="2514" t="s">
        <v>2764</v>
      </c>
      <c r="S17" s="360"/>
    </row>
    <row r="18" spans="1:19">
      <c r="A18" s="27"/>
      <c r="B18" s="31"/>
      <c r="C18" s="35"/>
      <c r="D18" s="2101"/>
      <c r="E18" s="2099" t="s">
        <v>892</v>
      </c>
      <c r="F18" s="15" t="s">
        <v>893</v>
      </c>
      <c r="G18" s="16" t="s">
        <v>894</v>
      </c>
      <c r="H18" s="1190" t="s">
        <v>895</v>
      </c>
      <c r="I18" s="1191" t="s">
        <v>896</v>
      </c>
      <c r="J18" s="2253"/>
      <c r="K18" s="1190" t="s">
        <v>3085</v>
      </c>
      <c r="L18" s="6" t="s">
        <v>3093</v>
      </c>
      <c r="M18" s="2843" t="s">
        <v>3091</v>
      </c>
      <c r="N18" s="1190" t="s">
        <v>3085</v>
      </c>
      <c r="O18" s="6" t="s">
        <v>3093</v>
      </c>
      <c r="P18" s="2843" t="s">
        <v>3091</v>
      </c>
      <c r="R18" s="2515" t="s">
        <v>2765</v>
      </c>
      <c r="S18" s="2515" t="s">
        <v>2766</v>
      </c>
    </row>
    <row r="19" spans="1:19" ht="14.25">
      <c r="A19" s="32"/>
      <c r="B19" s="26" t="s">
        <v>173</v>
      </c>
      <c r="C19" s="1425" t="str">
        <f>'数据-基础表'!C13</f>
        <v>住宅</v>
      </c>
      <c r="D19" s="343">
        <f>ROUND($D$3*E19/$E$3,2)</f>
        <v>11226.61</v>
      </c>
      <c r="E19" s="351">
        <f t="shared" ref="E19:E26" si="1">SUM(F19:G19)</f>
        <v>65599.03</v>
      </c>
      <c r="F19" s="352">
        <f>'数据-基础表'!I13</f>
        <v>65599.03</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11226.61</v>
      </c>
      <c r="S19" s="2517">
        <f t="shared" si="5"/>
        <v>65599.03</v>
      </c>
    </row>
    <row r="20" spans="1:19" ht="14.25">
      <c r="A20" s="33"/>
      <c r="B20" s="26" t="s">
        <v>863</v>
      </c>
      <c r="C20" s="1425" t="str">
        <f>'数据-基础表'!C14</f>
        <v>办公（公寓）</v>
      </c>
      <c r="D20" s="343">
        <f t="shared" ref="D20:D26" si="6">ROUND($D$3*E20/$E$3,2)</f>
        <v>12495.72</v>
      </c>
      <c r="E20" s="351">
        <f t="shared" si="1"/>
        <v>73014.679999999993</v>
      </c>
      <c r="F20" s="352">
        <f>'数据-基础表'!M14</f>
        <v>73014.679999999993</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12495.72</v>
      </c>
      <c r="S20" s="2517">
        <f t="shared" si="5"/>
        <v>73014.679999999993</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24804.120000000003</v>
      </c>
      <c r="E27" s="2848">
        <f>IF(SUM(E19:E26)='数据-基础表'!BA5,SUM(E19:E26),IF(F27="地上面积有误","面积有误","地下面积有误"))</f>
        <v>144934.76999999999</v>
      </c>
      <c r="F27" s="2847">
        <f>IF(SUM(F19:F26)=E8,SUM(F19:F26),"地上面积有误")</f>
        <v>144934.76999999999</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24804.12误差0.01</v>
      </c>
      <c r="S27" s="2516">
        <f>IF(SUM(S19:S26)=$E$3,SUM(S19:S26),SUM(S19:S26)&amp;"误差"&amp;ROUND(SUM(S19:S26)-E3,2))</f>
        <v>144934.76999999999</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24804.120000000003</v>
      </c>
      <c r="E31" s="1193">
        <f>E27+E30</f>
        <v>144934.76999999999</v>
      </c>
      <c r="F31" s="1194">
        <f>F27+F30</f>
        <v>144934.76999999999</v>
      </c>
      <c r="G31" s="1195">
        <f>G27+G30</f>
        <v>0</v>
      </c>
      <c r="H31" s="2253"/>
      <c r="I31" s="2253"/>
      <c r="J31" s="2253"/>
      <c r="K31" s="2253"/>
      <c r="L31" s="2253"/>
      <c r="M31" s="2253"/>
      <c r="N31" s="2253"/>
      <c r="O31" s="2253"/>
      <c r="P31" s="2253"/>
    </row>
    <row r="32" spans="1:19" ht="14.25">
      <c r="A32" s="1186"/>
      <c r="B32" s="1186" t="s">
        <v>3108</v>
      </c>
      <c r="C32" s="1186"/>
      <c r="D32" s="1186"/>
      <c r="E32" s="2554">
        <f>SUMIF(C19:C26,"*住宅*",E19:E26)</f>
        <v>65599.03</v>
      </c>
      <c r="F32" s="1186"/>
      <c r="G32" s="1186"/>
      <c r="H32" s="2253"/>
      <c r="I32" s="2253"/>
      <c r="J32" s="2253"/>
      <c r="K32" s="2253"/>
      <c r="L32" s="2253"/>
      <c r="M32" s="2253"/>
      <c r="N32" s="2253"/>
      <c r="O32" s="2253"/>
      <c r="P32" s="2253"/>
    </row>
    <row r="33" spans="4:5">
      <c r="D33" s="2256"/>
    </row>
    <row r="37" spans="4:5">
      <c r="E37" s="2251">
        <v>183000</v>
      </c>
    </row>
    <row r="38" spans="4:5">
      <c r="E38" s="3380">
        <f>E37+E31</f>
        <v>327934.77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43006</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3377</v>
      </c>
      <c r="O5" s="55" t="s">
        <v>916</v>
      </c>
      <c r="P5" s="57" t="s">
        <v>917</v>
      </c>
      <c r="Q5" s="58" t="s">
        <v>918</v>
      </c>
      <c r="R5" s="278" t="s">
        <v>919</v>
      </c>
      <c r="S5" s="59" t="s">
        <v>3086</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2831</v>
      </c>
      <c r="AO5" s="2037" t="s">
        <v>3077</v>
      </c>
      <c r="AP5" s="2931" t="s">
        <v>3087</v>
      </c>
      <c r="AQ5" s="2932" t="s">
        <v>3200</v>
      </c>
      <c r="AR5" s="2932" t="s">
        <v>3201</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68.739999999999995</v>
      </c>
      <c r="G6" s="369">
        <f>IF(ISERROR(ROUND(POWER(1+H6,D6-F6)*(POWER(1+H6,F6)-1)/(POWER(1+H6,D6)-1),3)),0,ROUND(POWER(1+H6,D6-F6)*(POWER(1+H6,F6)-1)/(POWER(1+H6,D6)-1),3))</f>
        <v>0.997</v>
      </c>
      <c r="H6" s="1501">
        <v>0.04</v>
      </c>
      <c r="I6" s="1501">
        <v>0.05</v>
      </c>
      <c r="J6" s="370">
        <v>8.5000000000000006E-2</v>
      </c>
      <c r="K6" s="2525">
        <f>SUMIF('数据-汇总表'!C$19:C$33,A6,'数据-汇总表'!E$19:E$33)</f>
        <v>65599.03</v>
      </c>
      <c r="L6" s="1502">
        <v>2400</v>
      </c>
      <c r="M6" s="371">
        <f t="shared" ref="M6:M14" si="0">ROUND(K6*L6/10000,0)</f>
        <v>15744</v>
      </c>
      <c r="N6" s="1500">
        <v>0.75</v>
      </c>
      <c r="O6" s="371">
        <f>IF($N$5="成新度","——",ROUND(M6*N6,0))</f>
        <v>11808</v>
      </c>
      <c r="P6" s="372">
        <f>IF($N$5="成新度","——",M6-O6)</f>
        <v>3936</v>
      </c>
      <c r="Q6" s="1503">
        <v>0.15</v>
      </c>
      <c r="R6" s="373">
        <f ca="1">SUMIF('数据-汇总表'!C$19:C$33,A6,'数据-汇总表'!R$19:R$27)</f>
        <v>11226.61</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3484</v>
      </c>
      <c r="AO6" s="350">
        <f ca="1">SUMIF(INDIRECT("'"&amp;AN6&amp;"'"&amp;"!A:A"),"总价",INDIRECT("'"&amp;AN6&amp;"'"&amp;"!B:B"))</f>
        <v>126167</v>
      </c>
      <c r="AP6" s="2933">
        <f>IF(C6="住宅",K6*L6,0)</f>
        <v>157437672</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38.72</v>
      </c>
      <c r="G7" s="369">
        <f t="shared" ref="G7:G11" si="2">IF(ISERROR(ROUND(POWER(1+H7,D7-F7)*(POWER(1+H7,F7)-1)/(POWER(1+H7,D7)-1),3)),0,ROUND(POWER(1+H7,D7-F7)*(POWER(1+H7,F7)-1)/(POWER(1+H7,D7)-1),3))</f>
        <v>0.98799999999999999</v>
      </c>
      <c r="H7" s="1501">
        <v>4.4999999999999998E-2</v>
      </c>
      <c r="I7" s="1501">
        <v>5.5E-2</v>
      </c>
      <c r="J7" s="370">
        <v>8.5000000000000006E-2</v>
      </c>
      <c r="K7" s="2525">
        <f>SUMIF('数据-汇总表'!C$19:C$33,A7,'数据-汇总表'!E$19:E$33)</f>
        <v>73014.679999999993</v>
      </c>
      <c r="L7" s="1502">
        <v>3000</v>
      </c>
      <c r="M7" s="371">
        <f t="shared" si="0"/>
        <v>21904</v>
      </c>
      <c r="N7" s="1500">
        <v>0.75</v>
      </c>
      <c r="O7" s="371">
        <f t="shared" ref="O7:O14" si="3">IF($N$5="成新度","——",ROUND(M7*N7,0))</f>
        <v>16428</v>
      </c>
      <c r="P7" s="372">
        <f t="shared" ref="P7:P14" si="4">IF($N$5="成新度","——",M7-O7)</f>
        <v>5476</v>
      </c>
      <c r="Q7" s="1503">
        <v>0.15</v>
      </c>
      <c r="R7" s="373">
        <f ca="1">SUMIF('数据-汇总表'!C$19:C$33,A7,'数据-汇总表'!R$19:R$27)</f>
        <v>12495.72</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3486</v>
      </c>
      <c r="AO7" s="350">
        <f t="shared" ref="AO7:AO13" ca="1" si="8">SUMIF(INDIRECT("'"&amp;AN7&amp;"'"&amp;"!A:A"),"总价",INDIRECT("'"&amp;AN7&amp;"'"&amp;"!B:B"))</f>
        <v>118780</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38.72</v>
      </c>
      <c r="G10" s="369">
        <f t="shared" si="2"/>
        <v>0.98799999999999999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38.72</v>
      </c>
      <c r="AF10" s="358"/>
      <c r="AG10" s="482">
        <f t="shared" si="7"/>
        <v>0</v>
      </c>
      <c r="AH10" s="379"/>
      <c r="AI10" s="381">
        <v>365</v>
      </c>
      <c r="AJ10" s="382"/>
      <c r="AK10" s="383">
        <v>1.4999999999999999E-2</v>
      </c>
      <c r="AL10" s="384">
        <v>3.0000000000000001E-3</v>
      </c>
      <c r="AM10" s="385">
        <v>0.02</v>
      </c>
      <c r="AN10" s="2608" t="s">
        <v>3456</v>
      </c>
      <c r="AO10" s="350">
        <f t="shared" ca="1" si="8"/>
        <v>28381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7"/>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0.99199999999999999</v>
      </c>
      <c r="H16" s="395">
        <f>ROUND(SUMPRODUCT(H6:H13,K6:K13)/SUMPRODUCT((H6:H13&gt;0)*(K6:K13)),3)</f>
        <v>4.2999999999999997E-2</v>
      </c>
      <c r="I16" s="396"/>
      <c r="J16" s="396"/>
      <c r="K16" s="397">
        <f>SUM(K6:K15)</f>
        <v>144934.76999999999</v>
      </c>
      <c r="L16" s="398">
        <f>ROUND(M16*10000/SUM(K6:K14),0)</f>
        <v>2720</v>
      </c>
      <c r="M16" s="398">
        <f>SUM(M6:M14)</f>
        <v>39418</v>
      </c>
      <c r="N16" s="399">
        <f>ROUND(SUMPRODUCT(M6:M14,N6:N14)/M16,3)</f>
        <v>0.752</v>
      </c>
      <c r="O16" s="398">
        <f>SUM(O6:O14)</f>
        <v>29652</v>
      </c>
      <c r="P16" s="398">
        <f>SUM(P6:P14)</f>
        <v>9766</v>
      </c>
      <c r="Q16" s="400">
        <f>ROUND(SUMPRODUCT(Q6:Q13,K6:K13)/SUMPRODUCT((Q6:Q13&gt;0)*(K6:K13)),2)</f>
        <v>0.16</v>
      </c>
      <c r="R16" s="2529">
        <f ca="1">SUM(R6:R13)</f>
        <v>24804.120000000003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7"/>
      <c r="K17" s="3428"/>
      <c r="L17" s="3428" t="s">
        <v>3592</v>
      </c>
      <c r="M17" s="3429"/>
      <c r="N17" s="3429"/>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3089</v>
      </c>
      <c r="B29" s="3309">
        <f>ROUND(B27*K16/10000,0)</f>
        <v>2464</v>
      </c>
      <c r="C29" s="2557" t="s">
        <v>3090</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2938</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3014</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3437</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3438</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45" t="s">
        <v>986</v>
      </c>
      <c r="B1" s="3546"/>
      <c r="C1" s="3546"/>
      <c r="D1" s="3546"/>
      <c r="E1" s="3546"/>
      <c r="F1" s="3546"/>
      <c r="G1" s="3546"/>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3031</v>
      </c>
      <c r="G5" s="273" t="s">
        <v>3033</v>
      </c>
      <c r="H5" s="2283"/>
      <c r="I5" s="2283"/>
      <c r="J5" s="2283"/>
      <c r="K5" s="2283"/>
      <c r="L5" s="2283"/>
      <c r="M5" s="2283"/>
      <c r="N5" s="2283"/>
      <c r="O5" s="2283"/>
      <c r="P5" s="2283"/>
      <c r="Q5" s="2283"/>
      <c r="R5" s="2283"/>
    </row>
    <row r="6" spans="1:29" ht="54">
      <c r="A6" s="1034"/>
      <c r="B6" s="2236" t="s">
        <v>77</v>
      </c>
      <c r="C6" s="273" t="s">
        <v>967</v>
      </c>
      <c r="D6" s="2284"/>
      <c r="E6" s="1219"/>
      <c r="F6" s="2781" t="s">
        <v>3030</v>
      </c>
      <c r="G6" s="273" t="s">
        <v>3032</v>
      </c>
      <c r="H6" s="2283"/>
      <c r="I6" s="2283"/>
      <c r="J6" s="2283"/>
      <c r="K6" s="2283"/>
      <c r="L6" s="2283"/>
      <c r="M6" s="2283"/>
      <c r="N6" s="2283"/>
      <c r="O6" s="2283"/>
      <c r="P6" s="2283"/>
      <c r="Q6" s="2283"/>
      <c r="R6" s="2283"/>
    </row>
    <row r="7" spans="1:29" ht="41.25" thickBot="1">
      <c r="A7" s="1034"/>
      <c r="B7" s="2236" t="s">
        <v>3031</v>
      </c>
      <c r="C7" s="273" t="s">
        <v>3033</v>
      </c>
      <c r="D7" s="2285"/>
      <c r="E7" s="1220"/>
      <c r="F7" s="1221" t="s">
        <v>968</v>
      </c>
      <c r="G7" s="275" t="s">
        <v>969</v>
      </c>
      <c r="H7" s="2283"/>
      <c r="I7" s="2283"/>
      <c r="J7" s="2283"/>
      <c r="K7" s="2283"/>
      <c r="L7" s="2283"/>
      <c r="M7" s="2283"/>
      <c r="N7" s="2283"/>
      <c r="O7" s="2283"/>
      <c r="P7" s="2283"/>
      <c r="Q7" s="2283"/>
      <c r="R7" s="2283"/>
    </row>
    <row r="8" spans="1:29" ht="27">
      <c r="A8" s="1034"/>
      <c r="B8" s="2781" t="s">
        <v>3030</v>
      </c>
      <c r="C8" s="273" t="s">
        <v>3032</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3031</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3030</v>
      </c>
      <c r="G20" s="1029" t="str">
        <f>G6</f>
        <v>估价对象所在区域基础设施水平</v>
      </c>
    </row>
    <row r="21" spans="1:18" ht="27">
      <c r="A21" s="2797"/>
      <c r="B21" s="2781" t="s">
        <v>3031</v>
      </c>
      <c r="C21" s="1029" t="str">
        <f>C7</f>
        <v>估价对象所在区域公共配套设施齐备情况</v>
      </c>
      <c r="D21" s="2284"/>
      <c r="E21" s="2795"/>
      <c r="F21" s="1232" t="s">
        <v>94</v>
      </c>
      <c r="G21" s="289" t="s">
        <v>94</v>
      </c>
    </row>
    <row r="22" spans="1:18" ht="13.5" customHeight="1">
      <c r="A22" s="2797"/>
      <c r="B22" s="2781" t="s">
        <v>3030</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7" customWidth="1"/>
    <col min="2" max="9" width="15.75" style="3347" customWidth="1"/>
    <col min="10" max="16384" width="9" style="3347"/>
  </cols>
  <sheetData>
    <row r="1" spans="1:10" ht="16.5">
      <c r="A1" s="3344" t="s">
        <v>3489</v>
      </c>
      <c r="B1" s="3344">
        <f>SUM(B14:B23)</f>
        <v>144934.76999999999</v>
      </c>
      <c r="C1" s="3345"/>
      <c r="D1" s="3345"/>
      <c r="E1" s="3345"/>
      <c r="F1" s="3345"/>
      <c r="G1" s="3346"/>
    </row>
    <row r="2" spans="1:10" ht="16.5">
      <c r="A2" s="3344" t="s">
        <v>3490</v>
      </c>
      <c r="B2" s="3344">
        <f>SUM(C14:C23)</f>
        <v>24804.11</v>
      </c>
      <c r="C2" s="3345"/>
      <c r="D2" s="3345"/>
      <c r="E2" s="3345"/>
      <c r="F2" s="3345"/>
      <c r="G2" s="3346"/>
    </row>
    <row r="3" spans="1:10" ht="16.5">
      <c r="A3" s="3344" t="s">
        <v>3491</v>
      </c>
      <c r="B3" s="3348">
        <f>项目基本情况!D3</f>
        <v>43006</v>
      </c>
      <c r="C3" s="3345"/>
      <c r="D3" s="3345"/>
      <c r="E3" s="3345"/>
      <c r="F3" s="3345"/>
      <c r="G3" s="3346"/>
    </row>
    <row r="4" spans="1:10" ht="33">
      <c r="A4" s="3344" t="s">
        <v>3492</v>
      </c>
      <c r="B4" s="3344" t="s">
        <v>3493</v>
      </c>
      <c r="C4" s="3344" t="s">
        <v>3494</v>
      </c>
      <c r="D4" s="3344" t="s">
        <v>3495</v>
      </c>
      <c r="E4" s="3345"/>
      <c r="F4" s="3346"/>
      <c r="G4" s="3346"/>
    </row>
    <row r="5" spans="1:10" ht="16.5">
      <c r="A5" s="3344" t="s">
        <v>3496</v>
      </c>
      <c r="B5" s="3344">
        <f ca="1">SUM(D14:D23)</f>
        <v>236159</v>
      </c>
      <c r="C5" s="3344">
        <f ca="1">ROUND(B5*10000/$B$1,0)</f>
        <v>16294</v>
      </c>
      <c r="D5" s="3344">
        <f ca="1">ROUND(B5*10000/$B$2,0)</f>
        <v>95210</v>
      </c>
      <c r="E5" s="3345"/>
      <c r="F5" s="3346"/>
      <c r="G5" s="3346"/>
    </row>
    <row r="6" spans="1:10" ht="16.5">
      <c r="A6" s="3344" t="s">
        <v>3497</v>
      </c>
      <c r="B6" s="3344">
        <f ca="1">SUM(G14:G23)</f>
        <v>218994</v>
      </c>
      <c r="C6" s="3344">
        <f ca="1">ROUND(B6*10000/$B$1,0)</f>
        <v>15110</v>
      </c>
      <c r="D6" s="3344">
        <f ca="1">ROUND(B6*10000/$B$2,0)</f>
        <v>88289</v>
      </c>
      <c r="E6" s="3345"/>
      <c r="F6" s="3346"/>
      <c r="G6" s="3346"/>
    </row>
    <row r="7" spans="1:10" ht="16.5">
      <c r="A7" s="3344" t="s">
        <v>3498</v>
      </c>
      <c r="B7" s="3344">
        <f ca="1">SUM(H14:H23)</f>
        <v>218994</v>
      </c>
      <c r="C7" s="3344">
        <f ca="1">ROUND(B7*10000/$B$1,0)</f>
        <v>15110</v>
      </c>
      <c r="D7" s="3344">
        <f ca="1">ROUND(B7*10000/$B$2,0)</f>
        <v>88289</v>
      </c>
      <c r="E7" s="3345"/>
      <c r="F7" s="3346"/>
      <c r="G7" s="3346"/>
    </row>
    <row r="8" spans="1:10" ht="16.5">
      <c r="A8" s="3344" t="s">
        <v>3276</v>
      </c>
      <c r="B8" s="3344">
        <f ca="1">SUM(I14:I23)</f>
        <v>203630</v>
      </c>
      <c r="C8" s="3344">
        <f ca="1">ROUND(B8*10000/$B$1,0)</f>
        <v>14050</v>
      </c>
      <c r="D8" s="3344">
        <f ca="1">ROUND(B8*10000/$B$2,0)</f>
        <v>82095</v>
      </c>
      <c r="E8" s="3345"/>
      <c r="F8" s="3346"/>
      <c r="G8" s="3346"/>
    </row>
    <row r="9" spans="1:10" ht="16.5">
      <c r="A9" s="3344" t="s">
        <v>3499</v>
      </c>
      <c r="B9" s="3349"/>
      <c r="C9" s="3345"/>
      <c r="D9" s="3345"/>
      <c r="E9" s="3345"/>
      <c r="F9" s="3346"/>
      <c r="G9" s="3346"/>
    </row>
    <row r="10" spans="1:10" ht="16.5">
      <c r="A10" s="3344" t="s">
        <v>3500</v>
      </c>
      <c r="B10" s="3349"/>
      <c r="C10" s="3345"/>
      <c r="D10" s="3345"/>
      <c r="E10" s="3345"/>
      <c r="F10" s="3346"/>
      <c r="G10" s="3346"/>
    </row>
    <row r="11" spans="1:10" ht="16.5">
      <c r="A11" s="3344" t="s">
        <v>3501</v>
      </c>
      <c r="B11" s="3349"/>
      <c r="C11" s="3345"/>
      <c r="D11" s="3345"/>
      <c r="E11" s="3345"/>
      <c r="F11" s="3346"/>
      <c r="G11" s="3346"/>
    </row>
    <row r="12" spans="1:10" ht="16.5">
      <c r="A12" s="3345"/>
      <c r="B12" s="3345"/>
      <c r="C12" s="3345"/>
      <c r="D12" s="3345"/>
      <c r="E12" s="3345"/>
      <c r="F12" s="3346"/>
      <c r="G12" s="3346"/>
    </row>
    <row r="13" spans="1:10" ht="33">
      <c r="A13" s="3350" t="s">
        <v>3502</v>
      </c>
      <c r="B13" s="3351" t="s">
        <v>3503</v>
      </c>
      <c r="C13" s="3351" t="s">
        <v>3504</v>
      </c>
      <c r="D13" s="3351" t="s">
        <v>3505</v>
      </c>
      <c r="E13" s="3344" t="s">
        <v>3494</v>
      </c>
      <c r="F13" s="3344" t="s">
        <v>3506</v>
      </c>
      <c r="G13" s="3351" t="s">
        <v>3507</v>
      </c>
      <c r="H13" s="3351" t="s">
        <v>3508</v>
      </c>
      <c r="I13" s="3351" t="s">
        <v>3509</v>
      </c>
      <c r="J13" s="3346"/>
    </row>
    <row r="14" spans="1:10" ht="16.5">
      <c r="A14" s="3352" t="s">
        <v>3510</v>
      </c>
      <c r="B14" s="3351">
        <f>'数据-汇总表'!E3</f>
        <v>144934.76999999999</v>
      </c>
      <c r="C14" s="3351">
        <f>'数据-汇总表'!D3</f>
        <v>24804.11</v>
      </c>
      <c r="D14" s="3351">
        <f ca="1">结果表!H118</f>
        <v>236159</v>
      </c>
      <c r="E14" s="3351">
        <f ca="1">ROUND(D14*10000/B14,0)</f>
        <v>16294</v>
      </c>
      <c r="F14" s="3351">
        <f ca="1">ROUND(D14*10000/C14,0)</f>
        <v>95210</v>
      </c>
      <c r="G14" s="3351">
        <f ca="1">结果表!D122</f>
        <v>218994</v>
      </c>
      <c r="H14" s="3351">
        <f ca="1">结果表!D124</f>
        <v>218994</v>
      </c>
      <c r="I14" s="3351">
        <f ca="1">结果表!D126</f>
        <v>203630</v>
      </c>
      <c r="J14" s="3346"/>
    </row>
    <row r="15" spans="1:10" ht="16.5">
      <c r="A15" s="3352" t="s">
        <v>3511</v>
      </c>
      <c r="B15" s="3353"/>
      <c r="C15" s="3353"/>
      <c r="D15" s="3353"/>
      <c r="E15" s="3351" t="e">
        <f t="shared" ref="E15:E23" si="0">ROUND(D15*10000/B15,0)</f>
        <v>#DIV/0!</v>
      </c>
      <c r="F15" s="3351" t="e">
        <f t="shared" ref="F15:F23" si="1">ROUND(D15*10000/C15,0)</f>
        <v>#DIV/0!</v>
      </c>
      <c r="G15" s="3354"/>
      <c r="H15" s="3354"/>
      <c r="I15" s="3353"/>
      <c r="J15" s="3346"/>
    </row>
    <row r="16" spans="1:10" ht="16.5">
      <c r="A16" s="3352" t="s">
        <v>3512</v>
      </c>
      <c r="B16" s="3353"/>
      <c r="C16" s="3353"/>
      <c r="D16" s="3353"/>
      <c r="E16" s="3351" t="e">
        <f t="shared" si="0"/>
        <v>#DIV/0!</v>
      </c>
      <c r="F16" s="3351" t="e">
        <f t="shared" si="1"/>
        <v>#DIV/0!</v>
      </c>
      <c r="G16" s="3354"/>
      <c r="H16" s="3354"/>
      <c r="I16" s="3353"/>
    </row>
    <row r="17" spans="1:9" ht="16.5">
      <c r="A17" s="3352" t="s">
        <v>3513</v>
      </c>
      <c r="B17" s="3353"/>
      <c r="C17" s="3353"/>
      <c r="D17" s="3353"/>
      <c r="E17" s="3351" t="e">
        <f t="shared" si="0"/>
        <v>#DIV/0!</v>
      </c>
      <c r="F17" s="3351" t="e">
        <f t="shared" si="1"/>
        <v>#DIV/0!</v>
      </c>
      <c r="G17" s="3354"/>
      <c r="H17" s="3354"/>
      <c r="I17" s="3353"/>
    </row>
    <row r="18" spans="1:9" ht="16.5">
      <c r="A18" s="3352" t="s">
        <v>3514</v>
      </c>
      <c r="B18" s="3353"/>
      <c r="C18" s="3353"/>
      <c r="D18" s="3353"/>
      <c r="E18" s="3351" t="e">
        <f t="shared" si="0"/>
        <v>#DIV/0!</v>
      </c>
      <c r="F18" s="3351" t="e">
        <f t="shared" si="1"/>
        <v>#DIV/0!</v>
      </c>
      <c r="G18" s="3353"/>
      <c r="H18" s="3353"/>
      <c r="I18" s="3353"/>
    </row>
    <row r="19" spans="1:9" ht="16.5">
      <c r="A19" s="3352" t="s">
        <v>3515</v>
      </c>
      <c r="B19" s="3353"/>
      <c r="C19" s="3353"/>
      <c r="D19" s="3353"/>
      <c r="E19" s="3351" t="e">
        <f t="shared" si="0"/>
        <v>#DIV/0!</v>
      </c>
      <c r="F19" s="3351" t="e">
        <f t="shared" si="1"/>
        <v>#DIV/0!</v>
      </c>
      <c r="G19" s="3353"/>
      <c r="H19" s="3353"/>
      <c r="I19" s="3353"/>
    </row>
    <row r="20" spans="1:9" ht="16.5">
      <c r="A20" s="3352" t="s">
        <v>3516</v>
      </c>
      <c r="B20" s="3353"/>
      <c r="C20" s="3353"/>
      <c r="D20" s="3353"/>
      <c r="E20" s="3351" t="e">
        <f t="shared" si="0"/>
        <v>#DIV/0!</v>
      </c>
      <c r="F20" s="3351" t="e">
        <f t="shared" si="1"/>
        <v>#DIV/0!</v>
      </c>
      <c r="G20" s="3353"/>
      <c r="H20" s="3353"/>
      <c r="I20" s="3353"/>
    </row>
    <row r="21" spans="1:9" ht="16.5">
      <c r="A21" s="3352" t="s">
        <v>3517</v>
      </c>
      <c r="B21" s="3353"/>
      <c r="C21" s="3353"/>
      <c r="D21" s="3353"/>
      <c r="E21" s="3351" t="e">
        <f t="shared" si="0"/>
        <v>#DIV/0!</v>
      </c>
      <c r="F21" s="3351" t="e">
        <f t="shared" si="1"/>
        <v>#DIV/0!</v>
      </c>
      <c r="G21" s="3353"/>
      <c r="H21" s="3353"/>
      <c r="I21" s="3353"/>
    </row>
    <row r="22" spans="1:9" ht="16.5">
      <c r="A22" s="3352" t="s">
        <v>3518</v>
      </c>
      <c r="B22" s="3353"/>
      <c r="C22" s="3353"/>
      <c r="D22" s="3353"/>
      <c r="E22" s="3351" t="e">
        <f t="shared" si="0"/>
        <v>#DIV/0!</v>
      </c>
      <c r="F22" s="3351" t="e">
        <f t="shared" si="1"/>
        <v>#DIV/0!</v>
      </c>
      <c r="G22" s="3353"/>
      <c r="H22" s="3353"/>
      <c r="I22" s="3353"/>
    </row>
    <row r="23" spans="1:9" ht="16.5">
      <c r="A23" s="3352" t="s">
        <v>3519</v>
      </c>
      <c r="B23" s="3353"/>
      <c r="C23" s="3353"/>
      <c r="D23" s="3353"/>
      <c r="E23" s="3344" t="e">
        <f t="shared" si="0"/>
        <v>#DIV/0!</v>
      </c>
      <c r="F23" s="3344" t="e">
        <f t="shared" si="1"/>
        <v>#DIV/0!</v>
      </c>
      <c r="G23" s="3353"/>
      <c r="H23" s="3353"/>
      <c r="I23" s="3353"/>
    </row>
  </sheetData>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53" t="str">
        <f>项目基本情况!B1</f>
        <v>河南省郑州市金水区红旗路北、经七路东出让国有建设用地使用权及在建建筑物房地产市场价值预评估</v>
      </c>
      <c r="C37" s="3453"/>
      <c r="D37" s="3453"/>
      <c r="E37" s="3453"/>
      <c r="F37" s="3453"/>
      <c r="G37" s="3453"/>
      <c r="H37" s="3453"/>
      <c r="I37" s="3453"/>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85" zoomScaleNormal="100" zoomScaleSheetLayoutView="85" zoomScalePageLayoutView="80" workbookViewId="0">
      <selection activeCell="I141" sqref="A1:I141"/>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617" t="str">
        <f>项目基本情况!S2</f>
        <v>河南省郑州市金水区红旗路北、经七路东出让国有建设用地使用权及在建建筑物房地产</v>
      </c>
      <c r="B2" s="3618"/>
      <c r="C2" s="3618"/>
      <c r="D2" s="3618"/>
      <c r="E2" s="3618"/>
      <c r="F2" s="3618"/>
      <c r="G2" s="3618"/>
      <c r="H2" s="3618"/>
      <c r="I2" s="3619"/>
    </row>
    <row r="3" spans="1:12" ht="12">
      <c r="A3" s="3621" t="s">
        <v>10</v>
      </c>
      <c r="B3" s="3622"/>
      <c r="C3" s="3622"/>
      <c r="D3" s="3622"/>
      <c r="E3" s="3622"/>
      <c r="F3" s="3622"/>
      <c r="G3" s="3622"/>
      <c r="H3" s="3622"/>
      <c r="I3" s="3622"/>
    </row>
    <row r="4" spans="1:12" ht="13.5">
      <c r="A4" s="433" t="s">
        <v>11</v>
      </c>
      <c r="B4" s="434" t="s">
        <v>12</v>
      </c>
      <c r="C4" s="435" t="s">
        <v>2788</v>
      </c>
      <c r="D4" s="435" t="s">
        <v>3381</v>
      </c>
      <c r="E4" s="3626" t="s">
        <v>999</v>
      </c>
      <c r="F4" s="3627"/>
      <c r="G4" s="3627"/>
      <c r="H4" s="3627"/>
      <c r="I4" s="3628"/>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601" t="s">
        <v>13</v>
      </c>
      <c r="B5" s="3620">
        <v>25</v>
      </c>
      <c r="C5" s="3623">
        <v>24</v>
      </c>
      <c r="D5" s="3616">
        <v>24</v>
      </c>
      <c r="E5" s="475" t="s">
        <v>1043</v>
      </c>
      <c r="F5" s="436"/>
      <c r="G5" s="436"/>
      <c r="H5" s="436"/>
      <c r="I5" s="437"/>
    </row>
    <row r="6" spans="1:12" ht="12.75">
      <c r="A6" s="3601"/>
      <c r="B6" s="3620"/>
      <c r="C6" s="3625"/>
      <c r="D6" s="3616"/>
      <c r="E6" s="475" t="s">
        <v>1044</v>
      </c>
      <c r="F6" s="436"/>
      <c r="G6" s="436"/>
      <c r="H6" s="436"/>
      <c r="I6" s="437"/>
    </row>
    <row r="7" spans="1:12" ht="12.75">
      <c r="A7" s="3601"/>
      <c r="B7" s="3620"/>
      <c r="C7" s="3624"/>
      <c r="D7" s="3616"/>
      <c r="E7" s="475" t="s">
        <v>1045</v>
      </c>
      <c r="F7" s="436"/>
      <c r="G7" s="436"/>
      <c r="H7" s="436"/>
      <c r="I7" s="437"/>
    </row>
    <row r="8" spans="1:12" ht="12.75">
      <c r="A8" s="3601" t="s">
        <v>14</v>
      </c>
      <c r="B8" s="3620">
        <v>15</v>
      </c>
      <c r="C8" s="3623">
        <v>14</v>
      </c>
      <c r="D8" s="3616">
        <v>14</v>
      </c>
      <c r="E8" s="475" t="s">
        <v>1046</v>
      </c>
      <c r="F8" s="436"/>
      <c r="G8" s="436"/>
      <c r="H8" s="436"/>
      <c r="I8" s="437"/>
    </row>
    <row r="9" spans="1:12" ht="12.75">
      <c r="A9" s="3601"/>
      <c r="B9" s="3620"/>
      <c r="C9" s="3624"/>
      <c r="D9" s="3616"/>
      <c r="E9" s="475" t="s">
        <v>1047</v>
      </c>
      <c r="F9" s="436"/>
      <c r="G9" s="436"/>
      <c r="H9" s="436"/>
      <c r="I9" s="437"/>
    </row>
    <row r="10" spans="1:12" ht="12.75">
      <c r="A10" s="3601" t="s">
        <v>15</v>
      </c>
      <c r="B10" s="3620">
        <v>15</v>
      </c>
      <c r="C10" s="3623">
        <v>14</v>
      </c>
      <c r="D10" s="3616">
        <v>14</v>
      </c>
      <c r="E10" s="475" t="s">
        <v>1048</v>
      </c>
      <c r="F10" s="436"/>
      <c r="G10" s="436"/>
      <c r="H10" s="436"/>
      <c r="I10" s="437"/>
    </row>
    <row r="11" spans="1:12" ht="12.75">
      <c r="A11" s="3601"/>
      <c r="B11" s="3620"/>
      <c r="C11" s="3624"/>
      <c r="D11" s="3616"/>
      <c r="E11" s="475" t="s">
        <v>1049</v>
      </c>
      <c r="F11" s="436"/>
      <c r="G11" s="436"/>
      <c r="H11" s="436"/>
      <c r="I11" s="437"/>
    </row>
    <row r="12" spans="1:12" ht="12.75">
      <c r="A12" s="3601" t="s">
        <v>16</v>
      </c>
      <c r="B12" s="3620">
        <v>15</v>
      </c>
      <c r="C12" s="3623">
        <v>14</v>
      </c>
      <c r="D12" s="3616">
        <v>14</v>
      </c>
      <c r="E12" s="475" t="s">
        <v>1050</v>
      </c>
      <c r="F12" s="436"/>
      <c r="G12" s="436"/>
      <c r="H12" s="436"/>
      <c r="I12" s="437"/>
    </row>
    <row r="13" spans="1:12" ht="12.75">
      <c r="A13" s="3601"/>
      <c r="B13" s="3620"/>
      <c r="C13" s="3624"/>
      <c r="D13" s="3616"/>
      <c r="E13" s="475" t="s">
        <v>1051</v>
      </c>
      <c r="F13" s="436"/>
      <c r="G13" s="436"/>
      <c r="H13" s="436"/>
      <c r="I13" s="437"/>
    </row>
    <row r="14" spans="1:12" ht="12.75">
      <c r="A14" s="3601" t="s">
        <v>17</v>
      </c>
      <c r="B14" s="3620">
        <v>30</v>
      </c>
      <c r="C14" s="3623">
        <v>25</v>
      </c>
      <c r="D14" s="3616">
        <v>25</v>
      </c>
      <c r="E14" s="475" t="s">
        <v>1052</v>
      </c>
      <c r="F14" s="436"/>
      <c r="G14" s="436"/>
      <c r="H14" s="436"/>
      <c r="I14" s="437"/>
    </row>
    <row r="15" spans="1:12" ht="12.75">
      <c r="A15" s="3601"/>
      <c r="B15" s="3620"/>
      <c r="C15" s="3625"/>
      <c r="D15" s="3616"/>
      <c r="E15" s="475" t="s">
        <v>1053</v>
      </c>
      <c r="F15" s="436"/>
      <c r="G15" s="436"/>
      <c r="H15" s="436"/>
      <c r="I15" s="437"/>
    </row>
    <row r="16" spans="1:12" ht="12.75">
      <c r="A16" s="3601"/>
      <c r="B16" s="3620"/>
      <c r="C16" s="3624"/>
      <c r="D16" s="3616"/>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144934.76999999999</v>
      </c>
      <c r="M18" s="2207">
        <f>IF(C1="",'数据-汇总表'!E3,SUMIF(项目类型,C1,'数据-汇总表'!E17:E26))</f>
        <v>144934.76999999999</v>
      </c>
    </row>
    <row r="19" spans="1:35" ht="14.25">
      <c r="A19" s="440" t="s">
        <v>344</v>
      </c>
      <c r="B19" s="441" t="s">
        <v>20</v>
      </c>
      <c r="C19" s="478">
        <f ca="1">SUMIF(INDIRECT("'"&amp;C4&amp;"'"&amp;"!A:A"),结果表!B19,INDIRECT("'"&amp;C4&amp;"'"&amp;"!B:B"))</f>
        <v>244943</v>
      </c>
      <c r="D19" s="479">
        <f ca="1">SUMIF(INDIRECT("'"&amp;D4&amp;"'"&amp;"!A:A"),结果表!B19,INDIRECT("'"&amp;D4&amp;"'"&amp;"!B:B"))</f>
        <v>227375</v>
      </c>
      <c r="E19" s="440" t="s">
        <v>343</v>
      </c>
      <c r="F19" s="441" t="s">
        <v>20</v>
      </c>
      <c r="G19" s="480">
        <f ca="1">ROUND(C19*$C$18+D19*$D$18,0)</f>
        <v>236159</v>
      </c>
      <c r="H19" s="442" t="s">
        <v>392</v>
      </c>
      <c r="I19" s="2304"/>
      <c r="K19" s="2207" t="s">
        <v>2497</v>
      </c>
      <c r="L19" s="2207">
        <f>IF(C1="",'数据-汇总表'!D3,SUMIF(项目类型,C1,'数据-汇总表'!D17:D26)+SUMIF(项目类型,C1,'数据-汇总表'!H17:H27))</f>
        <v>24804.11</v>
      </c>
      <c r="M19" s="2207">
        <f>IF(C1="",'数据-汇总表'!D3,SUMIF(项目类型,C1,'数据-汇总表'!D17:D26))</f>
        <v>24804.11</v>
      </c>
    </row>
    <row r="20" spans="1:35" ht="14.25">
      <c r="A20" s="443"/>
      <c r="B20" s="444" t="s">
        <v>21</v>
      </c>
      <c r="C20" s="481">
        <f ca="1">SUMIF(INDIRECT("'"&amp;C4&amp;"'"&amp;"!A:A"),结果表!B20,INDIRECT("'"&amp;C4&amp;"'"&amp;"!B:B"))</f>
        <v>16900</v>
      </c>
      <c r="D20" s="482">
        <f ca="1">SUMIF(INDIRECT("'"&amp;D4&amp;"'"&amp;"!A:A"),结果表!B20,INDIRECT("'"&amp;D4&amp;"'"&amp;"!B:B"))</f>
        <v>15688</v>
      </c>
      <c r="E20" s="443"/>
      <c r="F20" s="444" t="s">
        <v>21</v>
      </c>
      <c r="G20" s="483">
        <f ca="1">ROUND(C20*$C$18+D20*$D$18,0)</f>
        <v>16294</v>
      </c>
      <c r="H20" s="445" t="s">
        <v>391</v>
      </c>
      <c r="I20" s="2304"/>
    </row>
    <row r="21" spans="1:35" ht="15" customHeight="1" thickBot="1">
      <c r="A21" s="447"/>
      <c r="B21" s="448" t="s">
        <v>22</v>
      </c>
      <c r="C21" s="1426">
        <f ca="1">ROUND(C19*10000/L19,0)</f>
        <v>98751</v>
      </c>
      <c r="D21" s="1427">
        <f ca="1">ROUND(D19*10000/L19,0)</f>
        <v>91668</v>
      </c>
      <c r="E21" s="447"/>
      <c r="F21" s="448" t="s">
        <v>22</v>
      </c>
      <c r="G21" s="484">
        <f ca="1">ROUND(G19*10000/L19,0)</f>
        <v>95210</v>
      </c>
      <c r="H21" s="449" t="s">
        <v>391</v>
      </c>
      <c r="I21" s="2304"/>
    </row>
    <row r="22" spans="1:35" ht="15" thickBot="1">
      <c r="A22" s="280" t="s">
        <v>345</v>
      </c>
      <c r="B22" s="1428"/>
      <c r="C22" s="1429"/>
      <c r="D22" s="1430">
        <f ca="1">IF(C19&lt;D19,D19/C19-1,C19/D19-1)</f>
        <v>7.7264431006047296E-2</v>
      </c>
      <c r="E22" s="2304"/>
      <c r="F22" s="2304"/>
      <c r="G22" s="2304"/>
      <c r="H22" s="2304"/>
      <c r="I22" s="2304"/>
      <c r="L22" s="1471" t="s">
        <v>3526</v>
      </c>
    </row>
    <row r="23" spans="1:35" ht="12.75" thickBot="1">
      <c r="A23" s="1247"/>
      <c r="B23" s="1247"/>
      <c r="C23" s="1247"/>
      <c r="D23" s="1247"/>
      <c r="E23" s="2304"/>
      <c r="F23" s="2304"/>
      <c r="G23" s="2304"/>
      <c r="H23" s="2304"/>
      <c r="I23" s="2304"/>
      <c r="L23" s="1471">
        <f>M18+183000</f>
        <v>327934.77</v>
      </c>
    </row>
    <row r="24" spans="1:35" ht="14.25">
      <c r="A24" s="3644" t="s">
        <v>341</v>
      </c>
      <c r="B24" s="441" t="s">
        <v>20</v>
      </c>
      <c r="C24" s="480">
        <f>IF(B30=0,0,D30)</f>
        <v>0</v>
      </c>
      <c r="D24" s="450"/>
      <c r="E24" s="2304"/>
      <c r="F24" s="2304"/>
      <c r="G24" s="2304"/>
      <c r="H24" s="2304"/>
      <c r="I24" s="2304"/>
    </row>
    <row r="25" spans="1:35" ht="14.25">
      <c r="A25" s="3645"/>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637"/>
      <c r="L29" s="3637"/>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3575</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236159</v>
      </c>
      <c r="D32" s="2116" t="s">
        <v>373</v>
      </c>
      <c r="E32" s="2304"/>
      <c r="F32" s="2304"/>
      <c r="G32" s="2304"/>
      <c r="H32" s="2304"/>
      <c r="I32" s="2304"/>
      <c r="K32" s="3391">
        <v>5000</v>
      </c>
      <c r="L32" s="3433" t="s">
        <v>3594</v>
      </c>
      <c r="M32" s="3391"/>
    </row>
    <row r="33" spans="1:15" ht="13.5">
      <c r="A33" s="461" t="s">
        <v>1000</v>
      </c>
      <c r="B33" s="2115"/>
      <c r="C33" s="2913" t="s">
        <v>3099</v>
      </c>
      <c r="D33" s="2916" t="s">
        <v>2788</v>
      </c>
      <c r="E33" s="2113" t="s">
        <v>2473</v>
      </c>
      <c r="F33" s="2114" t="str">
        <f>IF(D32="楼面单价","取值（单价）","取值（总价）")</f>
        <v>取值（总价）</v>
      </c>
      <c r="G33" s="2304"/>
      <c r="H33" s="2304"/>
      <c r="I33" s="2304"/>
      <c r="J33" s="1471" t="s">
        <v>3576</v>
      </c>
      <c r="K33" s="3391">
        <f>'数据-基础表'!I13+'数据-基础表'!M14+'数据-基础表'!I18+'数据-基础表'!K20+'数据-基础表'!O16+'数据-基础表'!Q17</f>
        <v>380864.75000000006</v>
      </c>
      <c r="L33" s="3434">
        <f>ROUND(K33/(K34+K33),4)</f>
        <v>0.75260000000000005</v>
      </c>
      <c r="M33" s="3393"/>
      <c r="N33" s="3381"/>
    </row>
    <row r="34" spans="1:15" ht="15">
      <c r="A34" s="462"/>
      <c r="B34" s="463" t="s">
        <v>1003</v>
      </c>
      <c r="C34" s="493">
        <f ca="1">IF(C33="自定义",F34,C32-C35)</f>
        <v>192706</v>
      </c>
      <c r="D34" s="2117">
        <f ca="1">IF(C33="自定义",ROUND(C34/C32,3),IF(C33="收益比率",SUMIF(INDIRECT("'"&amp;D33&amp;"'"&amp;"!b:b"),"土地收益比率",INDIRECT("'"&amp;D33&amp;"'"&amp;"!c:c")),SUMIF(INDIRECT("'"&amp;D33&amp;"'"&amp;"!b:b"),"土地成本比率",INDIRECT("'"&amp;D33&amp;"'"&amp;"!c:c"))))</f>
        <v>0.81600000000000006</v>
      </c>
      <c r="E34" s="2914" t="s">
        <v>2474</v>
      </c>
      <c r="F34" s="3292">
        <v>0</v>
      </c>
      <c r="G34" s="2304"/>
      <c r="H34" s="2304"/>
      <c r="I34" s="2304"/>
      <c r="J34" s="1471" t="s">
        <v>3577</v>
      </c>
      <c r="K34" s="3391">
        <f>'数据-基础表'!K15</f>
        <v>125232.87</v>
      </c>
      <c r="L34" s="3434">
        <f>1-L33</f>
        <v>0.24739999999999995</v>
      </c>
      <c r="M34" s="3393"/>
      <c r="N34" s="3381"/>
    </row>
    <row r="35" spans="1:15" ht="15.75" thickBot="1">
      <c r="A35" s="465"/>
      <c r="B35" s="2917" t="s">
        <v>1005</v>
      </c>
      <c r="C35" s="2918">
        <f ca="1">IF(C33="自定义",F35,ROUND(C32*D35,0))</f>
        <v>43453</v>
      </c>
      <c r="D35" s="2919">
        <f ca="1">IF(C33="自定义",ROUND(C35/C32,3),IF(C33="收益比率",SUMIF(INDIRECT("'"&amp;D33&amp;"'"&amp;"!b:b"),"建筑物收益比率",INDIRECT("'"&amp;D33&amp;"'"&amp;"!c:c")),SUMIF(INDIRECT("'"&amp;D33&amp;"'"&amp;"!b:b"),"建筑物成本比率",INDIRECT("'"&amp;D33&amp;"'"&amp;"!c:c"))))</f>
        <v>0.184</v>
      </c>
      <c r="E35" s="2915" t="s">
        <v>2475</v>
      </c>
      <c r="F35" s="499">
        <v>0</v>
      </c>
      <c r="G35" s="2304"/>
      <c r="H35" s="2304"/>
      <c r="I35" s="2304"/>
      <c r="K35" s="3391"/>
      <c r="L35" s="3391"/>
      <c r="M35" s="3391"/>
    </row>
    <row r="36" spans="1:15" ht="15.75" thickBot="1">
      <c r="A36" s="3629" t="s">
        <v>1001</v>
      </c>
      <c r="B36" s="459" t="s">
        <v>1002</v>
      </c>
      <c r="C36" s="490">
        <v>0</v>
      </c>
      <c r="D36" s="460" t="s">
        <v>3619</v>
      </c>
      <c r="E36" s="1250"/>
      <c r="F36" s="2305"/>
      <c r="G36" s="2304"/>
      <c r="H36" s="2304"/>
      <c r="I36" s="2304"/>
      <c r="K36" s="3391"/>
      <c r="L36" s="3391"/>
      <c r="M36" s="3391"/>
    </row>
    <row r="37" spans="1:15" ht="15.75" thickBot="1">
      <c r="A37" s="3630"/>
      <c r="B37" s="13" t="s">
        <v>1004</v>
      </c>
      <c r="C37" s="492">
        <f>ROUND(K32/(K34+K33)*K33,0)+22</f>
        <v>3785</v>
      </c>
      <c r="D37" s="2253"/>
      <c r="E37" s="2253"/>
      <c r="F37" s="2305"/>
      <c r="G37" s="2304"/>
      <c r="H37" s="2304"/>
      <c r="I37" s="2304"/>
      <c r="K37" s="3392" t="s">
        <v>3609</v>
      </c>
      <c r="L37" s="3391"/>
      <c r="M37" s="3391"/>
    </row>
    <row r="38" spans="1:15" ht="15.75" thickBot="1">
      <c r="A38" s="3631"/>
      <c r="B38" s="464" t="s">
        <v>1006</v>
      </c>
      <c r="C38" s="3422">
        <f>E40+E41+K38</f>
        <v>13380</v>
      </c>
      <c r="D38" s="1251" t="s">
        <v>1007</v>
      </c>
      <c r="E38" s="2253"/>
      <c r="F38" s="2305"/>
      <c r="G38" s="2304"/>
      <c r="H38" s="2304"/>
      <c r="I38" s="2304"/>
      <c r="K38" s="3635">
        <v>4135</v>
      </c>
      <c r="L38" s="3635"/>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面积表!P77</f>
        <v>183009.82</v>
      </c>
      <c r="C40" s="495">
        <v>350</v>
      </c>
      <c r="D40" s="3316">
        <v>0.08</v>
      </c>
      <c r="E40" s="496">
        <f>ROUND(B40*C40*(1+8%)/10000,0)</f>
        <v>6918</v>
      </c>
      <c r="F40" s="2305"/>
      <c r="G40" s="2304"/>
      <c r="H40" s="2304"/>
      <c r="I40" s="2304"/>
      <c r="K40" s="3391"/>
      <c r="L40" s="3391"/>
      <c r="M40" s="3391"/>
    </row>
    <row r="41" spans="1:15" ht="13.5">
      <c r="A41" s="1252" t="s">
        <v>1014</v>
      </c>
      <c r="B41" s="494">
        <f>面积表!P79</f>
        <v>44886.340000000004</v>
      </c>
      <c r="C41" s="495">
        <v>480</v>
      </c>
      <c r="D41" s="3316">
        <v>0.08</v>
      </c>
      <c r="E41" s="496">
        <f t="shared" ref="E41" si="0">ROUND(B41*C41*(1+8%)/10000,0)</f>
        <v>2327</v>
      </c>
      <c r="F41" s="2305"/>
      <c r="G41" s="2304"/>
      <c r="H41" s="2304"/>
      <c r="I41" s="2304"/>
      <c r="K41" s="3392">
        <v>9267</v>
      </c>
      <c r="L41" s="3391">
        <f>E40+E41</f>
        <v>9245</v>
      </c>
      <c r="M41" s="3391"/>
    </row>
    <row r="42" spans="1:15" ht="14.25" thickBot="1">
      <c r="A42" s="1253"/>
      <c r="B42" s="497"/>
      <c r="C42" s="498"/>
      <c r="D42" s="3316"/>
      <c r="E42" s="496"/>
      <c r="F42" s="2305"/>
      <c r="G42" s="2304"/>
      <c r="H42" s="2304"/>
      <c r="I42" s="2304"/>
      <c r="K42" s="3636"/>
      <c r="L42" s="3636"/>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41" t="s">
        <v>1035</v>
      </c>
      <c r="B45" s="3642"/>
      <c r="C45" s="3643"/>
      <c r="D45" s="500">
        <f ca="1">ROUND(H101*F45,0)</f>
        <v>236159</v>
      </c>
      <c r="E45" s="501" t="s">
        <v>1036</v>
      </c>
      <c r="F45" s="502">
        <v>1</v>
      </c>
      <c r="G45" s="503" t="s">
        <v>1037</v>
      </c>
      <c r="H45" s="2304"/>
      <c r="I45" s="2304"/>
      <c r="J45" s="3549" t="s">
        <v>378</v>
      </c>
      <c r="K45" s="3549"/>
      <c r="L45" s="3549"/>
      <c r="M45" s="3549"/>
      <c r="N45" s="3549"/>
      <c r="O45" s="3549"/>
    </row>
    <row r="46" spans="1:15" ht="14.25" customHeight="1">
      <c r="A46" s="3638" t="s">
        <v>451</v>
      </c>
      <c r="B46" s="3639"/>
      <c r="C46" s="3639"/>
      <c r="D46" s="3639"/>
      <c r="E46" s="3639"/>
      <c r="F46" s="3639"/>
      <c r="G46" s="3640"/>
      <c r="H46" s="2306"/>
      <c r="I46" s="2259"/>
      <c r="J46" s="2245">
        <v>1</v>
      </c>
      <c r="K46" s="3549" t="s">
        <v>379</v>
      </c>
      <c r="L46" s="3549"/>
      <c r="M46" s="3550"/>
      <c r="N46" s="3550"/>
      <c r="O46" s="3550"/>
    </row>
    <row r="47" spans="1:15" ht="12" customHeight="1">
      <c r="A47" s="505" t="s">
        <v>452</v>
      </c>
      <c r="B47" s="506"/>
      <c r="C47" s="507"/>
      <c r="D47" s="508" t="s">
        <v>453</v>
      </c>
      <c r="E47" s="319" t="s">
        <v>454</v>
      </c>
      <c r="F47" s="509" t="s">
        <v>1038</v>
      </c>
      <c r="G47" s="510" t="s">
        <v>1039</v>
      </c>
      <c r="H47" s="2306"/>
      <c r="I47" s="2259"/>
      <c r="J47" s="2245">
        <v>2</v>
      </c>
      <c r="K47" s="3549" t="s">
        <v>380</v>
      </c>
      <c r="L47" s="3549"/>
      <c r="M47" s="3551">
        <f>'数据-取费表'!B2</f>
        <v>43006</v>
      </c>
      <c r="N47" s="3551"/>
      <c r="O47" s="3551"/>
    </row>
    <row r="48" spans="1:15" ht="25.5">
      <c r="A48" s="3633" t="s">
        <v>455</v>
      </c>
      <c r="B48" s="3634"/>
      <c r="C48" s="3634"/>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2789</v>
      </c>
      <c r="I48" s="2306"/>
      <c r="J48" s="2245">
        <v>3</v>
      </c>
      <c r="K48" s="3549" t="s">
        <v>1017</v>
      </c>
      <c r="L48" s="3549"/>
      <c r="M48" s="3552">
        <f ca="1">H101</f>
        <v>236159</v>
      </c>
      <c r="N48" s="3552"/>
      <c r="O48" s="3552"/>
    </row>
    <row r="49" spans="1:15" ht="25.5" customHeight="1">
      <c r="A49" s="512" t="s">
        <v>1040</v>
      </c>
      <c r="B49" s="3561" t="s">
        <v>1041</v>
      </c>
      <c r="C49" s="3561"/>
      <c r="D49" s="513">
        <v>0</v>
      </c>
      <c r="E49" s="318" t="s">
        <v>1042</v>
      </c>
      <c r="F49" s="323" t="s">
        <v>335</v>
      </c>
      <c r="G49" s="3587"/>
      <c r="H49" s="2304"/>
      <c r="I49" s="2307"/>
      <c r="J49" s="2245">
        <v>4</v>
      </c>
      <c r="K49" s="3549" t="str">
        <f>IF(项目基本情况!E8="房地产抵押价值","房地产抵押价值","抵押担保权已注销时的房地产抵押价值")</f>
        <v>抵押担保权已注销时的房地产抵押价值</v>
      </c>
      <c r="L49" s="3549"/>
      <c r="M49" s="3552">
        <f ca="1">IF(项目基本情况!E8="房地产抵押价值",H107,H109)</f>
        <v>218994</v>
      </c>
      <c r="N49" s="3552"/>
      <c r="O49" s="3552"/>
    </row>
    <row r="50" spans="1:15" ht="25.5" customHeight="1">
      <c r="A50" s="514"/>
      <c r="B50" s="3561" t="s">
        <v>458</v>
      </c>
      <c r="C50" s="3561"/>
      <c r="D50" s="515"/>
      <c r="E50" s="326"/>
      <c r="F50" s="516"/>
      <c r="G50" s="3588"/>
      <c r="H50" s="2304"/>
      <c r="I50" s="2307"/>
      <c r="J50" s="3549" t="s">
        <v>381</v>
      </c>
      <c r="K50" s="3549"/>
      <c r="L50" s="3549"/>
      <c r="M50" s="3549"/>
      <c r="N50" s="3549"/>
      <c r="O50" s="3549"/>
    </row>
    <row r="51" spans="1:15" ht="12" customHeight="1">
      <c r="A51" s="517"/>
      <c r="B51" s="3561" t="s">
        <v>459</v>
      </c>
      <c r="C51" s="3561"/>
      <c r="D51" s="518"/>
      <c r="E51" s="325"/>
      <c r="F51" s="516"/>
      <c r="G51" s="3589"/>
      <c r="H51" s="2304"/>
      <c r="I51" s="2307"/>
      <c r="J51" s="2243" t="s">
        <v>382</v>
      </c>
      <c r="K51" s="3549" t="s">
        <v>383</v>
      </c>
      <c r="L51" s="3549"/>
      <c r="M51" s="2243" t="s">
        <v>384</v>
      </c>
      <c r="N51" s="2243" t="s">
        <v>385</v>
      </c>
      <c r="O51" s="2243" t="s">
        <v>386</v>
      </c>
    </row>
    <row r="52" spans="1:15" ht="24" customHeight="1">
      <c r="A52" s="519" t="s">
        <v>460</v>
      </c>
      <c r="B52" s="3561" t="s">
        <v>461</v>
      </c>
      <c r="C52" s="3561"/>
      <c r="D52" s="518">
        <f ca="1">ROUND(D45*'数据-取费表'!B41/(1+'数据-取费表'!B42),0)</f>
        <v>12595</v>
      </c>
      <c r="E52" s="305" t="s">
        <v>462</v>
      </c>
      <c r="F52" s="520">
        <f>'数据-取费表'!B41</f>
        <v>5.6000000000000001E-2</v>
      </c>
      <c r="G52" s="470"/>
      <c r="H52" s="2304"/>
      <c r="I52" s="2307"/>
      <c r="J52" s="2245">
        <v>1</v>
      </c>
      <c r="K52" s="3582" t="s">
        <v>1018</v>
      </c>
      <c r="L52" s="3582"/>
      <c r="M52" s="1441">
        <f>D48</f>
        <v>0</v>
      </c>
      <c r="N52" s="2244" t="str">
        <f>E48</f>
        <v>销售额×税（费）率</v>
      </c>
      <c r="O52" s="1442" t="str">
        <f>F48</f>
        <v>免征</v>
      </c>
    </row>
    <row r="53" spans="1:15" ht="12" customHeight="1">
      <c r="A53" s="519" t="s">
        <v>463</v>
      </c>
      <c r="B53" s="3562" t="s">
        <v>464</v>
      </c>
      <c r="C53" s="3563"/>
      <c r="D53" s="518">
        <f ca="1">ROUND(D45*'数据-取费表'!B41/(1+'数据-取费表'!B42),0)</f>
        <v>12595</v>
      </c>
      <c r="E53" s="305" t="s">
        <v>462</v>
      </c>
      <c r="F53" s="520">
        <f>'数据-取费表'!B41</f>
        <v>5.6000000000000001E-2</v>
      </c>
      <c r="G53" s="470"/>
      <c r="H53" s="2304"/>
      <c r="I53" s="2307"/>
      <c r="J53" s="2245">
        <v>2</v>
      </c>
      <c r="K53" s="3582" t="s">
        <v>1019</v>
      </c>
      <c r="L53" s="3582"/>
      <c r="M53" s="1441">
        <f t="shared" ref="M53:O54" ca="1" si="1">D55</f>
        <v>118</v>
      </c>
      <c r="N53" s="2244" t="str">
        <f t="shared" si="1"/>
        <v>销售额×税（费）率</v>
      </c>
      <c r="O53" s="1442">
        <f t="shared" si="1"/>
        <v>5.0000000000000001E-4</v>
      </c>
    </row>
    <row r="54" spans="1:15" ht="12" customHeight="1">
      <c r="A54" s="519" t="s">
        <v>465</v>
      </c>
      <c r="B54" s="3562" t="s">
        <v>466</v>
      </c>
      <c r="C54" s="3563"/>
      <c r="D54" s="518">
        <f ca="1">C68</f>
        <v>12595</v>
      </c>
      <c r="E54" s="325" t="s">
        <v>467</v>
      </c>
      <c r="F54" s="520">
        <f>'数据-取费表'!B41</f>
        <v>5.6000000000000001E-2</v>
      </c>
      <c r="G54" s="470"/>
      <c r="H54" s="2308"/>
      <c r="I54" s="2307"/>
      <c r="J54" s="2245">
        <v>3</v>
      </c>
      <c r="K54" s="3582" t="s">
        <v>1020</v>
      </c>
      <c r="L54" s="3582"/>
      <c r="M54" s="1441">
        <f t="shared" ca="1" si="1"/>
        <v>15246</v>
      </c>
      <c r="N54" s="2244" t="str">
        <f t="shared" si="1"/>
        <v>增值额×税（费）率</v>
      </c>
      <c r="O54" s="1443" t="str">
        <f t="shared" si="1"/>
        <v>——</v>
      </c>
    </row>
    <row r="55" spans="1:15" ht="24" customHeight="1">
      <c r="A55" s="3646" t="s">
        <v>468</v>
      </c>
      <c r="B55" s="3634"/>
      <c r="C55" s="3634"/>
      <c r="D55" s="521">
        <f ca="1">IF(H55="个人住宅",0,ROUND(D45*I55,0))</f>
        <v>118</v>
      </c>
      <c r="E55" s="305" t="s">
        <v>469</v>
      </c>
      <c r="F55" s="520">
        <f>IF(H55="正常",I55,"免征")</f>
        <v>5.0000000000000001E-4</v>
      </c>
      <c r="G55" s="470"/>
      <c r="H55" s="1436" t="s">
        <v>259</v>
      </c>
      <c r="I55" s="522">
        <f>'数据-取费表'!B49</f>
        <v>5.0000000000000001E-4</v>
      </c>
      <c r="J55" s="2245" t="str">
        <f>IF(H59="非个人房产","",4)</f>
        <v/>
      </c>
      <c r="K55" s="3582" t="str">
        <f>IF(H59="非个人房产","——","个人所得税")</f>
        <v>——</v>
      </c>
      <c r="L55" s="3582"/>
      <c r="M55" s="1444" t="str">
        <f>D59</f>
        <v>——</v>
      </c>
      <c r="N55" s="1445" t="str">
        <f>E59</f>
        <v>——</v>
      </c>
      <c r="O55" s="1446" t="str">
        <f>F59</f>
        <v>——</v>
      </c>
    </row>
    <row r="56" spans="1:15" ht="24.75">
      <c r="A56" s="3646" t="s">
        <v>470</v>
      </c>
      <c r="B56" s="3634"/>
      <c r="C56" s="3634"/>
      <c r="D56" s="521">
        <f ca="1">IF(H56="个人住宅",D57,D58)</f>
        <v>15246</v>
      </c>
      <c r="E56" s="305" t="s">
        <v>471</v>
      </c>
      <c r="F56" s="520" t="str">
        <f>IF(H56="正常",F58,"免征")</f>
        <v>——</v>
      </c>
      <c r="G56" s="1260" t="s">
        <v>1021</v>
      </c>
      <c r="H56" s="1435" t="s">
        <v>259</v>
      </c>
      <c r="I56" s="2309"/>
      <c r="J56" s="3593">
        <f>IF(H59="非个人房产",4,5)</f>
        <v>4</v>
      </c>
      <c r="K56" s="3582" t="s">
        <v>1022</v>
      </c>
      <c r="L56" s="1447" t="s">
        <v>387</v>
      </c>
      <c r="M56" s="1448"/>
      <c r="N56" s="1449">
        <f ca="1">SUMIF(M52:M55,"&lt;9e307")</f>
        <v>15364</v>
      </c>
      <c r="O56" s="1450"/>
    </row>
    <row r="57" spans="1:15" ht="12.75">
      <c r="A57" s="519" t="s">
        <v>456</v>
      </c>
      <c r="B57" s="3607" t="s">
        <v>472</v>
      </c>
      <c r="C57" s="3608"/>
      <c r="D57" s="523">
        <v>0</v>
      </c>
      <c r="E57" s="318" t="s">
        <v>457</v>
      </c>
      <c r="F57" s="491"/>
      <c r="G57" s="470"/>
      <c r="H57" s="2309"/>
      <c r="I57" s="2309"/>
      <c r="J57" s="3593"/>
      <c r="K57" s="3582"/>
      <c r="L57" s="1447" t="s">
        <v>388</v>
      </c>
      <c r="M57" s="1451"/>
      <c r="N57" s="1452" t="str">
        <f ca="1">NUMBERSTRING(INT(N56*10000),2)&amp;"元整"</f>
        <v>壹亿伍仟叁佰陆拾肆万元整</v>
      </c>
      <c r="O57" s="1453"/>
    </row>
    <row r="58" spans="1:15" ht="24.75">
      <c r="A58" s="519" t="s">
        <v>460</v>
      </c>
      <c r="B58" s="3607" t="s">
        <v>473</v>
      </c>
      <c r="C58" s="3632"/>
      <c r="D58" s="521">
        <f ca="1">IF(H58="转让取得",C81,C97)</f>
        <v>15246</v>
      </c>
      <c r="E58" s="305" t="s">
        <v>471</v>
      </c>
      <c r="F58" s="319" t="s">
        <v>335</v>
      </c>
      <c r="G58" s="470"/>
      <c r="H58" s="1435" t="s">
        <v>1477</v>
      </c>
      <c r="I58" s="2309"/>
      <c r="J58" s="3583">
        <f>IF(H59="非个人房产",5,6)</f>
        <v>5</v>
      </c>
      <c r="K58" s="3582" t="s">
        <v>336</v>
      </c>
      <c r="L58" s="2244" t="s">
        <v>387</v>
      </c>
      <c r="M58" s="1454"/>
      <c r="N58" s="1455">
        <f ca="1">M49-N56</f>
        <v>203630</v>
      </c>
      <c r="O58" s="1456"/>
    </row>
    <row r="59" spans="1:15" ht="24.75" thickBot="1">
      <c r="A59" s="3585" t="s">
        <v>474</v>
      </c>
      <c r="B59" s="3586"/>
      <c r="C59" s="3586"/>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584"/>
      <c r="K59" s="3582"/>
      <c r="L59" s="1447" t="s">
        <v>388</v>
      </c>
      <c r="M59" s="1451"/>
      <c r="N59" s="1452" t="str">
        <f ca="1">NUMBERSTRING(INT(N58*10000),2)&amp;"元整"</f>
        <v>贰拾亿叁仟陆佰叁拾万元整</v>
      </c>
      <c r="O59" s="1453"/>
    </row>
    <row r="60" spans="1:15" ht="12" customHeight="1">
      <c r="A60" s="1262"/>
      <c r="B60" s="1247"/>
      <c r="C60" s="1247"/>
      <c r="D60" s="1247"/>
      <c r="E60" s="229"/>
      <c r="F60" s="2309"/>
      <c r="G60" s="2309"/>
      <c r="H60" s="2310"/>
      <c r="I60" s="2304"/>
      <c r="J60" s="2245">
        <f>IF(H59="非个人房产",6,7)</f>
        <v>6</v>
      </c>
      <c r="K60" s="3582" t="s">
        <v>389</v>
      </c>
      <c r="L60" s="3582"/>
      <c r="M60" s="1457"/>
      <c r="N60" s="1458">
        <f ca="1">ROUND(N58*10000/'数据-汇总表'!E3,0)</f>
        <v>14050</v>
      </c>
      <c r="O60" s="1459"/>
    </row>
    <row r="61" spans="1:15" ht="13.5" thickBot="1">
      <c r="A61" s="3556" t="s">
        <v>475</v>
      </c>
      <c r="B61" s="3556"/>
      <c r="C61" s="3556"/>
      <c r="D61" s="3556"/>
      <c r="E61" s="3556"/>
      <c r="F61" s="2309"/>
      <c r="G61" s="2309"/>
      <c r="H61" s="2310"/>
      <c r="I61" s="2304"/>
    </row>
    <row r="62" spans="1:15" ht="12.75">
      <c r="A62" s="3599" t="s">
        <v>476</v>
      </c>
      <c r="B62" s="3600"/>
      <c r="C62" s="1940"/>
      <c r="D62" s="1940" t="s">
        <v>484</v>
      </c>
      <c r="E62" s="528" t="s">
        <v>485</v>
      </c>
      <c r="F62" s="2309"/>
      <c r="G62" s="2309"/>
      <c r="H62" s="2310"/>
      <c r="I62" s="2304"/>
    </row>
    <row r="63" spans="1:15" ht="12.75">
      <c r="A63" s="539" t="s">
        <v>2246</v>
      </c>
      <c r="B63" s="529" t="s">
        <v>477</v>
      </c>
      <c r="C63" s="530">
        <f ca="1">ROUND((C64+C65)/(1+'数据-取费表'!B42),0)</f>
        <v>224913</v>
      </c>
      <c r="D63" s="531"/>
      <c r="E63" s="532"/>
      <c r="F63" s="2309"/>
      <c r="G63" s="2309"/>
      <c r="H63" s="2310"/>
      <c r="I63" s="2304"/>
    </row>
    <row r="64" spans="1:15" ht="12.75">
      <c r="A64" s="533" t="s">
        <v>2241</v>
      </c>
      <c r="B64" s="534" t="s">
        <v>478</v>
      </c>
      <c r="C64" s="535">
        <f ca="1">D45</f>
        <v>236159</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565" t="s">
        <v>3550</v>
      </c>
      <c r="K66" s="3565"/>
      <c r="L66" s="3565"/>
      <c r="M66" s="3565"/>
    </row>
    <row r="67" spans="1:35" ht="14.25" thickBot="1">
      <c r="A67" s="539" t="s">
        <v>2244</v>
      </c>
      <c r="B67" s="540" t="s">
        <v>481</v>
      </c>
      <c r="C67" s="543">
        <f ca="1">C63-C66</f>
        <v>224913</v>
      </c>
      <c r="D67" s="536" t="s">
        <v>331</v>
      </c>
      <c r="E67" s="537"/>
      <c r="F67" s="2309"/>
      <c r="G67" s="2309"/>
      <c r="H67" s="2310"/>
      <c r="I67" s="2304"/>
      <c r="J67" s="3407"/>
      <c r="K67" s="3407"/>
      <c r="L67" s="3407"/>
      <c r="M67" s="3408" t="s">
        <v>3551</v>
      </c>
    </row>
    <row r="68" spans="1:35" ht="15" thickBot="1">
      <c r="A68" s="544" t="s">
        <v>2245</v>
      </c>
      <c r="B68" s="545" t="s">
        <v>482</v>
      </c>
      <c r="C68" s="546">
        <f ca="1">IF(C67&lt;=0,0,ROUND(C67*D68,0))</f>
        <v>12595</v>
      </c>
      <c r="D68" s="547">
        <f>'数据-取费表'!B41</f>
        <v>5.6000000000000001E-2</v>
      </c>
      <c r="E68" s="548"/>
      <c r="F68" s="2309"/>
      <c r="G68" s="2309"/>
      <c r="H68" s="2310"/>
      <c r="I68" s="2304"/>
      <c r="J68" s="3409" t="s">
        <v>3552</v>
      </c>
      <c r="K68" s="3410" t="s">
        <v>3553</v>
      </c>
      <c r="L68" s="3411" t="s">
        <v>3554</v>
      </c>
      <c r="M68" s="3412" t="s">
        <v>3555</v>
      </c>
    </row>
    <row r="69" spans="1:35" s="1249" customFormat="1" ht="20.25" customHeight="1">
      <c r="A69" s="1263"/>
      <c r="B69" s="1264"/>
      <c r="C69" s="1265"/>
      <c r="D69" s="1266"/>
      <c r="E69" s="1267"/>
      <c r="F69" s="229"/>
      <c r="G69" s="229"/>
      <c r="H69" s="241"/>
      <c r="I69" s="1247"/>
      <c r="J69" s="3413">
        <v>1</v>
      </c>
      <c r="K69" s="3414" t="s">
        <v>3556</v>
      </c>
      <c r="L69" s="3415" t="s">
        <v>3557</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05" t="s">
        <v>483</v>
      </c>
      <c r="B70" s="3606"/>
      <c r="C70" s="3606"/>
      <c r="D70" s="3606"/>
      <c r="E70" s="3606"/>
      <c r="F70" s="3606"/>
      <c r="G70" s="3606"/>
      <c r="H70" s="3606"/>
      <c r="I70" s="1268"/>
      <c r="J70" s="3413">
        <v>2</v>
      </c>
      <c r="K70" s="3417" t="s">
        <v>3558</v>
      </c>
      <c r="L70" s="3415" t="s">
        <v>3557</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99" t="s">
        <v>476</v>
      </c>
      <c r="B71" s="3600"/>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224913</v>
      </c>
      <c r="D72" s="536" t="s">
        <v>331</v>
      </c>
      <c r="E72" s="1943"/>
      <c r="F72" s="1944"/>
      <c r="G72" s="1944"/>
      <c r="H72" s="552"/>
      <c r="I72" s="2311"/>
      <c r="J72" s="3566" t="s">
        <v>3548</v>
      </c>
      <c r="K72" s="3566"/>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1349</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2790</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62" t="s">
        <v>492</v>
      </c>
      <c r="F76" s="3561"/>
      <c r="G76" s="3561"/>
      <c r="H76" s="3604"/>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3529</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1349</v>
      </c>
      <c r="D78" s="562">
        <f>'数据-取费表'!B43</f>
        <v>6.000000000000001E-3</v>
      </c>
      <c r="E78" s="3557" t="s">
        <v>2902</v>
      </c>
      <c r="F78" s="3558"/>
      <c r="G78" s="3558"/>
      <c r="H78" s="3559"/>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223564</v>
      </c>
      <c r="D79" s="536" t="s">
        <v>331</v>
      </c>
      <c r="E79" s="1943"/>
      <c r="F79" s="1944"/>
      <c r="G79" s="1944"/>
      <c r="H79" s="552"/>
      <c r="I79" s="2311"/>
      <c r="J79" s="2159"/>
      <c r="K79" s="3564" t="s">
        <v>3549</v>
      </c>
      <c r="L79" s="3564"/>
      <c r="M79" s="3564"/>
      <c r="N79" s="3564"/>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165.72572275759822</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133666</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3531</v>
      </c>
      <c r="K81" s="3395" t="s">
        <v>3532</v>
      </c>
      <c r="L81" s="3396" t="s">
        <v>3533</v>
      </c>
      <c r="M81" s="3397" t="s">
        <v>3534</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3535</v>
      </c>
      <c r="L82" s="3398">
        <v>318728781.88</v>
      </c>
      <c r="M82" s="3399" t="s">
        <v>3536</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05" t="s">
        <v>498</v>
      </c>
      <c r="B83" s="3606"/>
      <c r="C83" s="3606"/>
      <c r="D83" s="3606"/>
      <c r="E83" s="3606"/>
      <c r="F83" s="3606"/>
      <c r="G83" s="3606"/>
      <c r="H83" s="3606"/>
      <c r="I83" s="2312"/>
      <c r="J83" s="3394">
        <v>2</v>
      </c>
      <c r="K83" s="3395" t="s">
        <v>3537</v>
      </c>
      <c r="L83" s="3400">
        <v>62879323.069999993</v>
      </c>
      <c r="M83" s="3399" t="s">
        <v>3536</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99" t="s">
        <v>476</v>
      </c>
      <c r="B84" s="3600"/>
      <c r="C84" s="1940"/>
      <c r="D84" s="1940" t="s">
        <v>484</v>
      </c>
      <c r="E84" s="549" t="s">
        <v>485</v>
      </c>
      <c r="F84" s="550"/>
      <c r="G84" s="550"/>
      <c r="H84" s="569"/>
      <c r="I84" s="2312"/>
      <c r="J84" s="3394">
        <v>3</v>
      </c>
      <c r="K84" s="3401" t="s">
        <v>3538</v>
      </c>
      <c r="L84" s="3400">
        <v>1168730000</v>
      </c>
      <c r="M84" s="3399" t="s">
        <v>3539</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224913</v>
      </c>
      <c r="D85" s="536" t="s">
        <v>331</v>
      </c>
      <c r="E85" s="1943"/>
      <c r="F85" s="1944"/>
      <c r="G85" s="1944"/>
      <c r="H85" s="570"/>
      <c r="I85" s="2312"/>
      <c r="J85" s="3394">
        <v>4</v>
      </c>
      <c r="K85" s="3402" t="s">
        <v>3540</v>
      </c>
      <c r="L85" s="3400">
        <f>[3]支付土地出让金合计!$E$20</f>
        <v>50299955.039999999</v>
      </c>
      <c r="M85" s="3399" t="s">
        <v>3539</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174094.0266071092</v>
      </c>
      <c r="D86" s="571"/>
      <c r="E86" s="1943"/>
      <c r="F86" s="1944"/>
      <c r="G86" s="1944"/>
      <c r="H86" s="570"/>
      <c r="I86" s="2312"/>
      <c r="J86" s="3394">
        <v>5</v>
      </c>
      <c r="K86" s="3401" t="s">
        <v>3541</v>
      </c>
      <c r="L86" s="3400">
        <v>114911443.90000001</v>
      </c>
      <c r="M86" s="3399" t="s">
        <v>3539</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4">
        <v>6</v>
      </c>
      <c r="K87" s="3403" t="s">
        <v>3542</v>
      </c>
      <c r="L87" s="3400">
        <v>529054447</v>
      </c>
      <c r="M87" s="3399" t="s">
        <v>3539</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3530</v>
      </c>
      <c r="I88" s="2312"/>
      <c r="J88" s="3394">
        <v>7</v>
      </c>
      <c r="K88" s="3401" t="s">
        <v>3543</v>
      </c>
      <c r="L88" s="3404">
        <v>9721400</v>
      </c>
      <c r="M88" s="3399" t="s">
        <v>3539</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4">
        <v>8</v>
      </c>
      <c r="K89" s="3401" t="s">
        <v>3544</v>
      </c>
      <c r="L89" s="3400">
        <v>216485821.5</v>
      </c>
      <c r="M89" s="3399" t="s">
        <v>3539</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28719.825978536999</v>
      </c>
      <c r="D90" s="562"/>
      <c r="E90" s="573" t="str">
        <f>IF(H88="-","土地取得成本中已包含该笔费用"," ")</f>
        <v xml:space="preserve"> </v>
      </c>
      <c r="F90" s="1939"/>
      <c r="G90" s="1939"/>
      <c r="H90" s="1941"/>
      <c r="I90" s="2312"/>
      <c r="J90" s="3394">
        <v>9</v>
      </c>
      <c r="K90" s="3401" t="s">
        <v>3545</v>
      </c>
      <c r="L90" s="3400">
        <v>21447809.25</v>
      </c>
      <c r="M90" s="3399" t="s">
        <v>3539</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12640.580828572203</v>
      </c>
      <c r="D91" s="562"/>
      <c r="E91" s="3560" t="s">
        <v>1034</v>
      </c>
      <c r="F91" s="3558"/>
      <c r="G91" s="3558"/>
      <c r="H91" s="1434" t="s">
        <v>2681</v>
      </c>
      <c r="I91" s="3406">
        <f>((L86+L87+L88+L89+L90+L91+L92-M72)/10000)*L33</f>
        <v>12640.580828572203</v>
      </c>
      <c r="J91" s="3394">
        <v>10</v>
      </c>
      <c r="K91" s="3401" t="s">
        <v>3546</v>
      </c>
      <c r="L91" s="3400">
        <v>17066522.600000001</v>
      </c>
      <c r="M91" s="3399" t="s">
        <v>3539</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13288</v>
      </c>
      <c r="D92" s="562">
        <v>0.1</v>
      </c>
      <c r="E92" s="3560" t="s">
        <v>507</v>
      </c>
      <c r="F92" s="3558"/>
      <c r="G92" s="3558"/>
      <c r="H92" s="3559"/>
      <c r="I92" s="2312"/>
      <c r="J92" s="3394">
        <v>11</v>
      </c>
      <c r="K92" s="3401" t="s">
        <v>3547</v>
      </c>
      <c r="L92" s="3404">
        <v>58181376.219999999</v>
      </c>
      <c r="M92" s="3399" t="s">
        <v>3539</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1349</v>
      </c>
      <c r="D93" s="562">
        <f>'数据-取费表'!B43</f>
        <v>6.000000000000001E-3</v>
      </c>
      <c r="E93" s="3557" t="s">
        <v>2902</v>
      </c>
      <c r="F93" s="3558"/>
      <c r="G93" s="3558"/>
      <c r="H93" s="3559"/>
      <c r="I93" s="2312"/>
      <c r="J93" s="3405"/>
      <c r="K93" s="3395" t="s">
        <v>3548</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26576</v>
      </c>
      <c r="D94" s="562">
        <v>0.2</v>
      </c>
      <c r="E94" s="3560" t="s">
        <v>509</v>
      </c>
      <c r="F94" s="3558"/>
      <c r="G94" s="3558"/>
      <c r="H94" s="3559"/>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2252</v>
      </c>
      <c r="B95" s="540" t="s">
        <v>495</v>
      </c>
      <c r="C95" s="543">
        <f ca="1">ROUND(C85-C86,0)</f>
        <v>50819</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0.29190547769158659</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15246</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3561</v>
      </c>
      <c r="M99" s="1471" t="s">
        <v>3610</v>
      </c>
    </row>
    <row r="100" spans="1:35" ht="18.75" customHeight="1">
      <c r="A100" s="3541" t="s">
        <v>394</v>
      </c>
      <c r="B100" s="3542"/>
      <c r="C100" s="3542"/>
      <c r="D100" s="3555"/>
      <c r="E100" s="3542" t="s">
        <v>3308</v>
      </c>
      <c r="F100" s="3542"/>
      <c r="G100" s="3542"/>
      <c r="H100" s="3555"/>
      <c r="I100" s="2304"/>
      <c r="J100" s="1471" t="s">
        <v>3562</v>
      </c>
      <c r="L100" s="1471">
        <f>L18</f>
        <v>144934.76999999999</v>
      </c>
      <c r="M100" s="3448">
        <v>330521.8</v>
      </c>
    </row>
    <row r="101" spans="1:35" ht="18.75" customHeight="1">
      <c r="A101" s="3590" t="s">
        <v>371</v>
      </c>
      <c r="B101" s="3591"/>
      <c r="C101" s="1270" t="str">
        <f>C4</f>
        <v>成本法</v>
      </c>
      <c r="D101" s="1271" t="str">
        <f>D4</f>
        <v>假设开发法</v>
      </c>
      <c r="E101" s="3553" t="s">
        <v>2260</v>
      </c>
      <c r="F101" s="3554"/>
      <c r="G101" s="1272" t="s">
        <v>373</v>
      </c>
      <c r="H101" s="2009">
        <f ca="1">H118</f>
        <v>236159</v>
      </c>
      <c r="I101" s="2304"/>
      <c r="J101" s="3439">
        <f ca="1">H101-H106+K38</f>
        <v>226914</v>
      </c>
    </row>
    <row r="102" spans="1:35" ht="18.75" customHeight="1">
      <c r="A102" s="3592" t="s">
        <v>372</v>
      </c>
      <c r="B102" s="1272" t="s">
        <v>373</v>
      </c>
      <c r="C102" s="1239">
        <f ca="1">C19</f>
        <v>244943</v>
      </c>
      <c r="D102" s="1240">
        <f ca="1">D19</f>
        <v>227375</v>
      </c>
      <c r="E102" s="3553"/>
      <c r="F102" s="3554"/>
      <c r="G102" s="1272" t="s">
        <v>374</v>
      </c>
      <c r="H102" s="715">
        <f ca="1">I118</f>
        <v>16294</v>
      </c>
      <c r="I102" s="2304"/>
      <c r="K102" s="1471" t="s">
        <v>3560</v>
      </c>
      <c r="L102" s="3381">
        <f ca="1">J101/L100*10000</f>
        <v>15656.284547869363</v>
      </c>
      <c r="M102" s="1471">
        <f ca="1">ROUND(J101/M100*10000,0)</f>
        <v>6865</v>
      </c>
    </row>
    <row r="103" spans="1:35" ht="42.75" customHeight="1">
      <c r="A103" s="3592"/>
      <c r="B103" s="1272" t="s">
        <v>374</v>
      </c>
      <c r="C103" s="1241">
        <f ca="1">C20</f>
        <v>16900</v>
      </c>
      <c r="D103" s="1242">
        <f ca="1">D20</f>
        <v>15688</v>
      </c>
      <c r="E103" s="3547" t="s">
        <v>3618</v>
      </c>
      <c r="F103" s="3548"/>
      <c r="G103" s="1273" t="s">
        <v>376</v>
      </c>
      <c r="H103" s="2009">
        <f>IF(D36="正常操作",H104+H105+H106,H105+H106)</f>
        <v>17165</v>
      </c>
      <c r="I103" s="2304"/>
    </row>
    <row r="104" spans="1:35" ht="18.75" customHeight="1">
      <c r="A104" s="3592" t="s">
        <v>375</v>
      </c>
      <c r="B104" s="1274" t="s">
        <v>373</v>
      </c>
      <c r="C104" s="1243">
        <f ca="1">H118</f>
        <v>236159</v>
      </c>
      <c r="D104" s="1244"/>
      <c r="E104" s="13" t="s">
        <v>2259</v>
      </c>
      <c r="F104" s="6"/>
      <c r="G104" s="1273" t="s">
        <v>376</v>
      </c>
      <c r="H104" s="2010">
        <f>IF(D36="同一抵押权人同一抵押物续贷",C36&amp;"（未扣减，详见特别提示）",C36)</f>
        <v>0</v>
      </c>
      <c r="I104" s="2304"/>
    </row>
    <row r="105" spans="1:35" ht="18.75" customHeight="1" thickBot="1">
      <c r="A105" s="3602"/>
      <c r="B105" s="1275" t="s">
        <v>374</v>
      </c>
      <c r="C105" s="1245">
        <f ca="1">I118</f>
        <v>16294</v>
      </c>
      <c r="D105" s="1246"/>
      <c r="E105" s="13" t="s">
        <v>2261</v>
      </c>
      <c r="F105" s="6"/>
      <c r="G105" s="1273" t="s">
        <v>376</v>
      </c>
      <c r="H105" s="2010">
        <f>C37</f>
        <v>3785</v>
      </c>
      <c r="I105" s="2304"/>
    </row>
    <row r="106" spans="1:35" ht="18.75" customHeight="1">
      <c r="A106" s="1247" t="s">
        <v>2357</v>
      </c>
      <c r="B106" s="1247"/>
      <c r="C106" s="1247"/>
      <c r="D106" s="1247"/>
      <c r="E106" s="471" t="s">
        <v>2262</v>
      </c>
      <c r="F106" s="6"/>
      <c r="G106" s="1273" t="s">
        <v>376</v>
      </c>
      <c r="H106" s="2010">
        <f>C38</f>
        <v>13380</v>
      </c>
      <c r="I106" s="2304"/>
    </row>
    <row r="107" spans="1:35" ht="18.75" customHeight="1">
      <c r="A107" s="2304"/>
      <c r="B107" s="2304"/>
      <c r="C107" s="2304"/>
      <c r="D107" s="2304"/>
      <c r="E107" s="3594" t="str">
        <f>IF(项目基本情况!E8="已注销","——","3.房地产抵押价值")</f>
        <v>3.房地产抵押价值</v>
      </c>
      <c r="F107" s="3554"/>
      <c r="G107" s="1272" t="s">
        <v>373</v>
      </c>
      <c r="H107" s="2009">
        <f ca="1">IF(E107="——","——",H101-H103)</f>
        <v>218994</v>
      </c>
      <c r="I107" s="2304"/>
    </row>
    <row r="108" spans="1:35" ht="18.75" customHeight="1">
      <c r="A108" s="2304"/>
      <c r="B108" s="2304"/>
      <c r="C108" s="2304"/>
      <c r="D108" s="2304"/>
      <c r="E108" s="3594"/>
      <c r="F108" s="3554"/>
      <c r="G108" s="1272" t="s">
        <v>374</v>
      </c>
      <c r="H108" s="715">
        <f ca="1">ROUND(H107*10000/'数据-汇总表'!E3,0)</f>
        <v>15110</v>
      </c>
      <c r="I108" s="2304"/>
      <c r="K108" s="1471" t="s">
        <v>3560</v>
      </c>
      <c r="L108" s="3381">
        <f ca="1">H107/L100*10000</f>
        <v>15109.831822964221</v>
      </c>
      <c r="M108" s="1471">
        <f ca="1">ROUND(H107/M100*10000,0)</f>
        <v>6626</v>
      </c>
    </row>
    <row r="109" spans="1:35" ht="18.75" customHeight="1">
      <c r="A109" s="2304"/>
      <c r="B109" s="2304"/>
      <c r="C109" s="2304"/>
      <c r="D109" s="2304"/>
      <c r="E109" s="3594" t="str">
        <f>IF(项目基本情况!E8="已注销及未注销","4.抵押担保权已注销时的房地产抵押价值",IF(项目基本情况!E8="已注销","3.抵押担保权已注销时的房地产抵押价值","——"))</f>
        <v>4.抵押担保权已注销时的房地产抵押价值</v>
      </c>
      <c r="F109" s="3554"/>
      <c r="G109" s="1272" t="s">
        <v>373</v>
      </c>
      <c r="H109" s="689">
        <f ca="1">IF(E109="——","——",H101-H105-H106)</f>
        <v>218994</v>
      </c>
      <c r="I109" s="2304"/>
      <c r="L109" s="3381"/>
    </row>
    <row r="110" spans="1:35" ht="18.75" customHeight="1">
      <c r="A110" s="2304"/>
      <c r="B110" s="2304"/>
      <c r="C110" s="2304"/>
      <c r="D110" s="2304"/>
      <c r="E110" s="3594"/>
      <c r="F110" s="3554"/>
      <c r="G110" s="1272" t="s">
        <v>374</v>
      </c>
      <c r="H110" s="715">
        <f ca="1">IF(H109="——","——",ROUND(H109*10000/'数据-汇总表'!E3,0))</f>
        <v>15110</v>
      </c>
      <c r="I110" s="2304"/>
      <c r="L110" s="3381"/>
    </row>
    <row r="111" spans="1:35" ht="18.75" customHeight="1">
      <c r="A111" s="2304"/>
      <c r="B111" s="2304"/>
      <c r="C111" s="2304"/>
      <c r="D111" s="2304"/>
      <c r="E111" s="3595" t="str">
        <f>IF(项目基本情况!E9="抵押净值",IF(OR(项目基本情况!E8="已注销",项目基本情况!E8="房地产抵押价值"),"4.抵押净值","5.抵押净值"),"——")</f>
        <v>5.抵押净值</v>
      </c>
      <c r="F111" s="3596"/>
      <c r="G111" s="1272" t="s">
        <v>373</v>
      </c>
      <c r="H111" s="2009">
        <f ca="1">IF(E111="——","——",N58)</f>
        <v>203630</v>
      </c>
      <c r="I111" s="2304"/>
      <c r="L111" s="3381"/>
    </row>
    <row r="112" spans="1:35" ht="18.75" customHeight="1" thickBot="1">
      <c r="A112" s="2304"/>
      <c r="B112" s="2304"/>
      <c r="C112" s="2304"/>
      <c r="D112" s="2304"/>
      <c r="E112" s="3597"/>
      <c r="F112" s="3598"/>
      <c r="G112" s="1276" t="s">
        <v>374</v>
      </c>
      <c r="H112" s="1427">
        <f ca="1">IF(E111="——","——",N60)</f>
        <v>14050</v>
      </c>
      <c r="I112" s="2304"/>
      <c r="K112" s="1471" t="s">
        <v>3560</v>
      </c>
      <c r="L112" s="3381">
        <f ca="1">H111/L100*10000</f>
        <v>14049.768733893186</v>
      </c>
      <c r="M112" s="1471">
        <f ca="1">ROUND(H111/M100*10000,0)</f>
        <v>6161</v>
      </c>
    </row>
    <row r="113" spans="1:11" ht="18.75" customHeight="1">
      <c r="A113" s="2304"/>
      <c r="B113" s="2304"/>
      <c r="C113" s="2304"/>
      <c r="D113" s="2304"/>
      <c r="E113" s="3603" t="s">
        <v>2357</v>
      </c>
      <c r="F113" s="3603"/>
      <c r="G113" s="3603"/>
      <c r="H113" s="3603"/>
      <c r="I113" s="2304"/>
    </row>
    <row r="114" spans="1:11" ht="3.75" customHeight="1">
      <c r="A114" s="1247"/>
      <c r="B114" s="1247"/>
      <c r="C114" s="1247"/>
      <c r="D114" s="1247"/>
      <c r="E114" s="1262"/>
      <c r="F114" s="1262"/>
      <c r="G114" s="1262"/>
      <c r="H114" s="1262"/>
      <c r="I114" s="1247"/>
    </row>
    <row r="115" spans="1:11" ht="18.75" customHeight="1">
      <c r="A115" s="3613" t="s">
        <v>390</v>
      </c>
      <c r="B115" s="3614"/>
      <c r="C115" s="3614"/>
      <c r="D115" s="3614"/>
      <c r="E115" s="3614"/>
      <c r="F115" s="3614"/>
      <c r="G115" s="3614"/>
      <c r="H115" s="3614"/>
      <c r="I115" s="3615"/>
    </row>
    <row r="116" spans="1:11" ht="27" customHeight="1">
      <c r="A116" s="3521" t="s">
        <v>5</v>
      </c>
      <c r="B116" s="3570" t="s">
        <v>1023</v>
      </c>
      <c r="C116" s="3570" t="s">
        <v>1024</v>
      </c>
      <c r="D116" s="3579" t="s">
        <v>369</v>
      </c>
      <c r="E116" s="3580"/>
      <c r="F116" s="3609" t="s">
        <v>2749</v>
      </c>
      <c r="G116" s="3609"/>
      <c r="H116" s="3521" t="s">
        <v>6</v>
      </c>
      <c r="I116" s="3521"/>
    </row>
    <row r="117" spans="1:11" ht="18.75" customHeight="1">
      <c r="A117" s="3521"/>
      <c r="B117" s="3571"/>
      <c r="C117" s="3571"/>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144934.76999999999</v>
      </c>
      <c r="C118" s="1942">
        <f>M19</f>
        <v>24804.11</v>
      </c>
      <c r="D118" s="1942">
        <f ca="1">ROUND(IF(D32="总价",C34,E118*B118/10000),0)</f>
        <v>192706</v>
      </c>
      <c r="E118" s="1942">
        <f ca="1">ROUND(IF(C33="自定义",IF(D32="楼面单价",C34,D118*10000/B118),I118-G118),0)</f>
        <v>13296</v>
      </c>
      <c r="F118" s="1942">
        <f ca="1">ROUND(IF(D32="总价",C35,G118*B118/10000),0)</f>
        <v>43453</v>
      </c>
      <c r="G118" s="1942">
        <f ca="1">ROUND(IF(D32="楼面单价",C35,F118*10000/B118),0)</f>
        <v>2998</v>
      </c>
      <c r="H118" s="1942">
        <f ca="1">ROUND(IF(D32="总价",C32,I118*B118/10000),0)</f>
        <v>236159</v>
      </c>
      <c r="I118" s="1942">
        <f ca="1">ROUND(IF(D32="楼面单价",C32,H118*10000/B118),0)</f>
        <v>16294</v>
      </c>
    </row>
    <row r="119" spans="1:11" ht="24" customHeight="1">
      <c r="A119" s="3521" t="s">
        <v>9</v>
      </c>
      <c r="B119" s="3521"/>
      <c r="C119" s="3521"/>
      <c r="D119" s="3572" t="str">
        <f ca="1">NUMBERSTRING(INT(D118*10000),2)&amp;"元整"</f>
        <v>壹拾玖亿贰仟柒佰零陆万元整</v>
      </c>
      <c r="E119" s="3573"/>
      <c r="F119" s="3572" t="str">
        <f ca="1">NUMBERSTRING(INT(F118*10000),2)&amp;"元整"</f>
        <v>肆亿叁仟肆佰伍拾叁万元整</v>
      </c>
      <c r="G119" s="3573"/>
      <c r="H119" s="3572" t="str">
        <f ca="1">NUMBERSTRING(INT(H118*10000),2)&amp;"元整"</f>
        <v>贰拾叁亿陆仟壹佰伍拾玖万元整</v>
      </c>
      <c r="I119" s="3573"/>
    </row>
    <row r="120" spans="1:11" ht="18.75" customHeight="1">
      <c r="A120" s="3574" t="str">
        <f>MID(E103,3,LEN(E103)-2)</f>
        <v>估价师知悉的法定优先受偿款</v>
      </c>
      <c r="B120" s="3575"/>
      <c r="C120" s="3576"/>
      <c r="D120" s="3567">
        <f>H103</f>
        <v>17165</v>
      </c>
      <c r="E120" s="3568"/>
      <c r="F120" s="3568"/>
      <c r="G120" s="3568"/>
      <c r="H120" s="3568"/>
      <c r="I120" s="3569"/>
      <c r="K120" s="1438" t="str">
        <f>IF(D120=0,"故，本次评估不存在"&amp;A120,"故，本次评估"&amp;A120&amp;"为人民币"&amp;D120&amp;"万元整。")</f>
        <v>故，本次评估估价师知悉的法定优先受偿款为人民币17165万元整。</v>
      </c>
    </row>
    <row r="121" spans="1:11" ht="18.75" customHeight="1">
      <c r="A121" s="3610" t="s">
        <v>9</v>
      </c>
      <c r="B121" s="3611"/>
      <c r="C121" s="3612"/>
      <c r="D121" s="3572" t="str">
        <f>IF(D120=0,"零元整",NUMBERSTRING(INT(D120*10000),2)&amp;"元整")</f>
        <v>壹亿柒仟壹佰陆拾伍万元整</v>
      </c>
      <c r="E121" s="3577"/>
      <c r="F121" s="3577"/>
      <c r="G121" s="3577"/>
      <c r="H121" s="3577"/>
      <c r="I121" s="3573"/>
    </row>
    <row r="122" spans="1:11" ht="18.75" customHeight="1">
      <c r="A122" s="3581" t="str">
        <f>MID(E107,3,LEN(E107)-2)</f>
        <v>房地产抵押价值</v>
      </c>
      <c r="B122" s="3581"/>
      <c r="C122" s="3581"/>
      <c r="D122" s="3567">
        <f ca="1">H107</f>
        <v>218994</v>
      </c>
      <c r="E122" s="3568"/>
      <c r="F122" s="3568"/>
      <c r="G122" s="3568"/>
      <c r="H122" s="3568"/>
      <c r="I122" s="3569"/>
    </row>
    <row r="123" spans="1:11" ht="18.75" customHeight="1">
      <c r="A123" s="3521" t="s">
        <v>9</v>
      </c>
      <c r="B123" s="3521"/>
      <c r="C123" s="3521"/>
      <c r="D123" s="3572" t="str">
        <f ca="1">NUMBERSTRING(INT(D122*10000),2)&amp;"元整"</f>
        <v>贰拾壹亿捌仟玖佰玖拾肆万元整</v>
      </c>
      <c r="E123" s="3577"/>
      <c r="F123" s="3577"/>
      <c r="G123" s="3577"/>
      <c r="H123" s="3577"/>
      <c r="I123" s="3573"/>
    </row>
    <row r="124" spans="1:11" ht="18.75" customHeight="1">
      <c r="A124" s="3581" t="str">
        <f>MID(E109,3,LEN(E109)-2)</f>
        <v>抵押担保权已注销时的房地产抵押价值</v>
      </c>
      <c r="B124" s="3581"/>
      <c r="C124" s="3581"/>
      <c r="D124" s="3567">
        <f ca="1">H109</f>
        <v>218994</v>
      </c>
      <c r="E124" s="3568"/>
      <c r="F124" s="3568"/>
      <c r="G124" s="3568"/>
      <c r="H124" s="3568"/>
      <c r="I124" s="3569"/>
    </row>
    <row r="125" spans="1:11" ht="18.75" customHeight="1">
      <c r="A125" s="3521" t="s">
        <v>9</v>
      </c>
      <c r="B125" s="3521"/>
      <c r="C125" s="3521"/>
      <c r="D125" s="3572" t="str">
        <f ca="1">NUMBERSTRING(INT(D124*10000),2)&amp;"元整"</f>
        <v>贰拾壹亿捌仟玖佰玖拾肆万元整</v>
      </c>
      <c r="E125" s="3577"/>
      <c r="F125" s="3577"/>
      <c r="G125" s="3577"/>
      <c r="H125" s="3577"/>
      <c r="I125" s="3573"/>
    </row>
    <row r="126" spans="1:11" ht="18.75" customHeight="1">
      <c r="A126" s="3581" t="str">
        <f>MID(E111,3,LEN(E111)-2)</f>
        <v>抵押净值</v>
      </c>
      <c r="B126" s="3581"/>
      <c r="C126" s="3581"/>
      <c r="D126" s="3567">
        <f ca="1">H111</f>
        <v>203630</v>
      </c>
      <c r="E126" s="3568"/>
      <c r="F126" s="3568"/>
      <c r="G126" s="3568"/>
      <c r="H126" s="3568"/>
      <c r="I126" s="3569"/>
    </row>
    <row r="127" spans="1:11" ht="18.75" customHeight="1">
      <c r="A127" s="3521" t="s">
        <v>9</v>
      </c>
      <c r="B127" s="3521"/>
      <c r="C127" s="3521"/>
      <c r="D127" s="3572" t="str">
        <f ca="1">NUMBERSTRING(INT(D126*10000),2)&amp;"元整"</f>
        <v>贰拾亿叁仟陆佰叁拾万元整</v>
      </c>
      <c r="E127" s="3577"/>
      <c r="F127" s="3577"/>
      <c r="G127" s="3577"/>
      <c r="H127" s="3577"/>
      <c r="I127" s="3573"/>
    </row>
    <row r="128" spans="1:11" ht="21.75" customHeight="1">
      <c r="A128" s="3578" t="s">
        <v>2356</v>
      </c>
      <c r="B128" s="3578"/>
      <c r="C128" s="3578"/>
      <c r="D128" s="3578"/>
      <c r="E128" s="3578"/>
      <c r="F128" s="3578"/>
      <c r="G128" s="3578"/>
      <c r="H128" s="3578"/>
      <c r="I128" s="3578"/>
    </row>
    <row r="129" spans="1:35" ht="21.75" customHeight="1">
      <c r="A129" s="2051" t="s">
        <v>1026</v>
      </c>
      <c r="B129" s="2052"/>
      <c r="C129" s="472" t="s">
        <v>239</v>
      </c>
      <c r="D129" s="2053"/>
      <c r="E129" s="2053"/>
      <c r="F129" s="2053"/>
      <c r="G129" s="2053"/>
      <c r="H129" s="2054"/>
      <c r="I129" s="2055"/>
    </row>
    <row r="130" spans="1:35" ht="21.75" customHeight="1">
      <c r="A130" s="1461">
        <v>1</v>
      </c>
      <c r="B130" s="3420" t="s">
        <v>3559</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3" t="s">
        <v>3584</v>
      </c>
      <c r="C137" s="1471"/>
      <c r="D137" s="1471" t="s">
        <v>3587</v>
      </c>
      <c r="E137" s="1471"/>
      <c r="F137" s="1471"/>
      <c r="G137" s="1471"/>
      <c r="H137" s="1471"/>
      <c r="I137" s="1471"/>
    </row>
    <row r="138" spans="1:35" ht="21.75" customHeight="1">
      <c r="A138" s="1471"/>
      <c r="B138" s="1473" t="s">
        <v>3588</v>
      </c>
      <c r="C138" s="1473"/>
      <c r="D138" s="3430" t="s">
        <v>3593</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1"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G57" sqref="A1:G57"/>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244943</v>
      </c>
      <c r="C2" s="85" t="s">
        <v>1105</v>
      </c>
      <c r="D2" s="2909" t="s">
        <v>755</v>
      </c>
      <c r="E2" s="2907" t="e">
        <f ca="1">SUMIF(INDIRECT("'"&amp;G2&amp;"'"&amp;"!A:A"),"承租人权益价值",INDIRECT("'"&amp;G2&amp;"'"&amp;"!c:c"))</f>
        <v>#REF!</v>
      </c>
      <c r="F2" s="2905" t="s">
        <v>1105</v>
      </c>
      <c r="G2" s="2908" t="s">
        <v>2829</v>
      </c>
    </row>
    <row r="3" spans="1:9" s="580" customFormat="1" ht="18" customHeight="1" thickBot="1">
      <c r="A3" s="583" t="s">
        <v>636</v>
      </c>
      <c r="B3" s="584">
        <f ca="1">ROUND(B2*10000/(IF(B1="",'数据-汇总表'!E3,INDIRECT("'数据-取费表'!k"&amp;$G$1))),0)</f>
        <v>16900</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2905</v>
      </c>
      <c r="B5" s="590" t="s">
        <v>1059</v>
      </c>
      <c r="C5" s="591">
        <f>C6+C7+C8</f>
        <v>145714</v>
      </c>
      <c r="D5" s="591" t="s">
        <v>1060</v>
      </c>
      <c r="E5" s="592" t="s">
        <v>1061</v>
      </c>
      <c r="F5" s="592" t="s">
        <v>1062</v>
      </c>
      <c r="G5" s="593"/>
    </row>
    <row r="6" spans="1:9" s="594" customFormat="1" ht="13.5" customHeight="1">
      <c r="A6" s="1826" t="s">
        <v>2272</v>
      </c>
      <c r="B6" s="595" t="s">
        <v>1063</v>
      </c>
      <c r="C6" s="596">
        <f>'土地比较法-住宅、综合'!B2</f>
        <v>137674</v>
      </c>
      <c r="D6" s="597"/>
      <c r="E6" s="598"/>
      <c r="F6" s="598"/>
      <c r="G6" s="599"/>
    </row>
    <row r="7" spans="1:9" s="594" customFormat="1" ht="13.5" customHeight="1">
      <c r="A7" s="1826" t="s">
        <v>2273</v>
      </c>
      <c r="B7" s="595" t="s">
        <v>512</v>
      </c>
      <c r="C7" s="600">
        <f>ROUND(C6*F7,0)</f>
        <v>5576</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2464</v>
      </c>
      <c r="D8" s="602"/>
      <c r="E8" s="600"/>
      <c r="F8" s="601"/>
      <c r="G8" s="84" t="s">
        <v>3382</v>
      </c>
    </row>
    <row r="9" spans="1:9" s="594" customFormat="1" ht="13.5" customHeight="1">
      <c r="A9" s="1827" t="s">
        <v>2281</v>
      </c>
      <c r="B9" s="604" t="s">
        <v>1065</v>
      </c>
      <c r="C9" s="605">
        <f ca="1">ROUND(D9*E9/10000,0)</f>
        <v>1115</v>
      </c>
      <c r="D9" s="1931">
        <f ca="1">IF(B1="",'数据-汇总表'!E5,IF(INDIRECT("'数据-取费表'!c"&amp;$G$1)="住宅",INDIRECT("'数据-取费表'!k"&amp;$G$1),0))</f>
        <v>65599.03</v>
      </c>
      <c r="E9" s="605">
        <f>'数据-取费表'!B27</f>
        <v>170</v>
      </c>
      <c r="F9" s="601"/>
      <c r="G9" s="2839" t="s">
        <v>3569</v>
      </c>
      <c r="H9" s="2840">
        <f>'数据-取费表'!B29</f>
        <v>2464</v>
      </c>
      <c r="I9" s="2841" t="s">
        <v>3088</v>
      </c>
    </row>
    <row r="10" spans="1:9" s="594" customFormat="1" ht="13.5" customHeight="1">
      <c r="A10" s="1827" t="s">
        <v>2282</v>
      </c>
      <c r="B10" s="604" t="s">
        <v>1066</v>
      </c>
      <c r="C10" s="605">
        <f ca="1">ROUND(D10*E10/10000,0)</f>
        <v>1349</v>
      </c>
      <c r="D10" s="1931">
        <f ca="1">IF(B1="",'数据-汇总表'!E6,IF(INDIRECT("'数据-取费表'!c"&amp;$G$1)="住宅",INDIRECT("'数据-取费表'!s"&amp;$G$1),INDIRECT("'数据-取费表'!k"&amp;$G$1)+INDIRECT("'数据-取费表'!s"&amp;$G$1)))</f>
        <v>79335.739999999991</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t="str">
        <f>IF(G19="已包含在土地取得成本中","0",ROUND(D19*E19/10000,0))</f>
        <v>0</v>
      </c>
      <c r="D19" s="1935">
        <f ca="1">D9+D10</f>
        <v>144934.76999999999</v>
      </c>
      <c r="E19" s="591">
        <f>'数据-取费表'!B31</f>
        <v>200</v>
      </c>
      <c r="F19" s="611"/>
      <c r="G19" s="84" t="s">
        <v>3363</v>
      </c>
    </row>
    <row r="20" spans="1:7" s="594" customFormat="1" ht="13.5" customHeight="1">
      <c r="A20" s="1825" t="s">
        <v>2908</v>
      </c>
      <c r="B20" s="590" t="s">
        <v>1076</v>
      </c>
      <c r="C20" s="612">
        <f>ROUND((C5+C19)*F20,0)</f>
        <v>2186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15776</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36">
        <f ca="1">ROUND(IF('数据-取费表'!B22&lt;=1,C5*F22*'数据-取费表'!B23,C5*(POWER((1+F22),'数据-取费表'!B23)-1)),0)</f>
        <v>15662</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2909</v>
      </c>
      <c r="C25" s="2736">
        <f ca="1">ROUND(IF('数据-取费表'!B22&lt;=1,C20*F22*'数据-取费表'!B23/2,C20*(POWER((1+F22),'数据-取费表'!B23/2)-1)),0)</f>
        <v>114</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20824</v>
      </c>
      <c r="D27" s="615">
        <f ca="1">C29</f>
        <v>2.8E-3</v>
      </c>
      <c r="E27" s="616" t="s">
        <v>1098</v>
      </c>
      <c r="F27" s="626">
        <f ca="1">IF(B1="",'数据-取费表'!Q16,INDIRECT("'数据-取费表'!q"&amp;$G$1))</f>
        <v>0.16</v>
      </c>
      <c r="G27" s="627" t="s">
        <v>2920</v>
      </c>
    </row>
    <row r="28" spans="1:7" s="594" customFormat="1" ht="13.5" customHeight="1">
      <c r="A28" s="1828" t="s">
        <v>2272</v>
      </c>
      <c r="B28" s="628" t="s">
        <v>2913</v>
      </c>
      <c r="C28" s="629">
        <f ca="1">ROUND((C5+C19+C20)*F27*'数据-取费表'!B21/'数据-取费表'!B20,0)</f>
        <v>20824</v>
      </c>
      <c r="D28" s="615"/>
      <c r="E28" s="616"/>
      <c r="F28" s="626"/>
      <c r="G28" s="627"/>
    </row>
    <row r="29" spans="1:7" s="594" customFormat="1" ht="13.5" customHeight="1">
      <c r="A29" s="1828" t="s">
        <v>2273</v>
      </c>
      <c r="B29" s="628" t="s">
        <v>2914</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3345</v>
      </c>
      <c r="E30" s="621"/>
      <c r="F30" s="617">
        <f>'数据-取费表'!B41</f>
        <v>5.6000000000000001E-2</v>
      </c>
      <c r="G30" s="2655" t="s">
        <v>3346</v>
      </c>
    </row>
    <row r="31" spans="1:7" ht="16.5" customHeight="1">
      <c r="A31" s="589">
        <v>1</v>
      </c>
      <c r="B31" s="590" t="s">
        <v>1100</v>
      </c>
      <c r="C31" s="591">
        <f ca="1">ROUND((C5+C19+C20+C22+C27)/(1-C21-D22-D27-C30),0)</f>
        <v>199913</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33757.4</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29652</v>
      </c>
      <c r="D34" s="597"/>
      <c r="E34" s="600"/>
      <c r="F34" s="637">
        <f ca="1">IF('数据-取费表'!B24=0,1,IF(B1="",'数据-取费表'!N16,INDIRECT("'数据-取费表'!n"&amp;$G$1)))</f>
        <v>0.752</v>
      </c>
      <c r="G34" s="599" t="s">
        <v>1088</v>
      </c>
    </row>
    <row r="35" spans="1:7" ht="13.5" customHeight="1">
      <c r="A35" s="1828" t="s">
        <v>2277</v>
      </c>
      <c r="B35" s="595" t="s">
        <v>515</v>
      </c>
      <c r="C35" s="600">
        <f ca="1">ROUND(C34*F35,0)</f>
        <v>890</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590.4</v>
      </c>
      <c r="D36" s="600"/>
      <c r="E36" s="600"/>
      <c r="F36" s="639">
        <f>'数据-取费表'!B34</f>
        <v>0.05</v>
      </c>
      <c r="G36" s="640" t="s">
        <v>517</v>
      </c>
    </row>
    <row r="37" spans="1:7" s="638" customFormat="1" ht="13.5" customHeight="1">
      <c r="A37" s="1828" t="s">
        <v>2279</v>
      </c>
      <c r="B37" s="595" t="s">
        <v>1090</v>
      </c>
      <c r="C37" s="629">
        <f ca="1">ROUND(E37*D37*F34/10000,0)</f>
        <v>2180</v>
      </c>
      <c r="D37" s="597">
        <f ca="1">D19</f>
        <v>144934.76999999999</v>
      </c>
      <c r="E37" s="629">
        <f>'数据-取费表'!B35</f>
        <v>200</v>
      </c>
      <c r="F37" s="639"/>
      <c r="G37" s="641" t="s">
        <v>1091</v>
      </c>
    </row>
    <row r="38" spans="1:7" ht="13.5" customHeight="1">
      <c r="A38" s="1828" t="s">
        <v>2280</v>
      </c>
      <c r="B38" s="595" t="s">
        <v>518</v>
      </c>
      <c r="C38" s="600">
        <f ca="1">ROUND(C34*F38,0)</f>
        <v>445</v>
      </c>
      <c r="D38" s="600"/>
      <c r="E38" s="600"/>
      <c r="F38" s="639">
        <f>'数据-取费表'!B36</f>
        <v>1.4999999999999999E-2</v>
      </c>
      <c r="G38" s="599" t="s">
        <v>1089</v>
      </c>
    </row>
    <row r="39" spans="1:7" s="594" customFormat="1" ht="13.5" customHeight="1">
      <c r="A39" s="1825" t="s">
        <v>2264</v>
      </c>
      <c r="B39" s="590" t="s">
        <v>1076</v>
      </c>
      <c r="C39" s="612">
        <f ca="1">ROUND(C33*F20,0)</f>
        <v>506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ROUND(IF('数据-取费表'!B22&lt;=1,C33*F22*'数据-取费表'!B21/2,C33*(POWER((1+F22),'数据-取费表'!B21/2)-1)),0)</f>
        <v>1768</v>
      </c>
      <c r="D42" s="618"/>
      <c r="E42" s="618"/>
      <c r="F42" s="619"/>
      <c r="G42" s="3647" t="s">
        <v>1093</v>
      </c>
    </row>
    <row r="43" spans="1:7" ht="13.5" customHeight="1">
      <c r="A43" s="1828" t="s">
        <v>2273</v>
      </c>
      <c r="B43" s="595" t="s">
        <v>2915</v>
      </c>
      <c r="C43" s="618">
        <f ca="1">ROUND(IF('数据-取费表'!B22&lt;=1,C39*F22*'数据-取费表'!B21/2,C39*(POWER((1+F22),'数据-取费表'!B21/2)-1)),0)</f>
        <v>27</v>
      </c>
      <c r="D43" s="618"/>
      <c r="E43" s="618"/>
      <c r="F43" s="619"/>
      <c r="G43" s="3648"/>
    </row>
    <row r="44" spans="1:7" ht="13.5" customHeight="1">
      <c r="A44" s="1828" t="s">
        <v>2274</v>
      </c>
      <c r="B44" s="595" t="s">
        <v>2917</v>
      </c>
      <c r="C44" s="618">
        <f ca="1">ROUND(IF('数据-取费表'!B22&lt;=1,C40*F22*'数据-取费表'!B21/2,C40*(POWER((1+F22),'数据-取费表'!B21/2)-1)),4)</f>
        <v>1E-3</v>
      </c>
      <c r="D44" s="618"/>
      <c r="E44" s="618"/>
      <c r="F44" s="619"/>
      <c r="G44" s="3649"/>
    </row>
    <row r="45" spans="1:7" s="594" customFormat="1" ht="13.5" customHeight="1">
      <c r="A45" s="1825" t="s">
        <v>2267</v>
      </c>
      <c r="B45" s="624" t="s">
        <v>1084</v>
      </c>
      <c r="C45" s="625">
        <f ca="1">C46</f>
        <v>5482</v>
      </c>
      <c r="D45" s="615">
        <f ca="1">C47</f>
        <v>3.2000000000000002E-3</v>
      </c>
      <c r="E45" s="616" t="s">
        <v>1101</v>
      </c>
      <c r="F45" s="626"/>
      <c r="G45" s="627" t="s">
        <v>2923</v>
      </c>
    </row>
    <row r="46" spans="1:7" s="594" customFormat="1" ht="13.5" customHeight="1">
      <c r="A46" s="1828" t="s">
        <v>2272</v>
      </c>
      <c r="B46" s="628" t="s">
        <v>2916</v>
      </c>
      <c r="C46" s="629">
        <f ca="1">ROUND((C33+C39)*F27,0)</f>
        <v>5482</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3347</v>
      </c>
      <c r="E48" s="612"/>
      <c r="F48" s="617"/>
      <c r="G48" s="2655" t="s">
        <v>3348</v>
      </c>
    </row>
    <row r="49" spans="1:7" ht="16.5" customHeight="1">
      <c r="A49" s="1825" t="s">
        <v>2269</v>
      </c>
      <c r="B49" s="590" t="s">
        <v>1103</v>
      </c>
      <c r="C49" s="612">
        <f ca="1">ROUND((C33+C39+C41+C45)/(1-C40-D41-D45-C48),0)</f>
        <v>45030</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45030</v>
      </c>
      <c r="D51" s="612"/>
      <c r="E51" s="612"/>
      <c r="F51" s="644"/>
      <c r="G51" s="614" t="s">
        <v>519</v>
      </c>
    </row>
    <row r="52" spans="1:7" s="588" customFormat="1" ht="16.5" thickBot="1">
      <c r="A52" s="645" t="s">
        <v>520</v>
      </c>
      <c r="B52" s="646"/>
      <c r="C52" s="647">
        <f ca="1">C31+C51</f>
        <v>244943</v>
      </c>
      <c r="D52" s="646"/>
      <c r="E52" s="646"/>
      <c r="F52" s="646"/>
      <c r="G52" s="648"/>
    </row>
    <row r="55" spans="1:7" ht="15">
      <c r="B55" s="650" t="s">
        <v>521</v>
      </c>
      <c r="C55" s="651"/>
    </row>
    <row r="56" spans="1:7">
      <c r="B56" s="2911" t="s">
        <v>3102</v>
      </c>
      <c r="C56" s="655">
        <f ca="1">1-C57</f>
        <v>0.81600000000000006</v>
      </c>
    </row>
    <row r="57" spans="1:7">
      <c r="B57" s="2911" t="s">
        <v>3101</v>
      </c>
      <c r="C57" s="654">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J48" sqref="A1:J48"/>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137674</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9499</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66" t="s">
        <v>556</v>
      </c>
      <c r="D4" s="3667"/>
      <c r="E4" s="3668" t="s">
        <v>557</v>
      </c>
      <c r="F4" s="3669"/>
      <c r="G4" s="3666" t="s">
        <v>558</v>
      </c>
      <c r="H4" s="3667"/>
      <c r="I4" s="3666" t="s">
        <v>559</v>
      </c>
      <c r="J4" s="3667"/>
      <c r="K4" s="957" t="s">
        <v>560</v>
      </c>
      <c r="L4" s="2375"/>
      <c r="M4" s="2376"/>
      <c r="N4" s="2376"/>
      <c r="O4" s="2376"/>
      <c r="P4" s="3670" t="s">
        <v>561</v>
      </c>
      <c r="Q4" s="3671"/>
      <c r="R4" s="3655" t="s">
        <v>557</v>
      </c>
      <c r="S4" s="3656"/>
      <c r="T4" s="3655" t="s">
        <v>558</v>
      </c>
      <c r="U4" s="3656"/>
      <c r="V4" s="3678" t="s">
        <v>559</v>
      </c>
      <c r="W4" s="3678"/>
      <c r="X4" s="1322"/>
      <c r="Y4" s="3655" t="s">
        <v>561</v>
      </c>
      <c r="Z4" s="3656"/>
      <c r="AA4" s="3650" t="s">
        <v>557</v>
      </c>
      <c r="AB4" s="3651" t="s">
        <v>558</v>
      </c>
      <c r="AC4" s="3650" t="s">
        <v>559</v>
      </c>
    </row>
    <row r="5" spans="1:30" ht="15">
      <c r="A5" s="751"/>
      <c r="B5" s="752"/>
      <c r="C5" s="3661" t="s">
        <v>1444</v>
      </c>
      <c r="D5" s="3662"/>
      <c r="E5" s="3659" t="s">
        <v>3570</v>
      </c>
      <c r="F5" s="3660"/>
      <c r="G5" s="3661" t="s">
        <v>3615</v>
      </c>
      <c r="H5" s="3662"/>
      <c r="I5" s="3661" t="s">
        <v>3616</v>
      </c>
      <c r="J5" s="3662"/>
      <c r="K5" s="957"/>
      <c r="L5" s="2375"/>
      <c r="M5" s="2376"/>
      <c r="N5" s="2376"/>
      <c r="O5" s="2376"/>
      <c r="P5" s="3672"/>
      <c r="Q5" s="3673"/>
      <c r="R5" s="3657"/>
      <c r="S5" s="3658"/>
      <c r="T5" s="3657"/>
      <c r="U5" s="3658"/>
      <c r="V5" s="3678"/>
      <c r="W5" s="3678"/>
      <c r="X5" s="1322"/>
      <c r="Y5" s="3657"/>
      <c r="Z5" s="3658"/>
      <c r="AA5" s="3651"/>
      <c r="AB5" s="3651"/>
      <c r="AC5" s="3651"/>
    </row>
    <row r="6" spans="1:30" ht="15.75" thickBot="1">
      <c r="A6" s="753"/>
      <c r="B6" s="754"/>
      <c r="C6" s="3663" t="s">
        <v>1447</v>
      </c>
      <c r="D6" s="3664"/>
      <c r="E6" s="3659" t="s">
        <v>3614</v>
      </c>
      <c r="F6" s="3660"/>
      <c r="G6" s="3661" t="s">
        <v>3571</v>
      </c>
      <c r="H6" s="3662"/>
      <c r="I6" s="3661" t="s">
        <v>3572</v>
      </c>
      <c r="J6" s="3662"/>
      <c r="K6" s="957" t="s">
        <v>567</v>
      </c>
      <c r="L6" s="2375"/>
      <c r="M6" s="2376"/>
      <c r="N6" s="2376"/>
      <c r="O6" s="2376"/>
      <c r="P6" s="3674"/>
      <c r="Q6" s="3675"/>
      <c r="R6" s="3657"/>
      <c r="S6" s="3658"/>
      <c r="T6" s="3676"/>
      <c r="U6" s="3677"/>
      <c r="V6" s="3678"/>
      <c r="W6" s="3678"/>
      <c r="X6" s="1322"/>
      <c r="Y6" s="3676"/>
      <c r="Z6" s="3677"/>
      <c r="AA6" s="3652"/>
      <c r="AB6" s="3652"/>
      <c r="AC6" s="3652"/>
    </row>
    <row r="7" spans="1:30" s="412" customFormat="1" ht="27.75" thickBot="1">
      <c r="A7" s="755" t="s">
        <v>568</v>
      </c>
      <c r="B7" s="756"/>
      <c r="C7" s="757">
        <f>'数据-取费表'!B2</f>
        <v>43006</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53" t="s">
        <v>569</v>
      </c>
      <c r="Q7" s="3679"/>
      <c r="R7" s="1323" t="s">
        <v>70</v>
      </c>
      <c r="S7" s="1324">
        <f t="shared" ref="S7:S15" si="0">F7</f>
        <v>100</v>
      </c>
      <c r="T7" s="1323" t="s">
        <v>70</v>
      </c>
      <c r="U7" s="1324">
        <f t="shared" ref="U7:U15" si="1">H7</f>
        <v>96</v>
      </c>
      <c r="V7" s="1323" t="s">
        <v>70</v>
      </c>
      <c r="W7" s="1324">
        <f t="shared" ref="W7:W15" si="2">J7</f>
        <v>96</v>
      </c>
      <c r="X7" s="1325"/>
      <c r="Y7" s="3653" t="s">
        <v>569</v>
      </c>
      <c r="Z7" s="3654"/>
      <c r="AA7" s="1326">
        <f>D7/F7</f>
        <v>1</v>
      </c>
      <c r="AB7" s="1326">
        <f>D7/H7</f>
        <v>1.0416666666666667</v>
      </c>
      <c r="AC7" s="1326">
        <f>D7/J7</f>
        <v>1.0416666666666667</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53" t="s">
        <v>612</v>
      </c>
      <c r="Q8" s="3654"/>
      <c r="R8" s="1323" t="s">
        <v>70</v>
      </c>
      <c r="S8" s="1324">
        <f t="shared" si="0"/>
        <v>100</v>
      </c>
      <c r="T8" s="1323" t="s">
        <v>70</v>
      </c>
      <c r="U8" s="1324">
        <f t="shared" si="1"/>
        <v>100</v>
      </c>
      <c r="V8" s="1323" t="s">
        <v>70</v>
      </c>
      <c r="W8" s="1324">
        <f t="shared" si="2"/>
        <v>100</v>
      </c>
      <c r="X8" s="1325"/>
      <c r="Y8" s="3653" t="s">
        <v>612</v>
      </c>
      <c r="Z8" s="3654"/>
      <c r="AA8" s="1326">
        <f t="shared" ref="AA8:AA45" si="3">D8/F8</f>
        <v>1</v>
      </c>
      <c r="AB8" s="1326">
        <f t="shared" ref="AB8:AB45" si="4">D8/H8</f>
        <v>1</v>
      </c>
      <c r="AC8" s="1326">
        <f t="shared" ref="AC8:AC45" si="5">D8/J8</f>
        <v>1</v>
      </c>
    </row>
    <row r="9" spans="1:30" s="412" customFormat="1" ht="27">
      <c r="A9" s="763" t="s">
        <v>571</v>
      </c>
      <c r="B9" s="367" t="s">
        <v>594</v>
      </c>
      <c r="C9" s="1026" t="s">
        <v>3454</v>
      </c>
      <c r="D9" s="429">
        <v>100</v>
      </c>
      <c r="E9" s="1026" t="s">
        <v>3454</v>
      </c>
      <c r="F9" s="429">
        <f>SUMIF(75:75,E9,76:76)-SUMIF(75:75,C9,76:76)+100</f>
        <v>100</v>
      </c>
      <c r="G9" s="1026" t="s">
        <v>3454</v>
      </c>
      <c r="H9" s="429">
        <f>SUMIF(75:75,G9,76:76)-SUMIF(75:75,C9,76:76)+100</f>
        <v>100</v>
      </c>
      <c r="I9" s="1026" t="s">
        <v>3454</v>
      </c>
      <c r="J9" s="429">
        <f>SUMIF(75:75,I9,76:76)-SUMIF(75:75,C9,76:76)+100</f>
        <v>100</v>
      </c>
      <c r="K9" s="958"/>
      <c r="L9" s="2377"/>
      <c r="M9" s="2378"/>
      <c r="N9" s="2378"/>
      <c r="O9" s="2379"/>
      <c r="P9" s="3665" t="s">
        <v>572</v>
      </c>
      <c r="Q9" s="302" t="str">
        <f t="shared" ref="Q9:Q15" si="6">B9</f>
        <v>用途</v>
      </c>
      <c r="R9" s="1323" t="s">
        <v>70</v>
      </c>
      <c r="S9" s="1324">
        <f t="shared" si="0"/>
        <v>100</v>
      </c>
      <c r="T9" s="1323" t="s">
        <v>70</v>
      </c>
      <c r="U9" s="1324">
        <f t="shared" si="1"/>
        <v>100</v>
      </c>
      <c r="V9" s="1323" t="s">
        <v>70</v>
      </c>
      <c r="W9" s="1324">
        <f t="shared" si="2"/>
        <v>100</v>
      </c>
      <c r="X9" s="1325"/>
      <c r="Y9" s="3620" t="s">
        <v>573</v>
      </c>
      <c r="Z9" s="350" t="str">
        <f t="shared" ref="Z9:Z15" si="7">Q9</f>
        <v>用途</v>
      </c>
      <c r="AA9" s="1326">
        <f t="shared" si="3"/>
        <v>1</v>
      </c>
      <c r="AB9" s="1326">
        <f t="shared" si="4"/>
        <v>1</v>
      </c>
      <c r="AC9" s="1326">
        <f t="shared" si="5"/>
        <v>1</v>
      </c>
    </row>
    <row r="10" spans="1:30" s="775" customFormat="1" ht="27">
      <c r="A10" s="769"/>
      <c r="B10" s="770" t="s">
        <v>574</v>
      </c>
      <c r="C10" s="780" t="s">
        <v>3617</v>
      </c>
      <c r="D10" s="430">
        <v>100</v>
      </c>
      <c r="E10" s="812" t="s">
        <v>3455</v>
      </c>
      <c r="F10" s="430">
        <f>ROUND(100/'数据-取费表'!G16,0)</f>
        <v>101</v>
      </c>
      <c r="G10" s="812" t="s">
        <v>3455</v>
      </c>
      <c r="H10" s="430">
        <f>ROUND(100/'数据-取费表'!G16,0)</f>
        <v>101</v>
      </c>
      <c r="I10" s="812" t="s">
        <v>3455</v>
      </c>
      <c r="J10" s="430">
        <f>ROUND(100/'数据-取费表'!G16,0)</f>
        <v>101</v>
      </c>
      <c r="K10" s="1086"/>
      <c r="L10" s="2380"/>
      <c r="M10" s="2381"/>
      <c r="N10" s="2381"/>
      <c r="O10" s="2382"/>
      <c r="P10" s="3665"/>
      <c r="Q10" s="302" t="str">
        <f t="shared" si="6"/>
        <v>土地使用年限（年）</v>
      </c>
      <c r="R10" s="1323" t="s">
        <v>70</v>
      </c>
      <c r="S10" s="1324">
        <f t="shared" si="0"/>
        <v>101</v>
      </c>
      <c r="T10" s="1323" t="s">
        <v>70</v>
      </c>
      <c r="U10" s="1324">
        <f t="shared" si="1"/>
        <v>101</v>
      </c>
      <c r="V10" s="1323" t="s">
        <v>70</v>
      </c>
      <c r="W10" s="1324">
        <f t="shared" si="2"/>
        <v>101</v>
      </c>
      <c r="X10" s="1325"/>
      <c r="Y10" s="3620"/>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109</v>
      </c>
      <c r="G11" s="777">
        <v>2.5</v>
      </c>
      <c r="H11" s="430">
        <f>LOOKUP(G11,80:80,81:81)-LOOKUP(C11,80:80,81:81)+100</f>
        <v>109</v>
      </c>
      <c r="I11" s="777">
        <v>2.5</v>
      </c>
      <c r="J11" s="430">
        <f>LOOKUP(I11,80:80,81:81)-LOOKUP(C11,80:80,81:81)+100</f>
        <v>109</v>
      </c>
      <c r="K11" s="3424">
        <v>3</v>
      </c>
      <c r="L11" s="2383"/>
      <c r="M11" s="2376"/>
      <c r="N11" s="2376"/>
      <c r="O11" s="2384"/>
      <c r="P11" s="3665"/>
      <c r="Q11" s="302" t="str">
        <f t="shared" si="6"/>
        <v>容积率</v>
      </c>
      <c r="R11" s="1323" t="s">
        <v>70</v>
      </c>
      <c r="S11" s="1324">
        <f t="shared" si="0"/>
        <v>109</v>
      </c>
      <c r="T11" s="1323" t="s">
        <v>70</v>
      </c>
      <c r="U11" s="1324">
        <f t="shared" si="1"/>
        <v>109</v>
      </c>
      <c r="V11" s="1323" t="s">
        <v>70</v>
      </c>
      <c r="W11" s="1324">
        <f t="shared" si="2"/>
        <v>109</v>
      </c>
      <c r="X11" s="1325"/>
      <c r="Y11" s="3620"/>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65"/>
      <c r="Q12" s="302" t="str">
        <f t="shared" si="6"/>
        <v>配建</v>
      </c>
      <c r="R12" s="1323" t="s">
        <v>70</v>
      </c>
      <c r="S12" s="1324">
        <f t="shared" si="0"/>
        <v>100</v>
      </c>
      <c r="T12" s="1323" t="s">
        <v>70</v>
      </c>
      <c r="U12" s="1324">
        <f t="shared" si="1"/>
        <v>100</v>
      </c>
      <c r="V12" s="1323" t="s">
        <v>70</v>
      </c>
      <c r="W12" s="1324">
        <f t="shared" si="2"/>
        <v>100</v>
      </c>
      <c r="X12" s="1325"/>
      <c r="Y12" s="3620"/>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65"/>
      <c r="Q13" s="302">
        <f t="shared" si="6"/>
        <v>111</v>
      </c>
      <c r="R13" s="1323" t="s">
        <v>70</v>
      </c>
      <c r="S13" s="1324">
        <f t="shared" si="0"/>
        <v>100</v>
      </c>
      <c r="T13" s="1323" t="s">
        <v>70</v>
      </c>
      <c r="U13" s="1324">
        <f t="shared" si="1"/>
        <v>100</v>
      </c>
      <c r="V13" s="1323" t="s">
        <v>70</v>
      </c>
      <c r="W13" s="1324">
        <f t="shared" si="2"/>
        <v>100</v>
      </c>
      <c r="X13" s="1325"/>
      <c r="Y13" s="3620"/>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65"/>
      <c r="Q14" s="302">
        <f t="shared" si="6"/>
        <v>111</v>
      </c>
      <c r="R14" s="1323" t="s">
        <v>70</v>
      </c>
      <c r="S14" s="1324">
        <f t="shared" si="0"/>
        <v>100</v>
      </c>
      <c r="T14" s="1323" t="s">
        <v>70</v>
      </c>
      <c r="U14" s="1324">
        <f t="shared" si="1"/>
        <v>100</v>
      </c>
      <c r="V14" s="1323" t="s">
        <v>70</v>
      </c>
      <c r="W14" s="1324">
        <f t="shared" si="2"/>
        <v>100</v>
      </c>
      <c r="X14" s="1325"/>
      <c r="Y14" s="3620"/>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80" t="s">
        <v>577</v>
      </c>
      <c r="Q15" s="1327" t="str">
        <f t="shared" si="6"/>
        <v>居住社区成熟度</v>
      </c>
      <c r="R15" s="1328" t="s">
        <v>70</v>
      </c>
      <c r="S15" s="1329">
        <f t="shared" si="0"/>
        <v>95</v>
      </c>
      <c r="T15" s="1328" t="s">
        <v>70</v>
      </c>
      <c r="U15" s="1329">
        <f t="shared" si="1"/>
        <v>95</v>
      </c>
      <c r="V15" s="1328" t="s">
        <v>70</v>
      </c>
      <c r="W15" s="1329">
        <f t="shared" si="2"/>
        <v>95</v>
      </c>
      <c r="X15" s="1322"/>
      <c r="Y15" s="3680"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81"/>
      <c r="Q16" s="1327"/>
      <c r="R16" s="1328"/>
      <c r="S16" s="1329"/>
      <c r="T16" s="1328"/>
      <c r="U16" s="1329"/>
      <c r="V16" s="1328"/>
      <c r="W16" s="1329"/>
      <c r="X16" s="1322"/>
      <c r="Y16" s="3681"/>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81"/>
      <c r="Q17" s="1327" t="str">
        <f>B17</f>
        <v>商业繁华度</v>
      </c>
      <c r="R17" s="1328" t="s">
        <v>70</v>
      </c>
      <c r="S17" s="1329">
        <f>F17</f>
        <v>97</v>
      </c>
      <c r="T17" s="1328" t="s">
        <v>70</v>
      </c>
      <c r="U17" s="1329">
        <f>H17</f>
        <v>97</v>
      </c>
      <c r="V17" s="1328" t="s">
        <v>70</v>
      </c>
      <c r="W17" s="1329">
        <f>J17</f>
        <v>97</v>
      </c>
      <c r="X17" s="1322"/>
      <c r="Y17" s="3681"/>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81"/>
      <c r="Q18" s="1327"/>
      <c r="R18" s="1328"/>
      <c r="S18" s="1329"/>
      <c r="T18" s="1328"/>
      <c r="U18" s="1329"/>
      <c r="V18" s="1328"/>
      <c r="W18" s="1329"/>
      <c r="X18" s="1322"/>
      <c r="Y18" s="3681"/>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81"/>
      <c r="Q19" s="1327" t="str">
        <f>B19</f>
        <v>办公集聚程度</v>
      </c>
      <c r="R19" s="1328" t="s">
        <v>70</v>
      </c>
      <c r="S19" s="1329">
        <f>F19</f>
        <v>100</v>
      </c>
      <c r="T19" s="1328" t="s">
        <v>70</v>
      </c>
      <c r="U19" s="1329">
        <f>H19</f>
        <v>100</v>
      </c>
      <c r="V19" s="1328" t="s">
        <v>70</v>
      </c>
      <c r="W19" s="1329">
        <f>J19</f>
        <v>100</v>
      </c>
      <c r="X19" s="1322"/>
      <c r="Y19" s="3681"/>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81"/>
      <c r="Q20" s="1327"/>
      <c r="R20" s="1328"/>
      <c r="S20" s="1329"/>
      <c r="T20" s="1328"/>
      <c r="U20" s="1329"/>
      <c r="V20" s="1328"/>
      <c r="W20" s="1329"/>
      <c r="X20" s="1322"/>
      <c r="Y20" s="3681"/>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81"/>
      <c r="Q21" s="1327" t="str">
        <f>B21</f>
        <v>交通便捷度</v>
      </c>
      <c r="R21" s="1328" t="s">
        <v>70</v>
      </c>
      <c r="S21" s="1329">
        <f>F21</f>
        <v>100</v>
      </c>
      <c r="T21" s="1328" t="s">
        <v>70</v>
      </c>
      <c r="U21" s="1329">
        <f>H21</f>
        <v>97</v>
      </c>
      <c r="V21" s="1328" t="s">
        <v>70</v>
      </c>
      <c r="W21" s="1329">
        <f>J21</f>
        <v>97</v>
      </c>
      <c r="X21" s="1322"/>
      <c r="Y21" s="3681"/>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2" t="s">
        <v>124</v>
      </c>
      <c r="H22" s="796"/>
      <c r="I22" s="99" t="s">
        <v>124</v>
      </c>
      <c r="J22" s="796"/>
      <c r="K22" s="1086"/>
      <c r="L22" s="2385"/>
      <c r="M22" s="2376"/>
      <c r="N22" s="2376"/>
      <c r="O22" s="2384"/>
      <c r="P22" s="3681"/>
      <c r="Q22" s="1327"/>
      <c r="R22" s="1328"/>
      <c r="S22" s="1329"/>
      <c r="T22" s="1328"/>
      <c r="U22" s="1329"/>
      <c r="V22" s="1328"/>
      <c r="W22" s="1329"/>
      <c r="X22" s="1322"/>
      <c r="Y22" s="3681"/>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81"/>
      <c r="Q23" s="1327" t="str">
        <f t="shared" ref="Q23:Q37" si="8">B23</f>
        <v>区域土地利用方向</v>
      </c>
      <c r="R23" s="1328" t="s">
        <v>70</v>
      </c>
      <c r="S23" s="1329">
        <f>F23</f>
        <v>100</v>
      </c>
      <c r="T23" s="1328" t="s">
        <v>70</v>
      </c>
      <c r="U23" s="1329">
        <f>H23</f>
        <v>100</v>
      </c>
      <c r="V23" s="1328" t="s">
        <v>70</v>
      </c>
      <c r="W23" s="1329">
        <f>J23</f>
        <v>100</v>
      </c>
      <c r="X23" s="1322"/>
      <c r="Y23" s="3681"/>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81"/>
      <c r="Q24" s="1495"/>
      <c r="R24" s="1328"/>
      <c r="S24" s="1329"/>
      <c r="T24" s="1328"/>
      <c r="U24" s="1329"/>
      <c r="V24" s="1328"/>
      <c r="W24" s="1329"/>
      <c r="X24" s="1494"/>
      <c r="Y24" s="3681"/>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81"/>
      <c r="Q25" s="1327" t="str">
        <f t="shared" si="8"/>
        <v>自然及人文环境状况</v>
      </c>
      <c r="R25" s="1328" t="s">
        <v>70</v>
      </c>
      <c r="S25" s="1329">
        <f>F25</f>
        <v>95</v>
      </c>
      <c r="T25" s="1328" t="s">
        <v>70</v>
      </c>
      <c r="U25" s="1329">
        <f>H25</f>
        <v>95</v>
      </c>
      <c r="V25" s="1328" t="s">
        <v>70</v>
      </c>
      <c r="W25" s="1329">
        <f>J25</f>
        <v>95</v>
      </c>
      <c r="X25" s="1322"/>
      <c r="Y25" s="3681"/>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81"/>
      <c r="Q26" s="1327"/>
      <c r="R26" s="1328"/>
      <c r="S26" s="1329"/>
      <c r="T26" s="1328"/>
      <c r="U26" s="1329"/>
      <c r="V26" s="1328"/>
      <c r="W26" s="1329"/>
      <c r="X26" s="1322"/>
      <c r="Y26" s="3681"/>
      <c r="Z26" s="1330"/>
      <c r="AA26" s="1331">
        <v>1</v>
      </c>
      <c r="AB26" s="1331">
        <v>1</v>
      </c>
      <c r="AC26" s="1331">
        <v>1</v>
      </c>
    </row>
    <row r="27" spans="1:29" s="412" customFormat="1" ht="27">
      <c r="A27" s="996"/>
      <c r="B27" s="1416" t="s">
        <v>3067</v>
      </c>
      <c r="C27" s="158" t="str">
        <f>估价对象房地状况!C21</f>
        <v>估价对象所在区域公共配套设施齐备情况</v>
      </c>
      <c r="D27" s="798">
        <v>100</v>
      </c>
      <c r="E27" s="3440"/>
      <c r="F27" s="798">
        <f>SUMIF(100:100,E28,101:101)-SUMIF(100:100,C28,101:101)+100</f>
        <v>100</v>
      </c>
      <c r="G27" s="3440"/>
      <c r="H27" s="798">
        <f>SUMIF(100:100,G28,101:101)-SUMIF(100:100,C28,101:101)+100</f>
        <v>100</v>
      </c>
      <c r="I27" s="3441"/>
      <c r="J27" s="798">
        <f>SUMIF(100:100,I28,101:101)-SUMIF(100:100,C28,101:101)+100</f>
        <v>100</v>
      </c>
      <c r="K27" s="1087">
        <v>2</v>
      </c>
      <c r="L27" s="2377"/>
      <c r="M27" s="2378"/>
      <c r="N27" s="2378"/>
      <c r="O27" s="2379"/>
      <c r="P27" s="3681"/>
      <c r="Q27" s="302" t="str">
        <f t="shared" si="8"/>
        <v>公共配套设施</v>
      </c>
      <c r="R27" s="1323" t="s">
        <v>70</v>
      </c>
      <c r="S27" s="1324">
        <f>F27</f>
        <v>100</v>
      </c>
      <c r="T27" s="1323" t="s">
        <v>70</v>
      </c>
      <c r="U27" s="1324">
        <f>H27</f>
        <v>100</v>
      </c>
      <c r="V27" s="1323" t="s">
        <v>70</v>
      </c>
      <c r="W27" s="1324">
        <f>J27</f>
        <v>100</v>
      </c>
      <c r="X27" s="1325"/>
      <c r="Y27" s="3681"/>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81"/>
      <c r="Q28" s="302"/>
      <c r="R28" s="1323"/>
      <c r="S28" s="1324"/>
      <c r="T28" s="1323"/>
      <c r="U28" s="1324"/>
      <c r="V28" s="1323"/>
      <c r="W28" s="1324"/>
      <c r="X28" s="1325"/>
      <c r="Y28" s="3681"/>
      <c r="Z28" s="350"/>
      <c r="AA28" s="1331">
        <v>1</v>
      </c>
      <c r="AB28" s="1331">
        <v>1</v>
      </c>
      <c r="AC28" s="1331">
        <v>1</v>
      </c>
    </row>
    <row r="29" spans="1:29" s="412" customFormat="1" ht="15">
      <c r="A29" s="996"/>
      <c r="B29" s="1416" t="s">
        <v>3068</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81"/>
      <c r="Q29" s="2780" t="str">
        <f t="shared" ref="Q29" si="9">B29</f>
        <v>基础设施水平</v>
      </c>
      <c r="R29" s="1323" t="s">
        <v>70</v>
      </c>
      <c r="S29" s="1324">
        <f>F29</f>
        <v>100</v>
      </c>
      <c r="T29" s="1323" t="s">
        <v>70</v>
      </c>
      <c r="U29" s="1324">
        <f>H29</f>
        <v>100</v>
      </c>
      <c r="V29" s="1323" t="s">
        <v>70</v>
      </c>
      <c r="W29" s="1324">
        <f>J29</f>
        <v>100</v>
      </c>
      <c r="X29" s="1325"/>
      <c r="Y29" s="3681"/>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81"/>
      <c r="Q30" s="2780"/>
      <c r="R30" s="1323"/>
      <c r="S30" s="1324"/>
      <c r="T30" s="1323"/>
      <c r="U30" s="1324"/>
      <c r="V30" s="1323"/>
      <c r="W30" s="1324"/>
      <c r="X30" s="1325"/>
      <c r="Y30" s="3681"/>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81"/>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81"/>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81"/>
      <c r="Q32" s="1327" t="str">
        <f t="shared" si="8"/>
        <v>毗邻道路的类型与等级</v>
      </c>
      <c r="R32" s="1328" t="s">
        <v>70</v>
      </c>
      <c r="S32" s="1329">
        <f t="shared" si="10"/>
        <v>98</v>
      </c>
      <c r="T32" s="1328" t="s">
        <v>70</v>
      </c>
      <c r="U32" s="1329">
        <f t="shared" si="11"/>
        <v>100</v>
      </c>
      <c r="V32" s="1328" t="s">
        <v>70</v>
      </c>
      <c r="W32" s="1329">
        <f t="shared" si="12"/>
        <v>98</v>
      </c>
      <c r="X32" s="1322"/>
      <c r="Y32" s="3681"/>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81"/>
      <c r="Q33" s="1327"/>
      <c r="R33" s="1328"/>
      <c r="S33" s="1329"/>
      <c r="T33" s="1328"/>
      <c r="U33" s="1329"/>
      <c r="V33" s="1328"/>
      <c r="W33" s="1329"/>
      <c r="X33" s="1322"/>
      <c r="Y33" s="3681"/>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81"/>
      <c r="Q34" s="1327" t="str">
        <f t="shared" si="8"/>
        <v>土地级别</v>
      </c>
      <c r="R34" s="1328" t="s">
        <v>70</v>
      </c>
      <c r="S34" s="1329">
        <f t="shared" si="10"/>
        <v>100</v>
      </c>
      <c r="T34" s="1328" t="s">
        <v>70</v>
      </c>
      <c r="U34" s="1329">
        <f t="shared" si="11"/>
        <v>100</v>
      </c>
      <c r="V34" s="1328" t="s">
        <v>70</v>
      </c>
      <c r="W34" s="1329">
        <f t="shared" si="12"/>
        <v>100</v>
      </c>
      <c r="X34" s="1322"/>
      <c r="Y34" s="3681"/>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81"/>
      <c r="Q35" s="1327">
        <f t="shared" si="8"/>
        <v>111</v>
      </c>
      <c r="R35" s="1328" t="s">
        <v>70</v>
      </c>
      <c r="S35" s="1329">
        <f t="shared" si="10"/>
        <v>100</v>
      </c>
      <c r="T35" s="1328" t="s">
        <v>70</v>
      </c>
      <c r="U35" s="1329">
        <f t="shared" si="11"/>
        <v>100</v>
      </c>
      <c r="V35" s="1328" t="s">
        <v>70</v>
      </c>
      <c r="W35" s="1329">
        <f t="shared" si="12"/>
        <v>100</v>
      </c>
      <c r="X35" s="1322"/>
      <c r="Y35" s="3681"/>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82" t="s">
        <v>582</v>
      </c>
      <c r="Q36" s="1327">
        <f t="shared" si="8"/>
        <v>111</v>
      </c>
      <c r="R36" s="1328" t="s">
        <v>70</v>
      </c>
      <c r="S36" s="1329">
        <f t="shared" si="10"/>
        <v>100</v>
      </c>
      <c r="T36" s="1328" t="s">
        <v>70</v>
      </c>
      <c r="U36" s="1329">
        <f t="shared" si="11"/>
        <v>100</v>
      </c>
      <c r="V36" s="1328" t="s">
        <v>70</v>
      </c>
      <c r="W36" s="1329">
        <f t="shared" si="12"/>
        <v>100</v>
      </c>
      <c r="X36" s="1322"/>
      <c r="Y36" s="3683"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83"/>
      <c r="Q37" s="1327">
        <f t="shared" si="8"/>
        <v>111</v>
      </c>
      <c r="R37" s="1333" t="s">
        <v>70</v>
      </c>
      <c r="S37" s="1334">
        <f t="shared" si="10"/>
        <v>100</v>
      </c>
      <c r="T37" s="1333" t="s">
        <v>70</v>
      </c>
      <c r="U37" s="1334">
        <f t="shared" si="11"/>
        <v>100</v>
      </c>
      <c r="V37" s="1333" t="s">
        <v>70</v>
      </c>
      <c r="W37" s="1334">
        <f t="shared" si="12"/>
        <v>100</v>
      </c>
      <c r="X37" s="1335"/>
      <c r="Y37" s="3683"/>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83"/>
      <c r="Q38" s="1327" t="str">
        <f>B38</f>
        <v>宗地面积</v>
      </c>
      <c r="R38" s="1328" t="s">
        <v>70</v>
      </c>
      <c r="S38" s="1329">
        <f t="shared" si="10"/>
        <v>99</v>
      </c>
      <c r="T38" s="1328" t="s">
        <v>70</v>
      </c>
      <c r="U38" s="1329">
        <f t="shared" si="11"/>
        <v>98</v>
      </c>
      <c r="V38" s="1328" t="s">
        <v>70</v>
      </c>
      <c r="W38" s="1329">
        <f t="shared" si="12"/>
        <v>105</v>
      </c>
      <c r="X38" s="1322"/>
      <c r="Y38" s="3683"/>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83"/>
      <c r="Q39" s="1327" t="str">
        <f t="shared" ref="Q39:Q45" si="14">B39</f>
        <v>宗地形状</v>
      </c>
      <c r="R39" s="1328" t="s">
        <v>70</v>
      </c>
      <c r="S39" s="1329">
        <f t="shared" si="10"/>
        <v>100</v>
      </c>
      <c r="T39" s="1328" t="s">
        <v>70</v>
      </c>
      <c r="U39" s="1329">
        <f t="shared" si="11"/>
        <v>100</v>
      </c>
      <c r="V39" s="1328" t="s">
        <v>70</v>
      </c>
      <c r="W39" s="1329">
        <f t="shared" si="12"/>
        <v>100</v>
      </c>
      <c r="X39" s="1322"/>
      <c r="Y39" s="3683"/>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83"/>
      <c r="Q40" s="1327" t="str">
        <f t="shared" si="14"/>
        <v>临街宽度及深度</v>
      </c>
      <c r="R40" s="1328" t="s">
        <v>70</v>
      </c>
      <c r="S40" s="1329">
        <f t="shared" si="10"/>
        <v>100</v>
      </c>
      <c r="T40" s="1328" t="s">
        <v>70</v>
      </c>
      <c r="U40" s="1329">
        <f t="shared" si="11"/>
        <v>100</v>
      </c>
      <c r="V40" s="1328" t="s">
        <v>70</v>
      </c>
      <c r="W40" s="1329">
        <f t="shared" si="12"/>
        <v>100</v>
      </c>
      <c r="X40" s="1322"/>
      <c r="Y40" s="3683"/>
      <c r="Z40" s="1330" t="str">
        <f t="shared" si="13"/>
        <v>临街宽度及深度</v>
      </c>
      <c r="AA40" s="1331">
        <f t="shared" si="3"/>
        <v>1</v>
      </c>
      <c r="AB40" s="1331">
        <f t="shared" si="4"/>
        <v>1</v>
      </c>
      <c r="AC40" s="1331">
        <f t="shared" si="5"/>
        <v>1</v>
      </c>
    </row>
    <row r="41" spans="1:29" s="412" customFormat="1" ht="15">
      <c r="A41" s="820"/>
      <c r="B41" s="2645" t="s">
        <v>2896</v>
      </c>
      <c r="C41" s="3315" t="s">
        <v>2170</v>
      </c>
      <c r="D41" s="430">
        <v>100</v>
      </c>
      <c r="E41" s="3432" t="s">
        <v>3585</v>
      </c>
      <c r="F41" s="783">
        <f>SUMIF(123:123,E41,124:124)-SUMIF(123:123,C41,124:124)+100</f>
        <v>98</v>
      </c>
      <c r="G41" s="3432" t="s">
        <v>3586</v>
      </c>
      <c r="H41" s="783">
        <f>SUMIF(123:123,G41,124:124)-SUMIF(123:123,C41,124:124)+100</f>
        <v>96</v>
      </c>
      <c r="I41" s="3432" t="s">
        <v>3585</v>
      </c>
      <c r="J41" s="783">
        <f>SUMIF(123:123,I41,124:124)-SUMIF(123:123,C41,124:124)+100</f>
        <v>98</v>
      </c>
      <c r="K41" s="959">
        <v>1</v>
      </c>
      <c r="L41" s="2377"/>
      <c r="M41" s="2378"/>
      <c r="N41" s="2378"/>
      <c r="O41" s="2379"/>
      <c r="P41" s="3683"/>
      <c r="Q41" s="1327" t="str">
        <f t="shared" si="14"/>
        <v>宗地开发程度</v>
      </c>
      <c r="R41" s="1323" t="s">
        <v>70</v>
      </c>
      <c r="S41" s="1324">
        <f t="shared" si="10"/>
        <v>98</v>
      </c>
      <c r="T41" s="1323" t="s">
        <v>70</v>
      </c>
      <c r="U41" s="1324">
        <f t="shared" si="11"/>
        <v>96</v>
      </c>
      <c r="V41" s="1323" t="s">
        <v>70</v>
      </c>
      <c r="W41" s="1324">
        <f t="shared" si="12"/>
        <v>98</v>
      </c>
      <c r="X41" s="1325"/>
      <c r="Y41" s="3683"/>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83" t="s">
        <v>582</v>
      </c>
      <c r="Q42" s="1327" t="str">
        <f t="shared" si="14"/>
        <v>工程地质条件</v>
      </c>
      <c r="R42" s="1328" t="s">
        <v>70</v>
      </c>
      <c r="S42" s="1329">
        <f t="shared" si="10"/>
        <v>100</v>
      </c>
      <c r="T42" s="1328" t="s">
        <v>70</v>
      </c>
      <c r="U42" s="1329">
        <f t="shared" si="11"/>
        <v>100</v>
      </c>
      <c r="V42" s="1328" t="s">
        <v>70</v>
      </c>
      <c r="W42" s="1329">
        <f t="shared" si="12"/>
        <v>100</v>
      </c>
      <c r="X42" s="1322"/>
      <c r="Y42" s="3683" t="s">
        <v>582</v>
      </c>
      <c r="Z42" s="1330" t="str">
        <f t="shared" si="13"/>
        <v>工程地质条件</v>
      </c>
      <c r="AA42" s="1331">
        <f t="shared" si="3"/>
        <v>1</v>
      </c>
      <c r="AB42" s="1331">
        <f t="shared" si="4"/>
        <v>1</v>
      </c>
      <c r="AC42" s="1331">
        <f t="shared" si="5"/>
        <v>1</v>
      </c>
    </row>
    <row r="43" spans="1:29" ht="15.75" thickBot="1">
      <c r="A43" s="819"/>
      <c r="B43" s="3431" t="s">
        <v>3520</v>
      </c>
      <c r="C43" s="203" t="s">
        <v>3521</v>
      </c>
      <c r="D43" s="783">
        <v>100</v>
      </c>
      <c r="E43" s="203" t="s">
        <v>3573</v>
      </c>
      <c r="F43" s="783">
        <f>SUMIF(127:127,E43,128:128)-SUMIF(127:127,C43,128:128)+100</f>
        <v>95</v>
      </c>
      <c r="G43" s="203" t="s">
        <v>3522</v>
      </c>
      <c r="H43" s="783">
        <f>SUMIF(127:127,G43,128:128)-SUMIF(127:127,C43,128:128)+100</f>
        <v>105</v>
      </c>
      <c r="I43" s="203" t="s">
        <v>3522</v>
      </c>
      <c r="J43" s="783">
        <f>SUMIF(127:127,I43,128:128)-SUMIF(127:127,C43,128:128)+100</f>
        <v>105</v>
      </c>
      <c r="K43" s="960"/>
      <c r="L43" s="2385"/>
      <c r="M43" s="2376"/>
      <c r="N43" s="2376"/>
      <c r="O43" s="2384"/>
      <c r="P43" s="3683"/>
      <c r="Q43" s="1327" t="str">
        <f t="shared" si="14"/>
        <v>居住品质</v>
      </c>
      <c r="R43" s="1328" t="s">
        <v>70</v>
      </c>
      <c r="S43" s="1329">
        <f t="shared" si="10"/>
        <v>95</v>
      </c>
      <c r="T43" s="1328" t="s">
        <v>70</v>
      </c>
      <c r="U43" s="1329">
        <f t="shared" si="11"/>
        <v>105</v>
      </c>
      <c r="V43" s="1328" t="s">
        <v>70</v>
      </c>
      <c r="W43" s="1329">
        <f t="shared" si="12"/>
        <v>105</v>
      </c>
      <c r="X43" s="1322"/>
      <c r="Y43" s="3683"/>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83"/>
      <c r="Q44" s="1327">
        <f t="shared" si="14"/>
        <v>111</v>
      </c>
      <c r="R44" s="1328" t="s">
        <v>70</v>
      </c>
      <c r="S44" s="1329">
        <f t="shared" si="10"/>
        <v>100</v>
      </c>
      <c r="T44" s="1328" t="s">
        <v>70</v>
      </c>
      <c r="U44" s="1329">
        <f t="shared" si="11"/>
        <v>100</v>
      </c>
      <c r="V44" s="1328" t="s">
        <v>70</v>
      </c>
      <c r="W44" s="1329">
        <f t="shared" si="12"/>
        <v>100</v>
      </c>
      <c r="X44" s="1322"/>
      <c r="Y44" s="3683"/>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83"/>
      <c r="Q45" s="1327">
        <f t="shared" si="14"/>
        <v>111</v>
      </c>
      <c r="R45" s="1333" t="s">
        <v>70</v>
      </c>
      <c r="S45" s="1334">
        <f t="shared" si="10"/>
        <v>100</v>
      </c>
      <c r="T45" s="1333" t="s">
        <v>70</v>
      </c>
      <c r="U45" s="1334">
        <f t="shared" si="11"/>
        <v>100</v>
      </c>
      <c r="V45" s="1333" t="s">
        <v>70</v>
      </c>
      <c r="W45" s="1334">
        <f t="shared" si="12"/>
        <v>100</v>
      </c>
      <c r="X45" s="1335"/>
      <c r="Y45" s="3683"/>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65" t="str">
        <f>A46</f>
        <v>成交单价</v>
      </c>
      <c r="Q46" s="3665"/>
      <c r="R46" s="3678">
        <f>E46</f>
        <v>7385</v>
      </c>
      <c r="S46" s="3678"/>
      <c r="T46" s="3678">
        <f>G46</f>
        <v>9108</v>
      </c>
      <c r="U46" s="3678"/>
      <c r="V46" s="3678">
        <f>I46</f>
        <v>9005</v>
      </c>
      <c r="W46" s="3678"/>
      <c r="X46" s="1311"/>
      <c r="Y46" s="1337"/>
      <c r="Z46" s="1311"/>
      <c r="AA46" s="1311"/>
      <c r="AB46" s="1311"/>
      <c r="AC46" s="1311"/>
    </row>
    <row r="47" spans="1:29" ht="15.75" thickBot="1">
      <c r="A47" s="833" t="s">
        <v>584</v>
      </c>
      <c r="B47" s="1097"/>
      <c r="C47" s="837">
        <f>R48</f>
        <v>9499</v>
      </c>
      <c r="D47" s="836"/>
      <c r="E47" s="837">
        <f>R47</f>
        <v>8746</v>
      </c>
      <c r="F47" s="838"/>
      <c r="G47" s="835">
        <f>T47</f>
        <v>10274</v>
      </c>
      <c r="H47" s="836"/>
      <c r="I47" s="837">
        <f>V47</f>
        <v>9476</v>
      </c>
      <c r="J47" s="836"/>
      <c r="K47" s="1405"/>
      <c r="L47" s="2388"/>
      <c r="M47" s="2389"/>
      <c r="N47" s="2389"/>
      <c r="O47" s="2389"/>
      <c r="P47" s="3665" t="str">
        <f>A47</f>
        <v>比较价值（元/平方米）</v>
      </c>
      <c r="Q47" s="3665"/>
      <c r="R47" s="3684">
        <f>ROUND(PRODUCT(R46,AA7:AA45),0)</f>
        <v>8746</v>
      </c>
      <c r="S47" s="3684"/>
      <c r="T47" s="3684">
        <f>ROUND(PRODUCT(T46,AB7:AB45),0)</f>
        <v>10274</v>
      </c>
      <c r="U47" s="3684"/>
      <c r="V47" s="3684">
        <f>ROUND(PRODUCT(V46,AC7:AC45),0)</f>
        <v>9476</v>
      </c>
      <c r="W47" s="3684"/>
      <c r="X47" s="1311"/>
      <c r="Y47" s="1311"/>
      <c r="Z47" s="1311"/>
      <c r="AA47" s="1311"/>
      <c r="AB47" s="1311"/>
      <c r="AC47" s="1311"/>
    </row>
    <row r="48" spans="1:29" ht="15.75" thickBot="1">
      <c r="A48" s="115" t="s">
        <v>736</v>
      </c>
      <c r="B48" s="840"/>
      <c r="C48" s="841">
        <f>R48</f>
        <v>9499</v>
      </c>
      <c r="D48" s="841"/>
      <c r="E48" s="841"/>
      <c r="F48" s="841"/>
      <c r="G48" s="841"/>
      <c r="H48" s="841"/>
      <c r="I48" s="841"/>
      <c r="J48" s="841"/>
      <c r="K48" s="1406"/>
      <c r="L48" s="2388"/>
      <c r="M48" s="2389"/>
      <c r="N48" s="2389"/>
      <c r="O48" s="2389"/>
      <c r="P48" s="3685" t="str">
        <f>A48</f>
        <v>估价对象XX用房的比较价值（楼面单价，元/平方米）</v>
      </c>
      <c r="Q48" s="3686"/>
      <c r="R48" s="3687">
        <f>ROUND(AVERAGE(R47:V47),0)</f>
        <v>9499</v>
      </c>
      <c r="S48" s="3687"/>
      <c r="T48" s="3687"/>
      <c r="U48" s="3687"/>
      <c r="V48" s="3687"/>
      <c r="W48" s="3687"/>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0.18429248476641846</v>
      </c>
      <c r="F51" s="847" t="str">
        <f>IF(OR(E51&gt;=0.3,E51&lt;=-0.3),"超过30%","")</f>
        <v/>
      </c>
      <c r="G51" s="846">
        <f>IF(G46&lt;G47,G47/G46-1,G46/G47-1)</f>
        <v>0.12801932367149749</v>
      </c>
      <c r="H51" s="847" t="str">
        <f>IF(OR(G51&gt;=0.3,G51&lt;=-0.3),"超过30%","")</f>
        <v/>
      </c>
      <c r="I51" s="846">
        <f>IF(I46&lt;I47,I47/I46-1,I46/I47-1)</f>
        <v>5.2304275402554223E-2</v>
      </c>
      <c r="J51" s="847" t="str">
        <f>IF(OR(I51&gt;=0.3,I51&lt;=-0.3),"超过30%","")</f>
        <v/>
      </c>
      <c r="K51" s="2211"/>
      <c r="L51" s="2212"/>
      <c r="M51" s="2389"/>
      <c r="N51" s="2389"/>
      <c r="O51" s="2389"/>
    </row>
    <row r="52" spans="1:15" ht="13.5" customHeight="1">
      <c r="A52" s="2389"/>
      <c r="B52" s="2389"/>
      <c r="C52" s="844" t="s">
        <v>587</v>
      </c>
      <c r="D52" s="848"/>
      <c r="E52" s="846">
        <f>IF(E47&lt;G47,G47/E47-1,E47/G47-1)</f>
        <v>0.17470843814315118</v>
      </c>
      <c r="F52" s="847" t="str">
        <f>IF(OR(E52&gt;=0.2,E52&lt;=-0.2),"超过20%","")</f>
        <v/>
      </c>
      <c r="G52" s="846">
        <f>IF(G47&lt;I47,I47/G47-1,G47/I47-1)</f>
        <v>8.4212747994934611E-2</v>
      </c>
      <c r="H52" s="847" t="str">
        <f>IF(OR(G52&gt;=0.2,G52&lt;=-0.2),"超过20%","")</f>
        <v/>
      </c>
      <c r="I52" s="846">
        <f>IF(I47&lt;E47,E47/I47-1,I47/E47-1)</f>
        <v>8.346672764692431E-2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3439</v>
      </c>
      <c r="D55" s="2420" t="s">
        <v>2691</v>
      </c>
      <c r="E55" s="1100" t="s">
        <v>710</v>
      </c>
      <c r="F55" s="2213" t="s">
        <v>711</v>
      </c>
      <c r="G55" s="3688" t="s">
        <v>2684</v>
      </c>
      <c r="H55" s="3689"/>
      <c r="I55" s="2214" t="s">
        <v>2238</v>
      </c>
      <c r="J55" s="2218" t="str">
        <f>项目基本情况!F35</f>
        <v>河南省郑州市</v>
      </c>
      <c r="K55" s="2403" t="s">
        <v>2240</v>
      </c>
      <c r="L55" s="2212"/>
      <c r="M55" s="2389"/>
      <c r="N55" s="2389"/>
      <c r="O55" s="2389"/>
    </row>
    <row r="56" spans="1:15" s="1106" customFormat="1">
      <c r="A56" s="1102" t="s">
        <v>712</v>
      </c>
      <c r="B56" s="1103">
        <f>C48</f>
        <v>9499</v>
      </c>
      <c r="C56" s="1104">
        <v>1</v>
      </c>
      <c r="D56" s="2421">
        <v>1</v>
      </c>
      <c r="E56" s="1104">
        <f>'数据-汇总表'!E8+'数据-汇总表'!E9</f>
        <v>144934.76999999999</v>
      </c>
      <c r="F56" s="2209">
        <f t="shared" ref="F56:F65" si="15">ROUND(B56*E56/10000,0)</f>
        <v>137674</v>
      </c>
      <c r="G56" s="3690"/>
      <c r="H56" s="3691"/>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92"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92"/>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92"/>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92"/>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144934.76999999999</v>
      </c>
      <c r="F66" s="1111">
        <f>IF(B46="楼面地价",SUM(F56:F65),ROUND(C48*E66/10000,0))</f>
        <v>137674</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2017-9-1</v>
      </c>
      <c r="D68" s="1313">
        <f>EDATE(C68,-3)</f>
        <v>42887</v>
      </c>
      <c r="E68" s="1313">
        <f>EDATE(D68,-3)</f>
        <v>42795</v>
      </c>
      <c r="F68" s="1313">
        <f t="shared" ref="F68:O68" si="18">EDATE(E68,-3)</f>
        <v>42705</v>
      </c>
      <c r="G68" s="1313">
        <f t="shared" si="18"/>
        <v>42614</v>
      </c>
      <c r="H68" s="1313">
        <f t="shared" si="18"/>
        <v>42522</v>
      </c>
      <c r="I68" s="1313">
        <f t="shared" si="18"/>
        <v>42430</v>
      </c>
      <c r="J68" s="1313">
        <f t="shared" si="18"/>
        <v>42339</v>
      </c>
      <c r="K68" s="1313">
        <f t="shared" si="18"/>
        <v>42248</v>
      </c>
      <c r="L68" s="1313">
        <f t="shared" si="18"/>
        <v>42156</v>
      </c>
      <c r="M68" s="1313">
        <f t="shared" si="18"/>
        <v>42064</v>
      </c>
      <c r="N68" s="1313">
        <f t="shared" si="18"/>
        <v>41974</v>
      </c>
      <c r="O68" s="1313">
        <f t="shared" si="18"/>
        <v>41883</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3194</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3380</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3067</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3054</v>
      </c>
      <c r="C102" s="213" t="s">
        <v>3055</v>
      </c>
      <c r="D102" s="213" t="s">
        <v>3056</v>
      </c>
      <c r="E102" s="213" t="s">
        <v>3057</v>
      </c>
      <c r="F102" s="213" t="s">
        <v>3058</v>
      </c>
      <c r="G102" s="213" t="s">
        <v>3059</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2889</v>
      </c>
      <c r="C123" s="139" t="s">
        <v>2890</v>
      </c>
      <c r="D123" s="139" t="s">
        <v>2892</v>
      </c>
      <c r="E123" s="139" t="s">
        <v>2893</v>
      </c>
      <c r="F123" s="139" t="s">
        <v>2894</v>
      </c>
      <c r="G123" s="139" t="s">
        <v>2895</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3523</v>
      </c>
      <c r="D127" s="139" t="s">
        <v>3524</v>
      </c>
      <c r="E127" s="139" t="s">
        <v>3574</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K32" sqref="A1:K32"/>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227375</v>
      </c>
      <c r="C2" s="88" t="s">
        <v>1414</v>
      </c>
      <c r="D2" s="656"/>
      <c r="E2" s="656"/>
      <c r="F2" s="656"/>
      <c r="G2" s="656"/>
      <c r="H2" s="656"/>
      <c r="I2" s="656"/>
      <c r="J2" s="656"/>
      <c r="K2" s="656"/>
    </row>
    <row r="3" spans="1:33" ht="18" customHeight="1" thickBot="1">
      <c r="A3" s="583" t="s">
        <v>1057</v>
      </c>
      <c r="B3" s="584">
        <f ca="1">ROUND(B2*10000/IF(C1="",'数据-汇总表'!E3,INDIRECT("'数据-取费表'!K"&amp;$K$1)),0)</f>
        <v>15688</v>
      </c>
      <c r="C3" s="88" t="s">
        <v>1106</v>
      </c>
      <c r="D3" s="656"/>
      <c r="E3" s="656"/>
      <c r="F3" s="656"/>
      <c r="G3" s="656"/>
      <c r="H3" s="656"/>
      <c r="I3" s="656"/>
      <c r="J3" s="656"/>
      <c r="K3" s="656"/>
    </row>
    <row r="4" spans="1:33" s="1833" customFormat="1" ht="16.5" customHeight="1">
      <c r="A4" s="1830" t="s">
        <v>1108</v>
      </c>
      <c r="B4" s="1831"/>
      <c r="C4" s="1874">
        <f ca="1">SUM(C8:K8)</f>
        <v>273328</v>
      </c>
      <c r="D4" s="1831"/>
      <c r="E4" s="1831"/>
      <c r="F4" s="1831"/>
      <c r="G4" s="1831"/>
      <c r="H4" s="1831"/>
      <c r="I4" s="1831"/>
      <c r="J4" s="1831"/>
      <c r="K4" s="1832"/>
    </row>
    <row r="5" spans="1:33" s="1837" customFormat="1" ht="24">
      <c r="A5" s="1834" t="s">
        <v>1109</v>
      </c>
      <c r="B5" s="1835" t="s">
        <v>1110</v>
      </c>
      <c r="C5" s="1277" t="s">
        <v>42</v>
      </c>
      <c r="D5" s="1277" t="s">
        <v>3581</v>
      </c>
      <c r="E5" s="1277" t="s">
        <v>177</v>
      </c>
      <c r="F5" s="1277" t="s">
        <v>3488</v>
      </c>
      <c r="G5" s="1277" t="s">
        <v>3582</v>
      </c>
      <c r="H5" s="1277" t="s">
        <v>3527</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19233</v>
      </c>
      <c r="D6" s="3355">
        <v>0</v>
      </c>
      <c r="E6" s="3355">
        <f ca="1">'收益法（底商)'!B3</f>
        <v>44899</v>
      </c>
      <c r="F6" s="3326">
        <f>'比较法-公寓'!B3</f>
        <v>16268</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65599.03</v>
      </c>
      <c r="D7" s="657">
        <f>SUMIF('数据-汇总表'!$C19:$C33,假设开发法!D5,'数据-汇总表'!$E19:$E33)</f>
        <v>0</v>
      </c>
      <c r="E7" s="657">
        <f>SUMIF('数据-汇总表'!$C19:$C33,假设开发法!E5,'数据-汇总表'!$E19:$E33)</f>
        <v>6321.0599999999995</v>
      </c>
      <c r="F7" s="657">
        <f>SUMIF('数据-汇总表'!$C19:$C33,假设开发法!F5,'数据-汇总表'!$E19:$E33)</f>
        <v>73014.679999999993</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126167</v>
      </c>
      <c r="D8" s="3356">
        <v>0</v>
      </c>
      <c r="E8" s="3356">
        <f ca="1">'收益法（底商)'!B2</f>
        <v>28381</v>
      </c>
      <c r="F8" s="1876">
        <f>'比较法-公寓'!B2</f>
        <v>118780</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3353</v>
      </c>
      <c r="B11" s="1850" t="s">
        <v>1119</v>
      </c>
      <c r="C11" s="659">
        <f ca="1">IF(C1="",'数据-取费表'!P16,INDIRECT("'数据-取费表'!p"&amp;$K$1)+INDIRECT("'数据-取费表'!ar"&amp;$K$1))</f>
        <v>9766</v>
      </c>
      <c r="D11" s="1851"/>
      <c r="E11" s="719"/>
      <c r="F11" s="1852">
        <f ca="1">1-IF('数据-取费表'!B24=0,1,IF(C1="",'数据-取费表'!N16,INDIRECT("'数据-取费表'!n"&amp;$K$1)))</f>
        <v>0.248</v>
      </c>
      <c r="G11" s="301"/>
      <c r="H11" s="1846"/>
      <c r="I11" s="1846"/>
      <c r="J11" s="1846"/>
      <c r="K11" s="1847"/>
    </row>
    <row r="12" spans="1:33" s="1853" customFormat="1" ht="13.5" customHeight="1">
      <c r="A12" s="1849" t="s">
        <v>3354</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3355</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3356</v>
      </c>
      <c r="B14" s="1850" t="s">
        <v>1124</v>
      </c>
      <c r="C14" s="319">
        <f ca="1">ROUND(D14*E14*F11/10000,0)</f>
        <v>719</v>
      </c>
      <c r="D14" s="1932">
        <f ca="1">IF(C1="",'数据-汇总表'!E3,INDIRECT("'数据-取费表'!K"&amp;$K$1)+INDIRECT("'数据-取费表'!S"&amp;$K$1))</f>
        <v>144934.76999999999</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3357</v>
      </c>
      <c r="B15" s="1850" t="s">
        <v>1131</v>
      </c>
      <c r="C15" s="1861">
        <f ca="1">ROUND(C11*F15,0)</f>
        <v>146</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3358</v>
      </c>
      <c r="C16" s="1861">
        <f ca="1">SUM(C11:C15)</f>
        <v>11121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144934.76999999999</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3359</v>
      </c>
      <c r="B18" s="1850" t="s">
        <v>1128</v>
      </c>
      <c r="C18" s="319">
        <f ca="1">C19+C20-IF(C1="",'数据-取费表'!B29,IF(G18="已全部缴纳",C19+C20,H18))</f>
        <v>0</v>
      </c>
      <c r="D18" s="1932"/>
      <c r="E18" s="319"/>
      <c r="F18" s="1854"/>
      <c r="G18" s="3087" t="s">
        <v>3362</v>
      </c>
      <c r="H18" s="3085"/>
      <c r="I18" s="3086" t="s">
        <v>3202</v>
      </c>
      <c r="J18" s="1857"/>
      <c r="K18" s="1858"/>
    </row>
    <row r="19" spans="1:33" s="1853" customFormat="1" ht="13.5" customHeight="1">
      <c r="A19" s="1849" t="s">
        <v>2286</v>
      </c>
      <c r="B19" s="1850" t="s">
        <v>1129</v>
      </c>
      <c r="C19" s="319">
        <f ca="1">ROUND(D19*E19/10000,0)</f>
        <v>1115</v>
      </c>
      <c r="D19" s="1932">
        <f ca="1">IF(C1="",'数据-汇总表'!E5,IF(INDIRECT("'数据-取费表'!c"&amp;$K$1)="住宅",INDIRECT("'数据-取费表'!k"&amp;$K$1),0))</f>
        <v>65599.03</v>
      </c>
      <c r="E19" s="319">
        <f>'数据-取费表'!B27</f>
        <v>170</v>
      </c>
      <c r="F19" s="1854"/>
      <c r="G19" s="309"/>
      <c r="H19" s="3089"/>
      <c r="I19" s="1859"/>
      <c r="J19" s="1859"/>
      <c r="K19" s="1860"/>
    </row>
    <row r="20" spans="1:33" s="1853" customFormat="1" ht="13.5" customHeight="1">
      <c r="A20" s="1849" t="s">
        <v>2287</v>
      </c>
      <c r="B20" s="1850" t="s">
        <v>1130</v>
      </c>
      <c r="C20" s="319">
        <f ca="1">ROUND(D20*E20/10000,0)</f>
        <v>1349</v>
      </c>
      <c r="D20" s="1932">
        <f ca="1">IF(C1="",'数据-汇总表'!E6,IF(INDIRECT("'数据-取费表'!c"&amp;$K$1)="住宅",INDIRECT("'数据-取费表'!s"&amp;$K$1),INDIRECT("'数据-取费表'!k"&amp;$K$1)+INDIRECT("'数据-取费表'!s"&amp;$K$1)))</f>
        <v>79335.739999999991</v>
      </c>
      <c r="E20" s="319">
        <f>'数据-取费表'!B28</f>
        <v>170</v>
      </c>
      <c r="F20" s="1854"/>
      <c r="G20" s="309"/>
      <c r="H20" s="1859"/>
      <c r="I20" s="1859"/>
      <c r="J20" s="1859"/>
      <c r="K20" s="1860"/>
    </row>
    <row r="21" spans="1:33" s="1853" customFormat="1" ht="13.5" customHeight="1">
      <c r="A21" s="1838" t="s">
        <v>2283</v>
      </c>
      <c r="B21" s="1863" t="s">
        <v>1133</v>
      </c>
      <c r="C21" s="1864">
        <f ca="1">C16+C17+C18</f>
        <v>11121</v>
      </c>
      <c r="D21" s="1865"/>
      <c r="E21" s="661"/>
      <c r="F21" s="661"/>
      <c r="G21" s="475" t="s">
        <v>2925</v>
      </c>
      <c r="H21" s="1857"/>
      <c r="I21" s="1857"/>
      <c r="J21" s="1857"/>
      <c r="K21" s="1858"/>
    </row>
    <row r="22" spans="1:33" s="1853" customFormat="1" ht="13.5" customHeight="1">
      <c r="A22" s="1843" t="s">
        <v>2264</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1356</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3351</v>
      </c>
      <c r="H24" s="1868"/>
      <c r="I24" s="1868"/>
      <c r="J24" s="1868"/>
      <c r="K24" s="1869"/>
    </row>
    <row r="25" spans="1:33" s="1853" customFormat="1" ht="13.5" customHeight="1">
      <c r="A25" s="1843" t="s">
        <v>2267</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3015</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3360</v>
      </c>
      <c r="C28" s="667">
        <f ca="1">C30</f>
        <v>2023</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3016</v>
      </c>
      <c r="C30" s="672">
        <f ca="1">ROUND((C21+C22+C23)*F28,0)</f>
        <v>2023</v>
      </c>
      <c r="D30" s="664"/>
      <c r="E30" s="665"/>
      <c r="F30" s="670"/>
      <c r="G30" s="475"/>
      <c r="H30" s="1857"/>
      <c r="I30" s="1857"/>
      <c r="J30" s="1857"/>
      <c r="K30" s="1858"/>
    </row>
    <row r="31" spans="1:33" s="1853" customFormat="1" ht="13.5" customHeight="1" thickBot="1">
      <c r="A31" s="1884" t="s">
        <v>2269</v>
      </c>
      <c r="B31" s="1885" t="s">
        <v>1143</v>
      </c>
      <c r="C31" s="1886">
        <f ca="1">ROUND(C4*F31/(1+'数据-取费表'!B42),0)</f>
        <v>14577</v>
      </c>
      <c r="D31" s="1887"/>
      <c r="E31" s="1888"/>
      <c r="F31" s="1889">
        <f>'数据-取费表'!B41</f>
        <v>5.6000000000000001E-2</v>
      </c>
      <c r="G31" s="1890" t="s">
        <v>1144</v>
      </c>
      <c r="H31" s="1891"/>
      <c r="I31" s="1891"/>
      <c r="J31" s="1891"/>
      <c r="K31" s="1892"/>
    </row>
    <row r="32" spans="1:33" s="1848" customFormat="1" ht="13.5" customHeight="1" thickBot="1">
      <c r="A32" s="1879" t="s">
        <v>3352</v>
      </c>
      <c r="B32" s="1880"/>
      <c r="C32" s="1881">
        <f ca="1">ROUND((C4-C21-C22-C23-C25-C28-C31)/(1+C24+D25+D28),0)</f>
        <v>227375</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3450</v>
      </c>
      <c r="D1" s="1278"/>
      <c r="E1" s="2616" t="s">
        <v>2830</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2933</v>
      </c>
      <c r="C5" s="2661" t="e">
        <f ca="1">C6+C10+C12</f>
        <v>#N/A</v>
      </c>
      <c r="D5" s="2671" t="s">
        <v>2935</v>
      </c>
      <c r="E5" s="2662"/>
      <c r="F5" s="2663"/>
      <c r="G5" s="2315"/>
      <c r="H5" s="685">
        <v>1</v>
      </c>
      <c r="I5" s="686" t="s">
        <v>2933</v>
      </c>
      <c r="J5" s="2661" t="e">
        <f ca="1">J6+J10+J12</f>
        <v>#N/A</v>
      </c>
      <c r="K5" s="2664" t="s">
        <v>2935</v>
      </c>
      <c r="L5" s="2662"/>
      <c r="M5" s="2663"/>
    </row>
    <row r="6" spans="1:37" ht="18" customHeight="1">
      <c r="A6" s="2657" t="s">
        <v>2940</v>
      </c>
      <c r="B6" s="3695" t="s">
        <v>2934</v>
      </c>
      <c r="C6" s="2666" t="e">
        <f ca="1">ROUND(F6*F8*F7*(1-F9)/10000,0)</f>
        <v>#N/A</v>
      </c>
      <c r="D6" s="2660" t="s">
        <v>2936</v>
      </c>
      <c r="E6" s="688" t="s">
        <v>1153</v>
      </c>
      <c r="F6" s="689" t="e">
        <f ca="1">INDIRECT("'数据-取费表'!u"&amp;$G$1)</f>
        <v>#N/A</v>
      </c>
      <c r="G6" s="2315"/>
      <c r="H6" s="2657" t="s">
        <v>2943</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2941</v>
      </c>
      <c r="B10" s="2658" t="s">
        <v>2929</v>
      </c>
      <c r="C10" s="702">
        <f ca="1">ROUND(IF(F10="押一",F6*F8*F7/12*F11,IF(F10="押二",F6*F8*F7/12*2*F11,IF(F10="押三",F6*F8*F7/12*3*F11,C11*F11)))/10000,0)</f>
        <v>0</v>
      </c>
      <c r="D10" s="2669" t="s">
        <v>2937</v>
      </c>
      <c r="E10" s="2121" t="s">
        <v>2931</v>
      </c>
      <c r="F10" s="3313" t="s">
        <v>3094</v>
      </c>
      <c r="G10" s="2315"/>
      <c r="H10" s="2657" t="s">
        <v>2944</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2945</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2940</v>
      </c>
      <c r="B19" s="688" t="s">
        <v>531</v>
      </c>
      <c r="C19" s="319" t="e">
        <f ca="1">SUM(C14:C18)</f>
        <v>#N/A</v>
      </c>
      <c r="D19" s="475" t="s">
        <v>1172</v>
      </c>
      <c r="E19" s="2250"/>
      <c r="F19" s="321"/>
      <c r="G19" s="2315"/>
      <c r="H19" s="2465" t="s">
        <v>3006</v>
      </c>
      <c r="I19" s="688" t="s">
        <v>1173</v>
      </c>
      <c r="J19" s="319" t="e">
        <f ca="1">IF(K19="按租金收入计税",ROUND(J5*M19,2),ROUND(C29*M19*0.7,2))</f>
        <v>#N/A</v>
      </c>
      <c r="K19" s="1305" t="s">
        <v>2791</v>
      </c>
      <c r="L19" s="688" t="s">
        <v>1163</v>
      </c>
      <c r="M19" s="711">
        <f>IF(K19="按租金收入计税",'数据-取费表'!B51,'数据-取费表'!B50)</f>
        <v>1.2E-2</v>
      </c>
    </row>
    <row r="20" spans="1:37" s="710" customFormat="1" ht="18" customHeight="1">
      <c r="A20" s="2465" t="s">
        <v>3010</v>
      </c>
      <c r="B20" s="688" t="s">
        <v>532</v>
      </c>
      <c r="C20" s="319" t="e">
        <f ca="1">ROUND(C19*F20,0)</f>
        <v>#N/A</v>
      </c>
      <c r="D20" s="713" t="s">
        <v>1174</v>
      </c>
      <c r="E20" s="688" t="s">
        <v>1163</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2940</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3005</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2695</v>
      </c>
      <c r="B47" s="2461" t="s">
        <v>2696</v>
      </c>
      <c r="C47" s="2766" t="s">
        <v>2697</v>
      </c>
      <c r="D47" s="2461" t="s">
        <v>2698</v>
      </c>
      <c r="E47" s="2565" t="s">
        <v>2699</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2824</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2702</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2703</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2704</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46"/>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2705</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2735</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2736</v>
      </c>
      <c r="C58" s="702" t="e">
        <f ca="1">ROUND(C59+C64+C65+C66,0)</f>
        <v>#N/A</v>
      </c>
      <c r="D58" s="2443" t="s">
        <v>2737</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2791</v>
      </c>
      <c r="E61" s="2429" t="s">
        <v>2711</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2716</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2819</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2719</v>
      </c>
      <c r="E65" s="2429" t="s">
        <v>2711</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2720</v>
      </c>
      <c r="E66" s="2429" t="s">
        <v>2711</v>
      </c>
      <c r="F66" s="698" t="e">
        <f t="shared" ca="1" si="0"/>
        <v>#N/A</v>
      </c>
      <c r="O66" s="2618" t="s">
        <v>2837</v>
      </c>
      <c r="P66" s="2628" t="s">
        <v>2862</v>
      </c>
      <c r="Q66" s="2619" t="e">
        <f ca="1">L60</f>
        <v>#N/A</v>
      </c>
      <c r="R66" s="2619" t="s">
        <v>2844</v>
      </c>
    </row>
    <row r="67" spans="1:18" s="1480" customFormat="1" ht="24.75" thickBot="1">
      <c r="A67" s="2436" t="s">
        <v>2721</v>
      </c>
      <c r="B67" s="2450" t="s">
        <v>2722</v>
      </c>
      <c r="C67" s="702" t="e">
        <f ca="1">C48-C58</f>
        <v>#N/A</v>
      </c>
      <c r="D67" s="2446" t="s">
        <v>2723</v>
      </c>
      <c r="E67" s="2451"/>
      <c r="F67" s="2452"/>
      <c r="O67" s="2620" t="s">
        <v>2838</v>
      </c>
      <c r="P67" s="2628" t="s">
        <v>2869</v>
      </c>
      <c r="Q67" s="2623" t="e">
        <f ca="1">L51</f>
        <v>#N/A</v>
      </c>
      <c r="R67" s="2624" t="s">
        <v>2879</v>
      </c>
    </row>
    <row r="68" spans="1:18" s="1480" customFormat="1" ht="20.25" thickBot="1">
      <c r="A68" s="2426" t="s">
        <v>2724</v>
      </c>
      <c r="B68" s="2427" t="s">
        <v>2725</v>
      </c>
      <c r="C68" s="687" t="e">
        <f ca="1">ROUND(C67*(1-((1+F70)/(1+F68))^F69)/(F68-F70),0)</f>
        <v>#N/A</v>
      </c>
      <c r="D68" s="2448" t="s">
        <v>2726</v>
      </c>
      <c r="E68" s="2429" t="s">
        <v>2727</v>
      </c>
      <c r="F68" s="698" t="e">
        <f ca="1">F40</f>
        <v>#N/A</v>
      </c>
      <c r="O68" s="2620" t="s">
        <v>2839</v>
      </c>
      <c r="P68" s="2629" t="s">
        <v>2873</v>
      </c>
      <c r="Q68" s="2619" t="e">
        <f ca="1">ROUND(Q69-Q70*Q71,0)</f>
        <v>#N/A</v>
      </c>
      <c r="R68" s="2619" t="s">
        <v>2878</v>
      </c>
    </row>
    <row r="69" spans="1:18" s="1480" customFormat="1" ht="15.75" thickBot="1">
      <c r="A69" s="2430"/>
      <c r="B69" s="2431"/>
      <c r="C69" s="692"/>
      <c r="D69" s="2453" t="s">
        <v>2728</v>
      </c>
      <c r="E69" s="2429" t="s">
        <v>2729</v>
      </c>
      <c r="F69" s="723" t="e">
        <f ca="1">F41</f>
        <v>#N/A</v>
      </c>
      <c r="O69" s="2620" t="s">
        <v>2847</v>
      </c>
      <c r="P69" s="2629" t="s">
        <v>2863</v>
      </c>
      <c r="Q69" s="2619" t="e">
        <f ca="1">C39</f>
        <v>#N/A</v>
      </c>
      <c r="R69" s="2619" t="s">
        <v>2856</v>
      </c>
    </row>
    <row r="70" spans="1:18" s="1480" customFormat="1" ht="15.75" thickBot="1">
      <c r="A70" s="2433"/>
      <c r="B70" s="2434"/>
      <c r="C70" s="696"/>
      <c r="D70" s="2449"/>
      <c r="E70" s="2429" t="s">
        <v>2730</v>
      </c>
      <c r="F70" s="2560">
        <v>2.5000000000000001E-2</v>
      </c>
      <c r="O70" s="2620" t="s">
        <v>2848</v>
      </c>
      <c r="P70" s="2629" t="s">
        <v>2864</v>
      </c>
      <c r="Q70" s="2619" t="e">
        <f ca="1">C13</f>
        <v>#N/A</v>
      </c>
      <c r="R70" s="2619" t="s">
        <v>2856</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3100</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3527</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4" t="s">
        <v>1160</v>
      </c>
      <c r="E14" s="3382"/>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7"/>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87"/>
      <c r="F22" s="321"/>
      <c r="G22" s="2315"/>
      <c r="H22" s="2465" t="s">
        <v>2748</v>
      </c>
      <c r="I22" s="688" t="s">
        <v>1183</v>
      </c>
      <c r="J22" s="319" t="e">
        <f ca="1">ROUND(J14*M22,1)</f>
        <v>#N/A</v>
      </c>
      <c r="K22" s="3383"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7"/>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386"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385"/>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85"/>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38.72</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28381</v>
      </c>
      <c r="C2" s="1304" t="s">
        <v>1415</v>
      </c>
      <c r="D2" s="1280"/>
      <c r="E2" s="2606"/>
      <c r="F2" s="1281"/>
      <c r="G2" s="2314"/>
      <c r="H2" s="1279"/>
      <c r="I2" s="1279"/>
      <c r="J2" s="1279"/>
      <c r="K2" s="1303"/>
      <c r="L2" s="1279"/>
      <c r="M2" s="1279"/>
    </row>
    <row r="3" spans="1:37" ht="18" customHeight="1" thickBot="1">
      <c r="A3" s="679" t="s">
        <v>636</v>
      </c>
      <c r="B3" s="1412">
        <f ca="1">IF(ISERROR(B2*10000/F43),0,ROUND(B2*10000/F43,0))</f>
        <v>44899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2935</v>
      </c>
      <c r="E5" s="2662"/>
      <c r="F5" s="2663"/>
      <c r="G5" s="2315"/>
      <c r="H5" s="685">
        <v>1</v>
      </c>
      <c r="I5" s="686" t="s">
        <v>2700</v>
      </c>
      <c r="J5" s="2661">
        <f ca="1">J6+J10+J12</f>
        <v>0</v>
      </c>
      <c r="K5" s="2664" t="s">
        <v>2935</v>
      </c>
      <c r="L5" s="2662"/>
      <c r="M5" s="2663"/>
    </row>
    <row r="6" spans="1:37" ht="18" customHeight="1">
      <c r="A6" s="2657" t="s">
        <v>2741</v>
      </c>
      <c r="B6" s="3695" t="s">
        <v>2934</v>
      </c>
      <c r="C6" s="2666">
        <f ca="1">ROUND(F6*F8*F7*(1-F9)/10000,0)</f>
        <v>1350</v>
      </c>
      <c r="D6" s="2660" t="s">
        <v>2936</v>
      </c>
      <c r="E6" s="688" t="s">
        <v>1153</v>
      </c>
      <c r="F6" s="689">
        <f ca="1">INDIRECT("'数据-取费表'!u"&amp;$G$1)</f>
        <v>6.5</v>
      </c>
      <c r="G6" s="2315"/>
      <c r="H6" s="2657" t="s">
        <v>2741</v>
      </c>
      <c r="I6" s="3695" t="s">
        <v>2934</v>
      </c>
      <c r="J6" s="687">
        <f ca="1">ROUND(M6*M8*M7*(1-M9)/10000,0)</f>
        <v>0</v>
      </c>
      <c r="K6" s="2660" t="s">
        <v>2936</v>
      </c>
      <c r="L6" s="688" t="s">
        <v>1153</v>
      </c>
      <c r="M6" s="689">
        <f ca="1">INDIRECT("'数据-取费表'!z"&amp;$G$1)</f>
        <v>0</v>
      </c>
    </row>
    <row r="7" spans="1:37" ht="18" customHeight="1">
      <c r="A7" s="2665"/>
      <c r="B7" s="3696"/>
      <c r="C7" s="2667"/>
      <c r="D7" s="2085"/>
      <c r="E7" s="2668" t="s">
        <v>1154</v>
      </c>
      <c r="F7" s="689">
        <f ca="1">IF(INDIRECT("'数据-取费表'!ah"&amp;$G$1)="",INDIRECT("'数据-取费表'!k"&amp;$G$1),INDIRECT("'数据-取费表'!ah"&amp;$G$1))</f>
        <v>6321.0599999999995</v>
      </c>
      <c r="G7" s="2315"/>
      <c r="H7" s="690"/>
      <c r="I7" s="3696"/>
      <c r="J7" s="692"/>
      <c r="K7" s="693"/>
      <c r="L7" s="688" t="s">
        <v>1154</v>
      </c>
      <c r="M7" s="689">
        <f ca="1">F7</f>
        <v>6321.0599999999995</v>
      </c>
    </row>
    <row r="8" spans="1:37" ht="18" customHeight="1">
      <c r="A8" s="690"/>
      <c r="B8" s="3696"/>
      <c r="C8" s="692"/>
      <c r="D8" s="693"/>
      <c r="E8" s="688" t="s">
        <v>1155</v>
      </c>
      <c r="F8" s="689">
        <f ca="1">INDIRECT("'数据-取费表'!ai"&amp;$G$1)</f>
        <v>365</v>
      </c>
      <c r="G8" s="2315"/>
      <c r="H8" s="690"/>
      <c r="I8" s="3696"/>
      <c r="J8" s="692"/>
      <c r="K8" s="693"/>
      <c r="L8" s="688" t="s">
        <v>1155</v>
      </c>
      <c r="M8" s="689">
        <f ca="1">INDIRECT("'数据-取费表'!ai"&amp;$G$1)</f>
        <v>365</v>
      </c>
    </row>
    <row r="9" spans="1:37" ht="18" customHeight="1">
      <c r="A9" s="690"/>
      <c r="B9" s="3697"/>
      <c r="C9" s="692"/>
      <c r="D9" s="693"/>
      <c r="E9" s="688" t="s">
        <v>1156</v>
      </c>
      <c r="F9" s="698">
        <f ca="1">INDIRECT("'数据-取费表'!w"&amp;$G$1)</f>
        <v>0.1</v>
      </c>
      <c r="G9" s="2315"/>
      <c r="H9" s="690"/>
      <c r="I9" s="3697"/>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2</v>
      </c>
      <c r="D10" s="2669" t="s">
        <v>2937</v>
      </c>
      <c r="E10" s="2121" t="s">
        <v>2931</v>
      </c>
      <c r="F10" s="3426" t="s">
        <v>3589</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3006</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3008</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3006</v>
      </c>
      <c r="I19" s="688" t="s">
        <v>1173</v>
      </c>
      <c r="J19" s="319">
        <f ca="1">IF(K19="按租金收入计税",ROUND(J5*M19,2),ROUND(C29*M19*0.7,2))</f>
        <v>24.92</v>
      </c>
      <c r="K19" s="1305" t="s">
        <v>2791</v>
      </c>
      <c r="L19" s="688" t="s">
        <v>535</v>
      </c>
      <c r="M19" s="711">
        <f>IF(K19="按租金收入计税",'数据-取费表'!B51,'数据-取费表'!B50)</f>
        <v>1.2E-2</v>
      </c>
    </row>
    <row r="20" spans="1:37" s="710" customFormat="1" ht="18" customHeight="1">
      <c r="A20" s="2465" t="s">
        <v>3010</v>
      </c>
      <c r="B20" s="688" t="s">
        <v>532</v>
      </c>
      <c r="C20" s="319">
        <f ca="1">ROUND(C19*F20,0)</f>
        <v>30</v>
      </c>
      <c r="D20" s="713" t="s">
        <v>1174</v>
      </c>
      <c r="E20" s="688" t="s">
        <v>535</v>
      </c>
      <c r="F20" s="711">
        <f>'数据-取费表'!B37</f>
        <v>1.4999999999999999E-2</v>
      </c>
      <c r="G20" s="2316"/>
      <c r="H20" s="2465" t="s">
        <v>3007</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2926</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2927</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179</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99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3006</v>
      </c>
      <c r="B33" s="688" t="s">
        <v>1173</v>
      </c>
      <c r="C33" s="319">
        <f ca="1">IF(项目基本情况!B11="自然人","——",IF(D33="按租金收入计税",ROUND(C5*F33,2),IF(D33="按房产原值计税",ROUND(C29*F33*0.7,2),INDIRECT("'数据-取费表'!Aj"&amp;$G$1))))</f>
        <v>24.92</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3011</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3012</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1173</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28381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38.72</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44899</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6460197</v>
      </c>
      <c r="D46" s="2762" t="str">
        <f>C2</f>
        <v>万元</v>
      </c>
      <c r="E46" s="1437"/>
      <c r="F46" s="1437"/>
      <c r="I46" s="2609" t="s">
        <v>2807</v>
      </c>
      <c r="J46" s="2610"/>
      <c r="K46" s="2611"/>
      <c r="L46" s="2613" t="str">
        <f ca="1">IF(M47="住宅",0,IF(L48&gt;J51,L60,J60))</f>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40</v>
      </c>
      <c r="M47" s="2615" t="str">
        <f>IF(ISNUMBER(FIND("住宅",C1)),"住宅","非住宅")</f>
        <v>非住宅</v>
      </c>
      <c r="O47" s="2618" t="s">
        <v>2836</v>
      </c>
      <c r="P47" s="2628" t="s">
        <v>2855</v>
      </c>
      <c r="Q47" s="2619">
        <f ca="1">C40+J29</f>
        <v>28381</v>
      </c>
      <c r="R47" s="2619" t="s">
        <v>2856</v>
      </c>
    </row>
    <row r="48" spans="1:18" s="1480" customFormat="1" ht="47.25" thickBot="1">
      <c r="A48" s="2747" t="s">
        <v>3017</v>
      </c>
      <c r="B48" s="686" t="s">
        <v>2700</v>
      </c>
      <c r="C48" s="3305">
        <f ca="1">C49+C53+C55</f>
        <v>312335</v>
      </c>
      <c r="D48" s="2751"/>
      <c r="E48" s="2752"/>
      <c r="F48" s="2445"/>
      <c r="G48" s="1482"/>
      <c r="H48" s="1483"/>
      <c r="I48" s="2574" t="s">
        <v>2801</v>
      </c>
      <c r="J48" s="2586" t="s">
        <v>2802</v>
      </c>
      <c r="K48" s="2596" t="s">
        <v>908</v>
      </c>
      <c r="L48" s="2192">
        <f ca="1">INDIRECT("'数据-取费表'!f"&amp;$G$1)</f>
        <v>38.72</v>
      </c>
      <c r="O48" s="2618" t="s">
        <v>2837</v>
      </c>
      <c r="P48" s="2628" t="s">
        <v>2857</v>
      </c>
      <c r="Q48" s="2619" t="str">
        <f ca="1">J60</f>
        <v>0</v>
      </c>
      <c r="R48" s="2619" t="s">
        <v>2865</v>
      </c>
    </row>
    <row r="49" spans="1:18" s="1480" customFormat="1" ht="16.5" thickBot="1">
      <c r="A49" s="2458" t="s">
        <v>3018</v>
      </c>
      <c r="B49" s="2750" t="s">
        <v>3020</v>
      </c>
      <c r="C49" s="2759">
        <f ca="1">ROUND(F49*F51*F50*(1-F52)/10000,0)</f>
        <v>311470</v>
      </c>
      <c r="D49" s="2561" t="s">
        <v>2701</v>
      </c>
      <c r="E49" s="2564" t="s">
        <v>2694</v>
      </c>
      <c r="F49" s="2567">
        <v>1500</v>
      </c>
      <c r="G49" s="1484"/>
      <c r="H49" s="1483"/>
      <c r="I49" s="2574" t="s">
        <v>2821</v>
      </c>
      <c r="J49" s="3312">
        <v>2018</v>
      </c>
      <c r="K49" s="2597" t="s">
        <v>2826</v>
      </c>
      <c r="L49" s="2598">
        <v>5000</v>
      </c>
      <c r="O49" s="2620" t="s">
        <v>2838</v>
      </c>
      <c r="P49" s="2628" t="s">
        <v>2858</v>
      </c>
      <c r="Q49" s="2619">
        <f ca="1">C29</f>
        <v>2967</v>
      </c>
      <c r="R49" s="2619" t="s">
        <v>2856</v>
      </c>
    </row>
    <row r="50" spans="1:18" s="1480" customFormat="1" ht="15.75" thickBot="1">
      <c r="A50" s="2459"/>
      <c r="B50" s="2462"/>
      <c r="C50" s="2767"/>
      <c r="D50" s="2432"/>
      <c r="E50" s="2562" t="s">
        <v>1154</v>
      </c>
      <c r="F50" s="2563">
        <f ca="1">F7</f>
        <v>6321.0599999999995</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 ca="1">F8</f>
        <v>365</v>
      </c>
      <c r="I51" s="2589" t="s">
        <v>2808</v>
      </c>
      <c r="J51" s="2590">
        <f>IF(J49="",J50,J49+J50-YEAR('数据-取费表'!B2))</f>
        <v>61</v>
      </c>
      <c r="K51" s="2599" t="s">
        <v>2828</v>
      </c>
      <c r="L51" s="2612">
        <f ca="1">ROUND(-PV(INDIRECT("'数据-取费表'!h"&amp;$G$1),L48,(C39-C13*C76),0),0)</f>
        <v>16740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38.72</v>
      </c>
      <c r="R52" s="2619" t="s">
        <v>2860</v>
      </c>
    </row>
    <row r="53" spans="1:18" s="1480" customFormat="1" ht="43.5" thickBot="1">
      <c r="A53" s="2865" t="s">
        <v>3019</v>
      </c>
      <c r="B53" s="437" t="s">
        <v>2929</v>
      </c>
      <c r="C53" s="702">
        <f ca="1">ROUND(IF(F53="押一",F49*F51*F50/12*F11,IF(F53="押二",F49*F51*F50/12*2*F11,IF(F53="押三",F49*F51*F50/12*3*F11,C54*F11)))/10000,0)</f>
        <v>865</v>
      </c>
      <c r="D53" s="2669" t="s">
        <v>2937</v>
      </c>
      <c r="E53" s="2121" t="s">
        <v>2931</v>
      </c>
      <c r="F53" s="2867" t="s">
        <v>3023</v>
      </c>
      <c r="I53" s="2601" t="s">
        <v>2834</v>
      </c>
      <c r="J53" s="2602">
        <f ca="1">IF(M47="住宅",J51,MIN(J51,L48))</f>
        <v>38.72</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618" t="s">
        <v>2842</v>
      </c>
      <c r="P53" s="2628" t="s">
        <v>2861</v>
      </c>
      <c r="Q53" s="2619">
        <f ca="1">Q47+Q48</f>
        <v>28381</v>
      </c>
      <c r="R53" s="2619" t="s">
        <v>2843</v>
      </c>
    </row>
    <row r="54" spans="1:18" s="1480" customFormat="1" ht="16.5" thickBot="1">
      <c r="A54" s="2866"/>
      <c r="B54" s="2659" t="s">
        <v>3097</v>
      </c>
      <c r="C54" s="2442"/>
      <c r="D54" s="2669"/>
      <c r="E54" s="330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04"/>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2967</v>
      </c>
      <c r="D56" s="2734"/>
      <c r="E56" s="2438"/>
      <c r="F56" s="2568"/>
      <c r="I56" s="2573" t="s">
        <v>2811</v>
      </c>
      <c r="J56" s="3425" t="s">
        <v>39</v>
      </c>
      <c r="K56" s="2574" t="s">
        <v>2815</v>
      </c>
      <c r="L56" s="2192" t="str">
        <f ca="1">IF(L48&lt;J51,"——",L48-J51)</f>
        <v>——</v>
      </c>
      <c r="O56" s="2618" t="s">
        <v>2836</v>
      </c>
      <c r="P56" s="2628" t="s">
        <v>2855</v>
      </c>
      <c r="Q56" s="2619">
        <f ca="1">C40+J29</f>
        <v>28381</v>
      </c>
      <c r="R56" s="2619" t="s">
        <v>2856</v>
      </c>
    </row>
    <row r="57" spans="1:18" s="1480" customFormat="1" ht="29.25" thickBot="1">
      <c r="A57" s="2569"/>
      <c r="B57" s="2429" t="s">
        <v>1206</v>
      </c>
      <c r="C57" s="618">
        <f ca="1">C29</f>
        <v>2967</v>
      </c>
      <c r="D57" s="2440"/>
      <c r="E57" s="2441"/>
      <c r="F57" s="2570"/>
      <c r="I57" s="2575" t="s">
        <v>2833</v>
      </c>
      <c r="J57" s="2579" t="str">
        <f ca="1">IF(OR(M47="住宅",J51&lt;L48,J56="是"),"——",J51-L48)</f>
        <v>——</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22985</v>
      </c>
      <c r="D58" s="2443" t="s">
        <v>1165</v>
      </c>
      <c r="E58" s="2444"/>
      <c r="F58" s="2445"/>
      <c r="I58" s="2575" t="s">
        <v>2812</v>
      </c>
      <c r="J58" s="3310">
        <v>0.4</v>
      </c>
      <c r="K58" s="2599" t="s">
        <v>3306</v>
      </c>
      <c r="L58" s="2192">
        <f ca="1">IF(ISERROR(POWER(1+L52,L47-L48)*(POWER(1+L52,L48)-1)/(POWER(1+L52,L47)-1)),0,POWER(1+L52,L47-L48)*(POWER(1+L52,L48)-1)/(POWER(1+L52,L47)-1))</f>
        <v>0.98645521325311836</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2813</v>
      </c>
      <c r="J59" s="2579" t="str">
        <f ca="1">IF(OR(M47="住宅",J51&lt;L48,J56="是"),"——",ROUND(C29*J58,0))</f>
        <v>——</v>
      </c>
      <c r="K59" s="2599" t="s">
        <v>3307</v>
      </c>
      <c r="L59" s="2192">
        <f ca="1">IF(ISERROR(POWER(1+L52,L47-J51)*(POWER(1+L52,J51)-1)/(POWER(1+L52,L47)-1)),0,POWER(1+L52,L47-J51)*(POWER(1+L52,J51)-1)/(POWER(1+L52,L47)-1))</f>
        <v>1.1476357149337533</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2814</v>
      </c>
      <c r="J60" s="2581" t="str">
        <f ca="1">IF(OR(M47="住宅",J51&lt;L48,J56="是"),"0",ROUND(J59/(1+J52)^J53,0))</f>
        <v>0</v>
      </c>
      <c r="K60" s="2583" t="s">
        <v>2817</v>
      </c>
      <c r="L60" s="2581">
        <f ca="1">IF(OR(M47="住宅",L48&lt;J51),0,ROUND(L57*(L58/L59-1),0))</f>
        <v>0</v>
      </c>
      <c r="O60" s="2620" t="s">
        <v>2840</v>
      </c>
      <c r="P60" s="2628" t="s">
        <v>2871</v>
      </c>
      <c r="Q60" s="2619">
        <f ca="1">L58</f>
        <v>0.98645521325311836</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24.92</v>
      </c>
      <c r="D61" s="1305" t="s">
        <v>2791</v>
      </c>
      <c r="E61" s="2429" t="s">
        <v>535</v>
      </c>
      <c r="F61" s="711">
        <f t="shared" si="0"/>
        <v>1.2E-2</v>
      </c>
      <c r="I61" s="2439"/>
      <c r="J61" s="2439"/>
      <c r="K61" s="2439"/>
      <c r="L61" s="2439"/>
      <c r="O61" s="2620" t="s">
        <v>2841</v>
      </c>
      <c r="P61" s="2628" t="s">
        <v>2872</v>
      </c>
      <c r="Q61" s="2619">
        <f ca="1">L59</f>
        <v>1.1476357149337533</v>
      </c>
      <c r="R61" s="2619" t="s">
        <v>2846</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2804</v>
      </c>
      <c r="J62" s="2578" t="s">
        <v>2805</v>
      </c>
      <c r="K62" s="2578" t="s">
        <v>2806</v>
      </c>
      <c r="L62" s="2578" t="s">
        <v>2802</v>
      </c>
      <c r="O62" s="2618" t="s">
        <v>2842</v>
      </c>
      <c r="P62" s="2628" t="s">
        <v>2861</v>
      </c>
      <c r="Q62" s="2619">
        <f ca="1">Q56+Q57</f>
        <v>28381</v>
      </c>
      <c r="R62" s="2619" t="s">
        <v>2843</v>
      </c>
    </row>
    <row r="63" spans="1:18" s="1480" customFormat="1" ht="16.5" thickBot="1">
      <c r="A63" s="716"/>
      <c r="B63" s="2435"/>
      <c r="C63" s="324"/>
      <c r="D63" s="2449"/>
      <c r="E63" s="2429" t="s">
        <v>1181</v>
      </c>
      <c r="F63" s="689">
        <f t="shared" ca="1" si="0"/>
        <v>1081.79</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8.9</v>
      </c>
      <c r="D65" s="2447" t="s">
        <v>1186</v>
      </c>
      <c r="E65" s="2429" t="s">
        <v>535</v>
      </c>
      <c r="F65" s="720">
        <f t="shared" ca="1" si="0"/>
        <v>3.0000000000000001E-3</v>
      </c>
      <c r="I65" s="2577" t="s">
        <v>2820</v>
      </c>
      <c r="J65" s="2578">
        <v>40</v>
      </c>
      <c r="K65" s="2578">
        <v>30</v>
      </c>
      <c r="L65" s="2578">
        <v>50</v>
      </c>
      <c r="O65" s="2618" t="s">
        <v>2836</v>
      </c>
      <c r="P65" s="2628" t="s">
        <v>2855</v>
      </c>
      <c r="Q65" s="2619">
        <f ca="1">C40+J29</f>
        <v>28381</v>
      </c>
      <c r="R65" s="2619" t="s">
        <v>2856</v>
      </c>
    </row>
    <row r="66" spans="1:18" s="1480" customFormat="1" ht="20.25" thickBot="1">
      <c r="A66" s="2465" t="s">
        <v>2743</v>
      </c>
      <c r="B66" s="2429" t="s">
        <v>532</v>
      </c>
      <c r="C66" s="319">
        <f ca="1">ROUND(C48*F66,1)</f>
        <v>6246.7</v>
      </c>
      <c r="D66" s="2447" t="s">
        <v>536</v>
      </c>
      <c r="E66" s="2429" t="s">
        <v>535</v>
      </c>
      <c r="F66" s="698">
        <f t="shared" ca="1" si="0"/>
        <v>0.02</v>
      </c>
      <c r="O66" s="2618" t="s">
        <v>2837</v>
      </c>
      <c r="P66" s="2628" t="s">
        <v>2862</v>
      </c>
      <c r="Q66" s="2619">
        <f ca="1">L60</f>
        <v>0</v>
      </c>
      <c r="R66" s="2619" t="s">
        <v>2844</v>
      </c>
    </row>
    <row r="67" spans="1:18" s="1480" customFormat="1" ht="24.75" thickBot="1">
      <c r="A67" s="2436" t="s">
        <v>2721</v>
      </c>
      <c r="B67" s="2450" t="s">
        <v>542</v>
      </c>
      <c r="C67" s="702">
        <f ca="1">C48-C58</f>
        <v>289350</v>
      </c>
      <c r="D67" s="2446" t="s">
        <v>543</v>
      </c>
      <c r="E67" s="2451"/>
      <c r="F67" s="2452"/>
      <c r="O67" s="2620" t="s">
        <v>2838</v>
      </c>
      <c r="P67" s="2628" t="s">
        <v>2869</v>
      </c>
      <c r="Q67" s="2623">
        <f ca="1">L51</f>
        <v>16740</v>
      </c>
      <c r="R67" s="2624" t="s">
        <v>2879</v>
      </c>
    </row>
    <row r="68" spans="1:18" s="1480" customFormat="1" ht="20.25" thickBot="1">
      <c r="A68" s="2426" t="s">
        <v>2724</v>
      </c>
      <c r="B68" s="2427" t="s">
        <v>2725</v>
      </c>
      <c r="C68" s="687">
        <f ca="1">ROUND(C67*(1-((1+F70)/(1+F68))^F69)/(F68-F70),0)</f>
        <v>6488578</v>
      </c>
      <c r="D68" s="2448" t="s">
        <v>1196</v>
      </c>
      <c r="E68" s="2429" t="s">
        <v>539</v>
      </c>
      <c r="F68" s="698">
        <f ca="1">F40</f>
        <v>5.5E-2</v>
      </c>
      <c r="O68" s="2620" t="s">
        <v>2839</v>
      </c>
      <c r="P68" s="2629" t="s">
        <v>2873</v>
      </c>
      <c r="Q68" s="2619">
        <f ca="1">ROUND(Q69-Q70*Q71,0)</f>
        <v>921</v>
      </c>
      <c r="R68" s="2619" t="s">
        <v>2878</v>
      </c>
    </row>
    <row r="69" spans="1:18" s="1480" customFormat="1" ht="15.75" thickBot="1">
      <c r="A69" s="2430"/>
      <c r="B69" s="2431"/>
      <c r="C69" s="692"/>
      <c r="D69" s="2453" t="s">
        <v>1198</v>
      </c>
      <c r="E69" s="2429" t="s">
        <v>546</v>
      </c>
      <c r="F69" s="723">
        <f ca="1">F41</f>
        <v>38.72</v>
      </c>
      <c r="O69" s="2620" t="s">
        <v>2847</v>
      </c>
      <c r="P69" s="2629" t="s">
        <v>2863</v>
      </c>
      <c r="Q69" s="2619">
        <f ca="1">C39</f>
        <v>1173</v>
      </c>
      <c r="R69" s="2619" t="s">
        <v>2856</v>
      </c>
    </row>
    <row r="70" spans="1:18" s="1480" customFormat="1" ht="15.75" thickBot="1">
      <c r="A70" s="2433"/>
      <c r="B70" s="2434"/>
      <c r="C70" s="696"/>
      <c r="D70" s="2449"/>
      <c r="E70" s="2429" t="s">
        <v>547</v>
      </c>
      <c r="F70" s="2560">
        <v>2.5000000000000001E-2</v>
      </c>
      <c r="O70" s="2620" t="s">
        <v>2848</v>
      </c>
      <c r="P70" s="2629" t="s">
        <v>2864</v>
      </c>
      <c r="Q70" s="2619">
        <f ca="1">C13</f>
        <v>2967</v>
      </c>
      <c r="R70" s="2619" t="s">
        <v>2856</v>
      </c>
    </row>
    <row r="71" spans="1:18" s="1480" customFormat="1" ht="15.75" thickBot="1">
      <c r="A71" s="2454" t="s">
        <v>2731</v>
      </c>
      <c r="B71" s="2455" t="s">
        <v>548</v>
      </c>
      <c r="C71" s="726">
        <f ca="1">ROUND(C68*10000/F71,0)</f>
        <v>10265016</v>
      </c>
      <c r="D71" s="2456" t="s">
        <v>549</v>
      </c>
      <c r="E71" s="2457" t="s">
        <v>2734</v>
      </c>
      <c r="F71" s="729">
        <f ca="1">F43</f>
        <v>6321.0599999999995</v>
      </c>
      <c r="I71" s="2424"/>
      <c r="K71" s="2424"/>
      <c r="O71" s="2620" t="s">
        <v>2849</v>
      </c>
      <c r="P71" s="2629" t="s">
        <v>2876</v>
      </c>
      <c r="Q71" s="2621">
        <f ca="1">C76</f>
        <v>8.5000000000000006E-2</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0.98645521325311836</v>
      </c>
      <c r="R73" s="2619" t="s">
        <v>2845</v>
      </c>
    </row>
    <row r="74" spans="1:18" ht="20.25" thickBot="1">
      <c r="A74" s="1480"/>
      <c r="B74" s="731" t="s">
        <v>551</v>
      </c>
      <c r="C74" s="732"/>
      <c r="D74" s="1480"/>
      <c r="E74" s="1480"/>
      <c r="F74" s="1480"/>
      <c r="O74" s="2620" t="s">
        <v>2880</v>
      </c>
      <c r="P74" s="2628" t="s">
        <v>2872</v>
      </c>
      <c r="Q74" s="2619">
        <f ca="1">L59</f>
        <v>1.1476357149337533</v>
      </c>
      <c r="R74" s="2619" t="s">
        <v>2846</v>
      </c>
    </row>
    <row r="75" spans="1:18" ht="15.75" thickBot="1">
      <c r="A75" s="1480"/>
      <c r="B75" s="733" t="s">
        <v>1211</v>
      </c>
      <c r="C75" s="734">
        <f ca="1">ROUND(C13*C76,0)</f>
        <v>252</v>
      </c>
      <c r="D75" s="1480"/>
      <c r="E75" s="1480"/>
      <c r="F75" s="1480"/>
      <c r="K75" s="1481"/>
      <c r="L75" s="1480"/>
      <c r="O75" s="2618" t="s">
        <v>2842</v>
      </c>
      <c r="P75" s="2628" t="s">
        <v>2861</v>
      </c>
      <c r="Q75" s="2619">
        <f ca="1">Q65+Q66</f>
        <v>28381</v>
      </c>
      <c r="R75" s="2619" t="s">
        <v>2843</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0.78500000000000003</v>
      </c>
    </row>
    <row r="80" spans="1:18">
      <c r="B80" s="2912" t="s">
        <v>3103</v>
      </c>
      <c r="C80" s="654">
        <f ca="1">ROUND(C75/C39,3)</f>
        <v>0.215</v>
      </c>
    </row>
    <row r="81" spans="2:3">
      <c r="B81" s="650" t="s">
        <v>552</v>
      </c>
      <c r="C81" s="651"/>
    </row>
    <row r="82" spans="2:3">
      <c r="B82" s="2911" t="s">
        <v>3102</v>
      </c>
      <c r="C82" s="655">
        <f ca="1">1-C83</f>
        <v>0.89500000000000002</v>
      </c>
    </row>
    <row r="83" spans="2:3">
      <c r="B83" s="2911" t="s">
        <v>3101</v>
      </c>
      <c r="C83" s="654">
        <f ca="1">ROUND(C13/C40,3)</f>
        <v>0.105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2935</v>
      </c>
      <c r="E5" s="2662"/>
      <c r="F5" s="2663"/>
      <c r="G5" s="2315"/>
      <c r="H5" s="685">
        <v>1</v>
      </c>
      <c r="I5" s="686" t="s">
        <v>2700</v>
      </c>
      <c r="J5" s="2661">
        <f ca="1">J6+J10+J12</f>
        <v>0</v>
      </c>
      <c r="K5" s="2664" t="s">
        <v>2935</v>
      </c>
      <c r="L5" s="2662"/>
      <c r="M5" s="2663"/>
    </row>
    <row r="6" spans="1:37" ht="18" customHeight="1">
      <c r="A6" s="2657" t="s">
        <v>2741</v>
      </c>
      <c r="B6" s="3695" t="s">
        <v>2934</v>
      </c>
      <c r="C6" s="2666">
        <f>ROUND(F6*F8*F7*(1-F9)/10000,0)</f>
        <v>39</v>
      </c>
      <c r="D6" s="2660" t="s">
        <v>2936</v>
      </c>
      <c r="E6" s="688" t="s">
        <v>1153</v>
      </c>
      <c r="F6" s="3365">
        <v>0.34</v>
      </c>
      <c r="G6" s="2315"/>
      <c r="H6" s="2657" t="s">
        <v>2741</v>
      </c>
      <c r="I6" s="3695" t="s">
        <v>2934</v>
      </c>
      <c r="J6" s="687">
        <f ca="1">ROUND(M6*M8*M7*(1-M9)/10000,0)</f>
        <v>0</v>
      </c>
      <c r="K6" s="2660" t="s">
        <v>2936</v>
      </c>
      <c r="L6" s="688" t="s">
        <v>1153</v>
      </c>
      <c r="M6" s="689">
        <f ca="1">INDIRECT("'数据-取费表'!z"&amp;$G$1)</f>
        <v>0</v>
      </c>
    </row>
    <row r="7" spans="1:37" ht="18" customHeight="1">
      <c r="A7" s="2665"/>
      <c r="B7" s="3696"/>
      <c r="C7" s="2667"/>
      <c r="D7" s="2085"/>
      <c r="E7" s="2668" t="s">
        <v>1154</v>
      </c>
      <c r="F7" s="3365">
        <v>3500</v>
      </c>
      <c r="G7" s="2315"/>
      <c r="H7" s="690"/>
      <c r="I7" s="3696"/>
      <c r="J7" s="692"/>
      <c r="K7" s="693"/>
      <c r="L7" s="688" t="s">
        <v>1154</v>
      </c>
      <c r="M7" s="689">
        <f>F7</f>
        <v>3500</v>
      </c>
    </row>
    <row r="8" spans="1:37" ht="18" customHeight="1">
      <c r="A8" s="690"/>
      <c r="B8" s="3696"/>
      <c r="C8" s="692"/>
      <c r="D8" s="693"/>
      <c r="E8" s="688" t="s">
        <v>1155</v>
      </c>
      <c r="F8" s="3365">
        <v>365</v>
      </c>
      <c r="G8" s="2315"/>
      <c r="H8" s="690"/>
      <c r="I8" s="3696"/>
      <c r="J8" s="692"/>
      <c r="K8" s="693"/>
      <c r="L8" s="688" t="s">
        <v>1155</v>
      </c>
      <c r="M8" s="689">
        <f ca="1">INDIRECT("'数据-取费表'!ai"&amp;$G$1)</f>
        <v>0</v>
      </c>
    </row>
    <row r="9" spans="1:37" ht="18" customHeight="1">
      <c r="A9" s="690"/>
      <c r="B9" s="3697"/>
      <c r="C9" s="692"/>
      <c r="D9" s="693"/>
      <c r="E9" s="688" t="s">
        <v>1156</v>
      </c>
      <c r="F9" s="3366">
        <v>0.1</v>
      </c>
      <c r="G9" s="2315"/>
      <c r="H9" s="690"/>
      <c r="I9" s="3697"/>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2738</v>
      </c>
      <c r="B14" s="688" t="s">
        <v>524</v>
      </c>
      <c r="C14" s="3368">
        <f>2200*F43/10000</f>
        <v>30800</v>
      </c>
      <c r="D14" s="3359" t="s">
        <v>1160</v>
      </c>
      <c r="E14" s="3357"/>
      <c r="F14" s="707"/>
      <c r="G14" s="2315"/>
      <c r="H14" s="2465" t="s">
        <v>2741</v>
      </c>
      <c r="I14" s="688" t="s">
        <v>1161</v>
      </c>
      <c r="J14" s="319">
        <f ca="1">C29</f>
        <v>42625</v>
      </c>
      <c r="K14" s="309"/>
      <c r="L14" s="704"/>
      <c r="M14" s="705"/>
    </row>
    <row r="15" spans="1:37" s="710" customFormat="1" ht="18" customHeight="1" thickBot="1">
      <c r="A15" s="2465" t="s">
        <v>3006</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3008</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2"/>
      <c r="F19" s="321"/>
      <c r="G19" s="2315"/>
      <c r="H19" s="2465" t="s">
        <v>3006</v>
      </c>
      <c r="I19" s="688" t="s">
        <v>1173</v>
      </c>
      <c r="J19" s="319">
        <f ca="1">IF(K19="按租金收入计税",ROUND(J5*M19,2),ROUND(C29*M19*0.7,2))</f>
        <v>358.05</v>
      </c>
      <c r="K19" s="1305" t="s">
        <v>2791</v>
      </c>
      <c r="L19" s="688" t="s">
        <v>530</v>
      </c>
      <c r="M19" s="711">
        <f>IF(K19="按租金收入计税",'数据-取费表'!B51,'数据-取费表'!B50)</f>
        <v>1.2E-2</v>
      </c>
    </row>
    <row r="20" spans="1:37" s="710" customFormat="1" ht="18" customHeight="1">
      <c r="A20" s="2465" t="s">
        <v>3010</v>
      </c>
      <c r="B20" s="688" t="s">
        <v>532</v>
      </c>
      <c r="C20" s="319">
        <f ca="1">ROUND(C19*F20,0)</f>
        <v>525</v>
      </c>
      <c r="D20" s="713" t="s">
        <v>1174</v>
      </c>
      <c r="E20" s="688" t="s">
        <v>530</v>
      </c>
      <c r="F20" s="711">
        <f>'数据-取费表'!B37</f>
        <v>1.4999999999999999E-2</v>
      </c>
      <c r="G20" s="2316"/>
      <c r="H20" s="2465" t="s">
        <v>3007</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62"/>
      <c r="F22" s="321"/>
      <c r="G22" s="2315"/>
      <c r="H22" s="2465" t="s">
        <v>2748</v>
      </c>
      <c r="I22" s="688" t="s">
        <v>1183</v>
      </c>
      <c r="J22" s="319">
        <f ca="1">ROUND(J14*M22,1)</f>
        <v>0</v>
      </c>
      <c r="K22" s="3358" t="s">
        <v>1184</v>
      </c>
      <c r="L22" s="688" t="s">
        <v>530</v>
      </c>
      <c r="M22" s="718">
        <f ca="1">INDIRECT("'数据-取费表'!Ak"&amp;$G$1)</f>
        <v>0</v>
      </c>
    </row>
    <row r="23" spans="1:37" s="710" customFormat="1" ht="18" customHeight="1">
      <c r="A23" s="2465" t="s">
        <v>2738</v>
      </c>
      <c r="B23" s="688" t="s">
        <v>2926</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58"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2"/>
      <c r="F25" s="321"/>
      <c r="G25" s="2315"/>
      <c r="H25" s="2702" t="s">
        <v>2721</v>
      </c>
      <c r="I25" s="2719" t="s">
        <v>542</v>
      </c>
      <c r="J25" s="696">
        <f ca="1">J5-J16</f>
        <v>-358</v>
      </c>
      <c r="K25" s="2720" t="s">
        <v>543</v>
      </c>
      <c r="L25" s="2721"/>
      <c r="M25" s="2722"/>
    </row>
    <row r="26" spans="1:37" ht="18" customHeight="1">
      <c r="A26" s="2465" t="s">
        <v>2738</v>
      </c>
      <c r="B26" s="688" t="s">
        <v>2927</v>
      </c>
      <c r="C26" s="319">
        <f ca="1">ROUND((C19+C20)*F26,0)</f>
        <v>1776</v>
      </c>
      <c r="D26" s="713" t="s">
        <v>1193</v>
      </c>
      <c r="E26" s="699" t="s">
        <v>1194</v>
      </c>
      <c r="F26" s="3366">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369">
        <f ca="1">IF(项目基本情况!B11="自然人","——",IF(D33="按租金收入计税",ROUND(C5*F33,2),IF(D33="按房产原值计税",ROUND(C29*F33*0.7,2),INDIRECT("'数据-取费表'!Aj"&amp;$G$1))))</f>
        <v>358.05</v>
      </c>
      <c r="D33" s="1305" t="s">
        <v>2791</v>
      </c>
      <c r="E33" s="688" t="s">
        <v>530</v>
      </c>
      <c r="F33" s="3372">
        <f>IF(D33="按票据","——",IF(D33="按租金收入计税",'数据-取费表'!B51,'数据-取费表'!B50))</f>
        <v>1.2E-2</v>
      </c>
      <c r="G33" s="2315"/>
      <c r="H33" s="1294"/>
      <c r="I33" s="2920"/>
      <c r="J33" s="2921"/>
      <c r="K33" s="1295"/>
      <c r="L33" s="1294"/>
      <c r="M33" s="1294"/>
    </row>
    <row r="34" spans="1:18" ht="18" customHeight="1">
      <c r="A34" s="2657" t="s">
        <v>3007</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2748</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3011</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3012</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4395648</v>
      </c>
      <c r="D46" s="2762" t="str">
        <f>C2</f>
        <v>万元</v>
      </c>
      <c r="E46" s="1437"/>
      <c r="F46" s="1437"/>
      <c r="I46" s="2609" t="s">
        <v>2807</v>
      </c>
      <c r="J46" s="2610"/>
      <c r="K46" s="2611"/>
      <c r="L46" s="3379">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0</v>
      </c>
      <c r="M47" s="2615" t="str">
        <f>IF(ISNUMBER(FIND("住宅",C1)),"住宅","非住宅")</f>
        <v>非住宅</v>
      </c>
      <c r="O47" s="2618" t="s">
        <v>2836</v>
      </c>
      <c r="P47" s="2628" t="s">
        <v>2855</v>
      </c>
      <c r="Q47" s="2619">
        <f ca="1">C40+J29</f>
        <v>-11886</v>
      </c>
      <c r="R47" s="2619" t="s">
        <v>2856</v>
      </c>
    </row>
    <row r="48" spans="1:18" s="1480" customFormat="1" ht="47.25" thickBot="1">
      <c r="A48" s="2747" t="s">
        <v>3017</v>
      </c>
      <c r="B48" s="686" t="s">
        <v>2700</v>
      </c>
      <c r="C48" s="3361">
        <f ca="1">C49+C53+C55</f>
        <v>172942</v>
      </c>
      <c r="D48" s="2751"/>
      <c r="E48" s="2752"/>
      <c r="F48" s="2445"/>
      <c r="G48" s="1482"/>
      <c r="H48" s="1483"/>
      <c r="I48" s="2574" t="s">
        <v>2801</v>
      </c>
      <c r="J48" s="2586" t="s">
        <v>2802</v>
      </c>
      <c r="K48" s="2596" t="s">
        <v>908</v>
      </c>
      <c r="L48" s="2192">
        <f ca="1">INDIRECT("'数据-取费表'!f"&amp;$G$1)</f>
        <v>0</v>
      </c>
      <c r="O48" s="2618" t="s">
        <v>2837</v>
      </c>
      <c r="P48" s="2628" t="s">
        <v>2857</v>
      </c>
      <c r="Q48" s="2619">
        <f ca="1">J60</f>
        <v>17050</v>
      </c>
      <c r="R48" s="2619" t="s">
        <v>2865</v>
      </c>
    </row>
    <row r="49" spans="1:18" s="1480" customFormat="1" ht="16.5" thickBot="1">
      <c r="A49" s="2458" t="s">
        <v>3018</v>
      </c>
      <c r="B49" s="2750" t="s">
        <v>3020</v>
      </c>
      <c r="C49" s="2759">
        <f>ROUND(F49*F51*F50*(1-F52)/10000,0)</f>
        <v>172463</v>
      </c>
      <c r="D49" s="2561" t="s">
        <v>2701</v>
      </c>
      <c r="E49" s="2564" t="s">
        <v>2694</v>
      </c>
      <c r="F49" s="2567">
        <v>1500</v>
      </c>
      <c r="G49" s="1484"/>
      <c r="H49" s="1483"/>
      <c r="I49" s="2574" t="s">
        <v>2821</v>
      </c>
      <c r="J49" s="3312">
        <v>2018</v>
      </c>
      <c r="K49" s="2597" t="s">
        <v>2826</v>
      </c>
      <c r="L49" s="2598">
        <v>5000</v>
      </c>
      <c r="O49" s="2620" t="s">
        <v>2838</v>
      </c>
      <c r="P49" s="2628" t="s">
        <v>2858</v>
      </c>
      <c r="Q49" s="2619">
        <f ca="1">C29</f>
        <v>42625</v>
      </c>
      <c r="R49" s="2619" t="s">
        <v>2856</v>
      </c>
    </row>
    <row r="50" spans="1:18" s="1480" customFormat="1" ht="15.75" thickBot="1">
      <c r="A50" s="2459"/>
      <c r="B50" s="2462"/>
      <c r="C50" s="2767"/>
      <c r="D50" s="2432"/>
      <c r="E50" s="2562" t="s">
        <v>1154</v>
      </c>
      <c r="F50" s="2563">
        <f>F7</f>
        <v>3500</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F8</f>
        <v>365</v>
      </c>
      <c r="I51" s="2589" t="s">
        <v>2808</v>
      </c>
      <c r="J51" s="2590">
        <f>IF(J49="",J50,J49+J50-YEAR('数据-取费表'!B2))</f>
        <v>61</v>
      </c>
      <c r="K51" s="2599" t="s">
        <v>2828</v>
      </c>
      <c r="L51" s="2612">
        <f ca="1">ROUND(-PV(INDIRECT("'数据-取费表'!h"&amp;$G$1),L48,(C39-C13*C76),0),0)</f>
        <v>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0</v>
      </c>
      <c r="R52" s="2619" t="s">
        <v>2860</v>
      </c>
    </row>
    <row r="53" spans="1:18" s="1480" customFormat="1" ht="43.5" thickBot="1">
      <c r="A53" s="2865" t="s">
        <v>3019</v>
      </c>
      <c r="B53" s="437" t="s">
        <v>2929</v>
      </c>
      <c r="C53" s="702">
        <f ca="1">ROUND(IF(F53="押一",F49*F51*F50/12*F11,IF(F53="押二",F49*F51*F50/12*2*F11,IF(F53="押三",F49*F51*F50/12*3*F11,C54*F11)))/10000,0)</f>
        <v>479</v>
      </c>
      <c r="D53" s="2669" t="s">
        <v>2937</v>
      </c>
      <c r="E53" s="2121" t="s">
        <v>2931</v>
      </c>
      <c r="F53" s="2867" t="s">
        <v>3023</v>
      </c>
      <c r="I53" s="2601" t="s">
        <v>2834</v>
      </c>
      <c r="J53" s="2602">
        <f ca="1">IF(M47="住宅",J51,MIN(J51,L48))</f>
        <v>0</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618" t="s">
        <v>2842</v>
      </c>
      <c r="P53" s="2628" t="s">
        <v>2861</v>
      </c>
      <c r="Q53" s="2619">
        <f ca="1">Q47+Q48</f>
        <v>5164</v>
      </c>
      <c r="R53" s="2619" t="s">
        <v>2843</v>
      </c>
    </row>
    <row r="54" spans="1:18" s="1480" customFormat="1" ht="16.5" thickBot="1">
      <c r="A54" s="2866"/>
      <c r="B54" s="2659" t="s">
        <v>3097</v>
      </c>
      <c r="C54" s="2442"/>
      <c r="D54" s="2669"/>
      <c r="E54" s="3360"/>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60"/>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42625</v>
      </c>
      <c r="D56" s="2734"/>
      <c r="E56" s="2438"/>
      <c r="F56" s="2568"/>
      <c r="I56" s="2573" t="s">
        <v>2811</v>
      </c>
      <c r="J56" s="2603" t="s">
        <v>3525</v>
      </c>
      <c r="K56" s="2574" t="s">
        <v>2815</v>
      </c>
      <c r="L56" s="2192" t="str">
        <f ca="1">IF(L48&lt;J51,"——",L48-J51)</f>
        <v>——</v>
      </c>
      <c r="O56" s="2618" t="s">
        <v>2836</v>
      </c>
      <c r="P56" s="2628" t="s">
        <v>2855</v>
      </c>
      <c r="Q56" s="2619">
        <f ca="1">C40+J29</f>
        <v>-11886</v>
      </c>
      <c r="R56" s="2619" t="s">
        <v>2856</v>
      </c>
    </row>
    <row r="57" spans="1:18" s="1480" customFormat="1" ht="29.25" thickBot="1">
      <c r="A57" s="2569"/>
      <c r="B57" s="2429" t="s">
        <v>1206</v>
      </c>
      <c r="C57" s="618">
        <f ca="1">C29</f>
        <v>42625</v>
      </c>
      <c r="D57" s="2440"/>
      <c r="E57" s="2441"/>
      <c r="F57" s="2570"/>
      <c r="I57" s="2575" t="s">
        <v>2833</v>
      </c>
      <c r="J57" s="2579">
        <f ca="1">IF(OR(M47="住宅",J51&lt;L48,J56="是"),"——",J51-L48)</f>
        <v>61</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10086</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2813</v>
      </c>
      <c r="J59" s="2579">
        <f ca="1">IF(OR(M47="住宅",J51&lt;L48,J56="是"),"——",ROUND(C29*J58,0))</f>
        <v>17050</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2814</v>
      </c>
      <c r="J60" s="2581">
        <f ca="1">IF(OR(M47="住宅",J51&lt;L48,J56="是"),"0",ROUND(J59/(1+J52)^J53,0))</f>
        <v>17050</v>
      </c>
      <c r="K60" s="2583" t="s">
        <v>2817</v>
      </c>
      <c r="L60" s="2581">
        <f ca="1">IF(OR(M47="住宅",L48&lt;J51),0,ROUND(L57*(L58/L59-1),0))</f>
        <v>0</v>
      </c>
      <c r="O60" s="2620" t="s">
        <v>2840</v>
      </c>
      <c r="P60" s="2628" t="s">
        <v>2871</v>
      </c>
      <c r="Q60" s="2619">
        <f ca="1">L58</f>
        <v>0</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2804</v>
      </c>
      <c r="J62" s="2578" t="s">
        <v>2805</v>
      </c>
      <c r="K62" s="2578" t="s">
        <v>2806</v>
      </c>
      <c r="L62" s="2578" t="s">
        <v>2802</v>
      </c>
      <c r="O62" s="2618" t="s">
        <v>2842</v>
      </c>
      <c r="P62" s="2628" t="s">
        <v>2861</v>
      </c>
      <c r="Q62" s="2619">
        <f ca="1">Q56+Q57</f>
        <v>-11886</v>
      </c>
      <c r="R62" s="2619" t="s">
        <v>2843</v>
      </c>
    </row>
    <row r="63" spans="1:18" s="1480" customFormat="1" ht="16.5" thickBot="1">
      <c r="A63" s="716"/>
      <c r="B63" s="2435"/>
      <c r="C63" s="324"/>
      <c r="D63" s="2449"/>
      <c r="E63" s="2429" t="s">
        <v>1181</v>
      </c>
      <c r="F63" s="689">
        <f t="shared" si="0"/>
        <v>5000</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63.9</v>
      </c>
      <c r="D65" s="2447" t="s">
        <v>534</v>
      </c>
      <c r="E65" s="2429" t="s">
        <v>530</v>
      </c>
      <c r="F65" s="720">
        <f t="shared" si="0"/>
        <v>1.5E-3</v>
      </c>
      <c r="I65" s="2577" t="s">
        <v>2820</v>
      </c>
      <c r="J65" s="2578">
        <v>40</v>
      </c>
      <c r="K65" s="2578">
        <v>30</v>
      </c>
      <c r="L65" s="2578">
        <v>50</v>
      </c>
      <c r="O65" s="2618" t="s">
        <v>2836</v>
      </c>
      <c r="P65" s="2628" t="s">
        <v>2855</v>
      </c>
      <c r="Q65" s="2619">
        <f ca="1">C40+J29</f>
        <v>-11886</v>
      </c>
      <c r="R65" s="2619" t="s">
        <v>2856</v>
      </c>
    </row>
    <row r="66" spans="1:18" s="1480" customFormat="1" ht="20.25" thickBot="1">
      <c r="A66" s="2465" t="s">
        <v>2743</v>
      </c>
      <c r="B66" s="2429" t="s">
        <v>532</v>
      </c>
      <c r="C66" s="319">
        <f ca="1">ROUND(C48*F66,1)</f>
        <v>345.9</v>
      </c>
      <c r="D66" s="2447" t="s">
        <v>536</v>
      </c>
      <c r="E66" s="2429" t="s">
        <v>530</v>
      </c>
      <c r="F66" s="698">
        <f t="shared" si="0"/>
        <v>2E-3</v>
      </c>
      <c r="O66" s="2618" t="s">
        <v>2837</v>
      </c>
      <c r="P66" s="2628" t="s">
        <v>2862</v>
      </c>
      <c r="Q66" s="2619">
        <f ca="1">L60</f>
        <v>0</v>
      </c>
      <c r="R66" s="2619" t="s">
        <v>2844</v>
      </c>
    </row>
    <row r="67" spans="1:18" s="1480" customFormat="1" ht="24.75" thickBot="1">
      <c r="A67" s="2436" t="s">
        <v>2721</v>
      </c>
      <c r="B67" s="2450" t="s">
        <v>542</v>
      </c>
      <c r="C67" s="702">
        <f ca="1">C48-C58</f>
        <v>162856</v>
      </c>
      <c r="D67" s="2446" t="s">
        <v>543</v>
      </c>
      <c r="E67" s="2451"/>
      <c r="F67" s="2452"/>
      <c r="O67" s="2620" t="s">
        <v>2838</v>
      </c>
      <c r="P67" s="2628" t="s">
        <v>2869</v>
      </c>
      <c r="Q67" s="2623">
        <f ca="1">L51</f>
        <v>0</v>
      </c>
      <c r="R67" s="2624" t="s">
        <v>2879</v>
      </c>
    </row>
    <row r="68" spans="1:18" s="1480" customFormat="1" ht="20.25" thickBot="1">
      <c r="A68" s="2426" t="s">
        <v>2724</v>
      </c>
      <c r="B68" s="2427" t="s">
        <v>544</v>
      </c>
      <c r="C68" s="687">
        <f ca="1">ROUND(C67*(1-((1+F70)/(1+F68))^F69)/(F68-F70),0)</f>
        <v>4383762</v>
      </c>
      <c r="D68" s="2448" t="s">
        <v>538</v>
      </c>
      <c r="E68" s="2429" t="s">
        <v>539</v>
      </c>
      <c r="F68" s="698">
        <f>F40</f>
        <v>4.4999999999999998E-2</v>
      </c>
      <c r="O68" s="2620" t="s">
        <v>2839</v>
      </c>
      <c r="P68" s="2629" t="s">
        <v>2873</v>
      </c>
      <c r="Q68" s="2619">
        <f ca="1">ROUND(Q69-Q70*Q71,0)</f>
        <v>-479</v>
      </c>
      <c r="R68" s="2619" t="s">
        <v>2878</v>
      </c>
    </row>
    <row r="69" spans="1:18" s="1480" customFormat="1" ht="15.75" thickBot="1">
      <c r="A69" s="2430"/>
      <c r="B69" s="2431"/>
      <c r="C69" s="692"/>
      <c r="D69" s="2453" t="s">
        <v>1198</v>
      </c>
      <c r="E69" s="2429" t="s">
        <v>546</v>
      </c>
      <c r="F69" s="723">
        <f>F41</f>
        <v>40</v>
      </c>
      <c r="O69" s="2620" t="s">
        <v>2847</v>
      </c>
      <c r="P69" s="2629" t="s">
        <v>2863</v>
      </c>
      <c r="Q69" s="2619">
        <f ca="1">C39</f>
        <v>-479</v>
      </c>
      <c r="R69" s="2619" t="s">
        <v>2856</v>
      </c>
    </row>
    <row r="70" spans="1:18" s="1480" customFormat="1" ht="15.75" thickBot="1">
      <c r="A70" s="2433"/>
      <c r="B70" s="2434"/>
      <c r="C70" s="696"/>
      <c r="D70" s="2449"/>
      <c r="E70" s="2429" t="s">
        <v>547</v>
      </c>
      <c r="F70" s="2560">
        <v>2.5000000000000001E-2</v>
      </c>
      <c r="O70" s="2620" t="s">
        <v>2848</v>
      </c>
      <c r="P70" s="2629" t="s">
        <v>2864</v>
      </c>
      <c r="Q70" s="2619">
        <f ca="1">C13</f>
        <v>42625</v>
      </c>
      <c r="R70" s="2619" t="s">
        <v>2856</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2849</v>
      </c>
      <c r="P71" s="2629" t="s">
        <v>2876</v>
      </c>
      <c r="Q71" s="2621">
        <f ca="1">C76</f>
        <v>0</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f ca="1">ROUND(C13*C76,0)</f>
        <v>0</v>
      </c>
      <c r="D75" s="1480"/>
      <c r="E75" s="1480"/>
      <c r="F75" s="1480"/>
      <c r="K75" s="1481"/>
      <c r="L75" s="1480"/>
      <c r="O75" s="2618" t="s">
        <v>2842</v>
      </c>
      <c r="P75" s="2628" t="s">
        <v>2861</v>
      </c>
      <c r="Q75" s="2619">
        <f ca="1">Q65+Q66</f>
        <v>-11886</v>
      </c>
      <c r="R75" s="2619" t="s">
        <v>2843</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1</v>
      </c>
    </row>
    <row r="80" spans="1:18">
      <c r="B80" s="2912" t="s">
        <v>3103</v>
      </c>
      <c r="C80" s="654">
        <f ca="1">ROUND(C75/C39,3)</f>
        <v>0</v>
      </c>
    </row>
    <row r="81" spans="2:3">
      <c r="B81" s="650" t="s">
        <v>552</v>
      </c>
      <c r="C81" s="651"/>
    </row>
    <row r="82" spans="2:3">
      <c r="B82" s="2911" t="s">
        <v>3102</v>
      </c>
      <c r="C82" s="655">
        <f ca="1">1-C83</f>
        <v>4.5860000000000003</v>
      </c>
    </row>
    <row r="83" spans="2:3">
      <c r="B83" s="2911" t="s">
        <v>3101</v>
      </c>
      <c r="C83" s="654">
        <f ca="1">ROUND(C13/C40,3)</f>
        <v>-3.5859999999999999</v>
      </c>
    </row>
  </sheetData>
  <sheetProtection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40" zoomScaleSheetLayoutView="90" workbookViewId="0">
      <selection activeCell="K54" sqref="A1:K54"/>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3096</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126167</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65599.03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10" t="s">
        <v>1224</v>
      </c>
      <c r="D4" s="3711"/>
      <c r="E4" s="3712" t="s">
        <v>1225</v>
      </c>
      <c r="F4" s="3713"/>
      <c r="G4" s="3710" t="s">
        <v>1226</v>
      </c>
      <c r="H4" s="3711"/>
      <c r="I4" s="3710" t="s">
        <v>1227</v>
      </c>
      <c r="J4" s="3711"/>
      <c r="K4" s="145" t="s">
        <v>1228</v>
      </c>
      <c r="L4" s="2322"/>
      <c r="M4" s="2323"/>
      <c r="N4" s="2323"/>
      <c r="O4" s="2323"/>
      <c r="P4" s="3714" t="s">
        <v>1223</v>
      </c>
      <c r="Q4" s="3715"/>
      <c r="R4" s="3703" t="s">
        <v>1225</v>
      </c>
      <c r="S4" s="3704"/>
      <c r="T4" s="3703" t="s">
        <v>1226</v>
      </c>
      <c r="U4" s="3704"/>
      <c r="V4" s="3722" t="s">
        <v>1227</v>
      </c>
      <c r="W4" s="3722"/>
      <c r="X4" s="1344"/>
      <c r="Y4" s="3703" t="s">
        <v>1223</v>
      </c>
      <c r="Z4" s="3704"/>
      <c r="AA4" s="3698" t="s">
        <v>1225</v>
      </c>
      <c r="AB4" s="3698" t="s">
        <v>1226</v>
      </c>
      <c r="AC4" s="3698" t="s">
        <v>1227</v>
      </c>
    </row>
    <row r="5" spans="1:29">
      <c r="A5" s="146"/>
      <c r="B5" s="147"/>
      <c r="C5" s="3661" t="s">
        <v>1229</v>
      </c>
      <c r="D5" s="3662"/>
      <c r="E5" s="3659" t="s">
        <v>3611</v>
      </c>
      <c r="F5" s="3660"/>
      <c r="G5" s="3661" t="s">
        <v>3612</v>
      </c>
      <c r="H5" s="3662"/>
      <c r="I5" s="3661" t="s">
        <v>3613</v>
      </c>
      <c r="J5" s="3662"/>
      <c r="K5" s="152"/>
      <c r="L5" s="2322"/>
      <c r="M5" s="2323"/>
      <c r="N5" s="2323"/>
      <c r="O5" s="2323"/>
      <c r="P5" s="3716"/>
      <c r="Q5" s="3717"/>
      <c r="R5" s="3705"/>
      <c r="S5" s="3706"/>
      <c r="T5" s="3705"/>
      <c r="U5" s="3706"/>
      <c r="V5" s="3722"/>
      <c r="W5" s="3722"/>
      <c r="X5" s="1344"/>
      <c r="Y5" s="3705"/>
      <c r="Z5" s="3706"/>
      <c r="AA5" s="3699"/>
      <c r="AB5" s="3699"/>
      <c r="AC5" s="3699"/>
    </row>
    <row r="6" spans="1:29" ht="14.25" thickBot="1">
      <c r="A6" s="148"/>
      <c r="B6" s="149"/>
      <c r="C6" s="3663" t="s">
        <v>1230</v>
      </c>
      <c r="D6" s="3664"/>
      <c r="E6" s="3707" t="s">
        <v>1230</v>
      </c>
      <c r="F6" s="3708"/>
      <c r="G6" s="3663" t="s">
        <v>1230</v>
      </c>
      <c r="H6" s="3664"/>
      <c r="I6" s="3663" t="s">
        <v>1230</v>
      </c>
      <c r="J6" s="3664"/>
      <c r="K6" s="152" t="s">
        <v>1231</v>
      </c>
      <c r="L6" s="2322"/>
      <c r="M6" s="2323"/>
      <c r="N6" s="2323"/>
      <c r="O6" s="2323"/>
      <c r="P6" s="3718"/>
      <c r="Q6" s="3719"/>
      <c r="R6" s="3705"/>
      <c r="S6" s="3706"/>
      <c r="T6" s="3720"/>
      <c r="U6" s="3721"/>
      <c r="V6" s="3722"/>
      <c r="W6" s="3722"/>
      <c r="X6" s="1344"/>
      <c r="Y6" s="3720"/>
      <c r="Z6" s="3721"/>
      <c r="AA6" s="3700"/>
      <c r="AB6" s="3700"/>
      <c r="AC6" s="3700"/>
    </row>
    <row r="7" spans="1:29" s="40" customFormat="1" ht="15" thickBot="1">
      <c r="A7" s="1018" t="s">
        <v>1232</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01" t="s">
        <v>1232</v>
      </c>
      <c r="Q7" s="3723"/>
      <c r="R7" s="1346" t="s">
        <v>164</v>
      </c>
      <c r="S7" s="1347">
        <f t="shared" ref="S7:S15" si="0">F7</f>
        <v>100</v>
      </c>
      <c r="T7" s="1346" t="s">
        <v>164</v>
      </c>
      <c r="U7" s="1347">
        <f t="shared" ref="U7:U15" si="1">H7</f>
        <v>100</v>
      </c>
      <c r="V7" s="1346" t="s">
        <v>164</v>
      </c>
      <c r="W7" s="1347">
        <f t="shared" ref="W7:W15" si="2">J7</f>
        <v>100</v>
      </c>
      <c r="X7" s="293"/>
      <c r="Y7" s="3701" t="s">
        <v>1232</v>
      </c>
      <c r="Z7" s="3702"/>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1" t="s">
        <v>1233</v>
      </c>
      <c r="Q8" s="3702"/>
      <c r="R8" s="1346" t="s">
        <v>164</v>
      </c>
      <c r="S8" s="1347">
        <f t="shared" si="0"/>
        <v>100</v>
      </c>
      <c r="T8" s="1346" t="s">
        <v>164</v>
      </c>
      <c r="U8" s="1347">
        <f t="shared" si="1"/>
        <v>100</v>
      </c>
      <c r="V8" s="1346" t="s">
        <v>164</v>
      </c>
      <c r="W8" s="1347">
        <f t="shared" si="2"/>
        <v>100</v>
      </c>
      <c r="X8" s="293"/>
      <c r="Y8" s="3701" t="s">
        <v>1233</v>
      </c>
      <c r="Z8" s="3702"/>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09" t="s">
        <v>72</v>
      </c>
      <c r="Q9" s="7" t="str">
        <f t="shared" ref="Q9:Q15" si="6">B9</f>
        <v>用途</v>
      </c>
      <c r="R9" s="1346" t="s">
        <v>70</v>
      </c>
      <c r="S9" s="1347">
        <f t="shared" si="0"/>
        <v>100</v>
      </c>
      <c r="T9" s="1346" t="s">
        <v>70</v>
      </c>
      <c r="U9" s="1347">
        <f t="shared" si="1"/>
        <v>100</v>
      </c>
      <c r="V9" s="1346" t="s">
        <v>70</v>
      </c>
      <c r="W9" s="1347">
        <f t="shared" si="2"/>
        <v>100</v>
      </c>
      <c r="X9" s="293"/>
      <c r="Y9" s="3521"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09"/>
      <c r="Q10" s="7" t="str">
        <f t="shared" si="6"/>
        <v>土地使用年限（年）</v>
      </c>
      <c r="R10" s="1346" t="s">
        <v>70</v>
      </c>
      <c r="S10" s="1347">
        <f t="shared" si="0"/>
        <v>100</v>
      </c>
      <c r="T10" s="1346" t="s">
        <v>70</v>
      </c>
      <c r="U10" s="1347">
        <f t="shared" si="1"/>
        <v>100</v>
      </c>
      <c r="V10" s="1346" t="s">
        <v>70</v>
      </c>
      <c r="W10" s="1347">
        <f t="shared" si="2"/>
        <v>100</v>
      </c>
      <c r="X10" s="293"/>
      <c r="Y10" s="3521"/>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9"/>
      <c r="Q11" s="7" t="str">
        <f t="shared" si="6"/>
        <v>容积率</v>
      </c>
      <c r="R11" s="1346" t="s">
        <v>120</v>
      </c>
      <c r="S11" s="1347">
        <f t="shared" si="0"/>
        <v>100</v>
      </c>
      <c r="T11" s="1346" t="s">
        <v>120</v>
      </c>
      <c r="U11" s="1347">
        <f t="shared" si="1"/>
        <v>102</v>
      </c>
      <c r="V11" s="1346" t="s">
        <v>120</v>
      </c>
      <c r="W11" s="1347">
        <f t="shared" si="2"/>
        <v>104</v>
      </c>
      <c r="X11" s="293"/>
      <c r="Y11" s="3521"/>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9"/>
      <c r="Q12" s="7">
        <f t="shared" si="6"/>
        <v>111</v>
      </c>
      <c r="R12" s="1346" t="s">
        <v>120</v>
      </c>
      <c r="S12" s="1347">
        <f t="shared" si="0"/>
        <v>100</v>
      </c>
      <c r="T12" s="1346" t="s">
        <v>120</v>
      </c>
      <c r="U12" s="1347">
        <f t="shared" si="1"/>
        <v>100</v>
      </c>
      <c r="V12" s="1346" t="s">
        <v>120</v>
      </c>
      <c r="W12" s="1347">
        <f t="shared" si="2"/>
        <v>100</v>
      </c>
      <c r="X12" s="293"/>
      <c r="Y12" s="3521"/>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9"/>
      <c r="Q13" s="7">
        <f t="shared" si="6"/>
        <v>111</v>
      </c>
      <c r="R13" s="1346" t="s">
        <v>120</v>
      </c>
      <c r="S13" s="1347">
        <f t="shared" si="0"/>
        <v>100</v>
      </c>
      <c r="T13" s="1346" t="s">
        <v>120</v>
      </c>
      <c r="U13" s="1347">
        <f t="shared" si="1"/>
        <v>100</v>
      </c>
      <c r="V13" s="1346" t="s">
        <v>120</v>
      </c>
      <c r="W13" s="1347">
        <f t="shared" si="2"/>
        <v>100</v>
      </c>
      <c r="X13" s="293"/>
      <c r="Y13" s="3521"/>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9"/>
      <c r="Q14" s="7">
        <f t="shared" si="6"/>
        <v>111</v>
      </c>
      <c r="R14" s="1346" t="s">
        <v>120</v>
      </c>
      <c r="S14" s="1347">
        <f t="shared" si="0"/>
        <v>100</v>
      </c>
      <c r="T14" s="1346" t="s">
        <v>120</v>
      </c>
      <c r="U14" s="1347">
        <f t="shared" si="1"/>
        <v>100</v>
      </c>
      <c r="V14" s="1346" t="s">
        <v>120</v>
      </c>
      <c r="W14" s="1347">
        <f t="shared" si="2"/>
        <v>100</v>
      </c>
      <c r="X14" s="293"/>
      <c r="Y14" s="3521"/>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36" t="s">
        <v>74</v>
      </c>
      <c r="Q15" s="1355" t="str">
        <f t="shared" si="6"/>
        <v>居住社区成熟度</v>
      </c>
      <c r="R15" s="1356" t="s">
        <v>120</v>
      </c>
      <c r="S15" s="1357">
        <f t="shared" si="0"/>
        <v>100</v>
      </c>
      <c r="T15" s="1356" t="s">
        <v>120</v>
      </c>
      <c r="U15" s="1357">
        <f t="shared" si="1"/>
        <v>100</v>
      </c>
      <c r="V15" s="1356" t="s">
        <v>120</v>
      </c>
      <c r="W15" s="1357">
        <f t="shared" si="2"/>
        <v>97</v>
      </c>
      <c r="X15" s="1344"/>
      <c r="Y15" s="3729"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37"/>
      <c r="Q16" s="1355"/>
      <c r="R16" s="1356"/>
      <c r="S16" s="1357"/>
      <c r="T16" s="1356"/>
      <c r="U16" s="1357"/>
      <c r="V16" s="1356"/>
      <c r="W16" s="1357"/>
      <c r="X16" s="1344"/>
      <c r="Y16" s="373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37"/>
      <c r="Q17" s="1355" t="str">
        <f>B17</f>
        <v>交通便捷度</v>
      </c>
      <c r="R17" s="1356" t="s">
        <v>120</v>
      </c>
      <c r="S17" s="1357">
        <f>F17</f>
        <v>100</v>
      </c>
      <c r="T17" s="1356" t="s">
        <v>120</v>
      </c>
      <c r="U17" s="1357">
        <f>H17</f>
        <v>100</v>
      </c>
      <c r="V17" s="1356" t="s">
        <v>120</v>
      </c>
      <c r="W17" s="1357">
        <f>J17</f>
        <v>100</v>
      </c>
      <c r="X17" s="1344"/>
      <c r="Y17" s="3730"/>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37"/>
      <c r="Q18" s="1355"/>
      <c r="R18" s="1356"/>
      <c r="S18" s="1357"/>
      <c r="T18" s="1356"/>
      <c r="U18" s="1357"/>
      <c r="V18" s="1356"/>
      <c r="W18" s="1357"/>
      <c r="X18" s="1344"/>
      <c r="Y18" s="3730"/>
      <c r="Z18" s="1358"/>
      <c r="AA18" s="1359">
        <v>1</v>
      </c>
      <c r="AB18" s="1359">
        <v>1</v>
      </c>
      <c r="AC18" s="1359">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37"/>
      <c r="Q19" s="1355" t="str">
        <f>B19</f>
        <v>公共配套设施</v>
      </c>
      <c r="R19" s="1356" t="s">
        <v>120</v>
      </c>
      <c r="S19" s="1357">
        <f>F19</f>
        <v>100</v>
      </c>
      <c r="T19" s="1356" t="s">
        <v>120</v>
      </c>
      <c r="U19" s="1357">
        <f>H19</f>
        <v>100</v>
      </c>
      <c r="V19" s="1356" t="s">
        <v>120</v>
      </c>
      <c r="W19" s="1357">
        <f>J19</f>
        <v>95</v>
      </c>
      <c r="X19" s="1344"/>
      <c r="Y19" s="3730"/>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37"/>
      <c r="Q20" s="1355"/>
      <c r="R20" s="1356"/>
      <c r="S20" s="1357"/>
      <c r="T20" s="1356"/>
      <c r="U20" s="1357"/>
      <c r="V20" s="1356"/>
      <c r="W20" s="1357"/>
      <c r="X20" s="1344"/>
      <c r="Y20" s="3730"/>
      <c r="Z20" s="1358"/>
      <c r="AA20" s="1359">
        <v>1</v>
      </c>
      <c r="AB20" s="1359">
        <v>1</v>
      </c>
      <c r="AC20" s="1359">
        <v>1</v>
      </c>
    </row>
    <row r="21" spans="1:29" ht="27">
      <c r="A21" s="151"/>
      <c r="B21" s="1416" t="s">
        <v>3042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37"/>
      <c r="Q21" s="2782" t="str">
        <f>B21</f>
        <v>基础设施水平</v>
      </c>
      <c r="R21" s="1356" t="s">
        <v>70</v>
      </c>
      <c r="S21" s="1357">
        <f>F21</f>
        <v>100</v>
      </c>
      <c r="T21" s="1356" t="s">
        <v>70</v>
      </c>
      <c r="U21" s="1357">
        <f>H21</f>
        <v>100</v>
      </c>
      <c r="V21" s="1356" t="s">
        <v>70</v>
      </c>
      <c r="W21" s="1357">
        <f>J21</f>
        <v>100</v>
      </c>
      <c r="X21" s="2784"/>
      <c r="Y21" s="3730"/>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37"/>
      <c r="Q22" s="2782"/>
      <c r="R22" s="1356"/>
      <c r="S22" s="1357"/>
      <c r="T22" s="1356"/>
      <c r="U22" s="1357"/>
      <c r="V22" s="1356"/>
      <c r="W22" s="1357"/>
      <c r="X22" s="2784"/>
      <c r="Y22" s="3730"/>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37"/>
      <c r="Q23" s="1355" t="str">
        <f>B23</f>
        <v>自然及人文环境</v>
      </c>
      <c r="R23" s="1356" t="s">
        <v>120</v>
      </c>
      <c r="S23" s="1357">
        <f>F23</f>
        <v>98</v>
      </c>
      <c r="T23" s="1356" t="s">
        <v>120</v>
      </c>
      <c r="U23" s="1357">
        <f>H23</f>
        <v>98</v>
      </c>
      <c r="V23" s="1356" t="s">
        <v>120</v>
      </c>
      <c r="W23" s="1357">
        <f>J23</f>
        <v>98</v>
      </c>
      <c r="X23" s="1344"/>
      <c r="Y23" s="3730"/>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37"/>
      <c r="Q24" s="1355"/>
      <c r="R24" s="1356"/>
      <c r="S24" s="1357"/>
      <c r="T24" s="1356"/>
      <c r="U24" s="1357"/>
      <c r="V24" s="1356"/>
      <c r="W24" s="1357"/>
      <c r="X24" s="1344"/>
      <c r="Y24" s="3730"/>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37"/>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30"/>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37"/>
      <c r="Q26" s="1355" t="str">
        <f t="shared" si="11"/>
        <v>朝向</v>
      </c>
      <c r="R26" s="1356" t="s">
        <v>120</v>
      </c>
      <c r="S26" s="1357">
        <f t="shared" si="12"/>
        <v>100</v>
      </c>
      <c r="T26" s="1356" t="s">
        <v>120</v>
      </c>
      <c r="U26" s="1357">
        <f t="shared" si="13"/>
        <v>100</v>
      </c>
      <c r="V26" s="1356" t="s">
        <v>120</v>
      </c>
      <c r="W26" s="1357">
        <f t="shared" si="14"/>
        <v>100</v>
      </c>
      <c r="X26" s="1344"/>
      <c r="Y26" s="3730"/>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37"/>
      <c r="Q27" s="7" t="str">
        <f t="shared" si="11"/>
        <v>道路级别</v>
      </c>
      <c r="R27" s="1346" t="s">
        <v>120</v>
      </c>
      <c r="S27" s="1347">
        <f t="shared" si="12"/>
        <v>100</v>
      </c>
      <c r="T27" s="1346" t="s">
        <v>120</v>
      </c>
      <c r="U27" s="1347">
        <f t="shared" si="13"/>
        <v>98</v>
      </c>
      <c r="V27" s="1346" t="s">
        <v>120</v>
      </c>
      <c r="W27" s="1347">
        <f t="shared" si="14"/>
        <v>100</v>
      </c>
      <c r="X27" s="293"/>
      <c r="Y27" s="3730"/>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37"/>
      <c r="Q28" s="1355">
        <f t="shared" si="11"/>
        <v>111</v>
      </c>
      <c r="R28" s="1356" t="s">
        <v>120</v>
      </c>
      <c r="S28" s="1357">
        <f t="shared" si="12"/>
        <v>100</v>
      </c>
      <c r="T28" s="1356" t="s">
        <v>120</v>
      </c>
      <c r="U28" s="1357">
        <f t="shared" si="13"/>
        <v>100</v>
      </c>
      <c r="V28" s="1356" t="s">
        <v>120</v>
      </c>
      <c r="W28" s="1357">
        <f t="shared" si="14"/>
        <v>100</v>
      </c>
      <c r="X28" s="1344"/>
      <c r="Y28" s="3730"/>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37"/>
      <c r="Q29" s="1355">
        <f t="shared" si="11"/>
        <v>111</v>
      </c>
      <c r="R29" s="1356" t="s">
        <v>120</v>
      </c>
      <c r="S29" s="1357">
        <f t="shared" si="12"/>
        <v>100</v>
      </c>
      <c r="T29" s="1356" t="s">
        <v>120</v>
      </c>
      <c r="U29" s="1357">
        <f t="shared" si="13"/>
        <v>100</v>
      </c>
      <c r="V29" s="1356" t="s">
        <v>120</v>
      </c>
      <c r="W29" s="1357">
        <f t="shared" si="14"/>
        <v>100</v>
      </c>
      <c r="X29" s="1344"/>
      <c r="Y29" s="3730"/>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37"/>
      <c r="Q30" s="1355">
        <f t="shared" si="11"/>
        <v>111</v>
      </c>
      <c r="R30" s="1356" t="s">
        <v>120</v>
      </c>
      <c r="S30" s="1357">
        <f t="shared" si="12"/>
        <v>100</v>
      </c>
      <c r="T30" s="1356" t="s">
        <v>120</v>
      </c>
      <c r="U30" s="1357">
        <f t="shared" si="13"/>
        <v>100</v>
      </c>
      <c r="V30" s="1356" t="s">
        <v>120</v>
      </c>
      <c r="W30" s="1357">
        <f t="shared" si="14"/>
        <v>100</v>
      </c>
      <c r="X30" s="1344"/>
      <c r="Y30" s="3730"/>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37"/>
      <c r="Q31" s="1355">
        <f t="shared" si="11"/>
        <v>111</v>
      </c>
      <c r="R31" s="1356" t="s">
        <v>120</v>
      </c>
      <c r="S31" s="1357">
        <f t="shared" si="12"/>
        <v>100</v>
      </c>
      <c r="T31" s="1356" t="s">
        <v>120</v>
      </c>
      <c r="U31" s="1357">
        <f t="shared" si="13"/>
        <v>100</v>
      </c>
      <c r="V31" s="1356" t="s">
        <v>120</v>
      </c>
      <c r="W31" s="1357">
        <f t="shared" si="14"/>
        <v>100</v>
      </c>
      <c r="X31" s="1344"/>
      <c r="Y31" s="3730"/>
      <c r="Z31" s="1358">
        <f t="shared" si="18"/>
        <v>111</v>
      </c>
      <c r="AA31" s="1359">
        <f t="shared" si="15"/>
        <v>1</v>
      </c>
      <c r="AB31" s="1359">
        <f t="shared" si="16"/>
        <v>1</v>
      </c>
      <c r="AC31" s="1359">
        <f t="shared" si="17"/>
        <v>1</v>
      </c>
    </row>
    <row r="32" spans="1:29" ht="15">
      <c r="A32" s="155" t="s">
        <v>1238</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31" t="s">
        <v>75</v>
      </c>
      <c r="Q32" s="1355" t="str">
        <f t="shared" si="11"/>
        <v>建筑类型</v>
      </c>
      <c r="R32" s="1356" t="s">
        <v>120</v>
      </c>
      <c r="S32" s="1357">
        <f t="shared" si="12"/>
        <v>100</v>
      </c>
      <c r="T32" s="1356" t="s">
        <v>120</v>
      </c>
      <c r="U32" s="1357">
        <f t="shared" si="13"/>
        <v>100</v>
      </c>
      <c r="V32" s="1356" t="s">
        <v>120</v>
      </c>
      <c r="W32" s="1357">
        <f t="shared" si="14"/>
        <v>100</v>
      </c>
      <c r="X32" s="1344"/>
      <c r="Y32" s="3734"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32"/>
      <c r="Q33" s="1363" t="str">
        <f t="shared" si="11"/>
        <v>项目建筑规模</v>
      </c>
      <c r="R33" s="1364" t="s">
        <v>120</v>
      </c>
      <c r="S33" s="1365">
        <f t="shared" si="12"/>
        <v>100</v>
      </c>
      <c r="T33" s="1364" t="s">
        <v>120</v>
      </c>
      <c r="U33" s="1365">
        <f t="shared" si="13"/>
        <v>98</v>
      </c>
      <c r="V33" s="1364" t="s">
        <v>120</v>
      </c>
      <c r="W33" s="1365">
        <f t="shared" si="14"/>
        <v>100</v>
      </c>
      <c r="X33" s="1366"/>
      <c r="Y33" s="3734"/>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32"/>
      <c r="Q34" s="1355" t="str">
        <f t="shared" si="11"/>
        <v>建筑结构</v>
      </c>
      <c r="R34" s="1356" t="s">
        <v>120</v>
      </c>
      <c r="S34" s="1357">
        <f t="shared" si="12"/>
        <v>100</v>
      </c>
      <c r="T34" s="1356" t="s">
        <v>120</v>
      </c>
      <c r="U34" s="1357">
        <f t="shared" si="13"/>
        <v>100</v>
      </c>
      <c r="V34" s="1356" t="s">
        <v>120</v>
      </c>
      <c r="W34" s="1357">
        <f t="shared" si="14"/>
        <v>100</v>
      </c>
      <c r="X34" s="1344"/>
      <c r="Y34" s="3734"/>
      <c r="Z34" s="1358" t="str">
        <f t="shared" si="18"/>
        <v>建筑结构</v>
      </c>
      <c r="AA34" s="1359">
        <f t="shared" si="15"/>
        <v>1</v>
      </c>
      <c r="AB34" s="1359">
        <f t="shared" si="16"/>
        <v>1</v>
      </c>
      <c r="AC34" s="1359">
        <f t="shared" si="17"/>
        <v>1</v>
      </c>
    </row>
    <row r="35" spans="1:29" ht="15">
      <c r="A35" s="161"/>
      <c r="B35" s="12"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32"/>
      <c r="Q35" s="1355" t="str">
        <f t="shared" si="11"/>
        <v>建筑品质</v>
      </c>
      <c r="R35" s="1356" t="s">
        <v>120</v>
      </c>
      <c r="S35" s="1357">
        <f t="shared" si="12"/>
        <v>100</v>
      </c>
      <c r="T35" s="1356" t="s">
        <v>120</v>
      </c>
      <c r="U35" s="1357">
        <f t="shared" si="13"/>
        <v>100</v>
      </c>
      <c r="V35" s="1356" t="s">
        <v>120</v>
      </c>
      <c r="W35" s="1357">
        <f t="shared" si="14"/>
        <v>100</v>
      </c>
      <c r="X35" s="1344"/>
      <c r="Y35" s="3734"/>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32"/>
      <c r="Q36" s="1355" t="str">
        <f t="shared" si="11"/>
        <v>公共部分装修</v>
      </c>
      <c r="R36" s="1356" t="s">
        <v>120</v>
      </c>
      <c r="S36" s="1357">
        <f t="shared" si="12"/>
        <v>100</v>
      </c>
      <c r="T36" s="1356" t="s">
        <v>120</v>
      </c>
      <c r="U36" s="1357">
        <f t="shared" si="13"/>
        <v>100</v>
      </c>
      <c r="V36" s="1356" t="s">
        <v>120</v>
      </c>
      <c r="W36" s="1357">
        <f t="shared" si="14"/>
        <v>100</v>
      </c>
      <c r="X36" s="1344"/>
      <c r="Y36" s="3734"/>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32"/>
      <c r="Q37" s="7" t="str">
        <f t="shared" si="11"/>
        <v>成新度</v>
      </c>
      <c r="R37" s="1346" t="s">
        <v>120</v>
      </c>
      <c r="S37" s="1347">
        <f t="shared" si="12"/>
        <v>100</v>
      </c>
      <c r="T37" s="1346" t="s">
        <v>120</v>
      </c>
      <c r="U37" s="1347">
        <f t="shared" si="13"/>
        <v>100</v>
      </c>
      <c r="V37" s="1346" t="s">
        <v>120</v>
      </c>
      <c r="W37" s="1347">
        <f t="shared" si="14"/>
        <v>100</v>
      </c>
      <c r="X37" s="293"/>
      <c r="Y37" s="3734"/>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32" t="s">
        <v>75</v>
      </c>
      <c r="Q38" s="1355" t="str">
        <f t="shared" si="11"/>
        <v>物业管理</v>
      </c>
      <c r="R38" s="1356" t="s">
        <v>120</v>
      </c>
      <c r="S38" s="1357">
        <f t="shared" si="12"/>
        <v>100</v>
      </c>
      <c r="T38" s="1356" t="s">
        <v>120</v>
      </c>
      <c r="U38" s="1357">
        <f t="shared" si="13"/>
        <v>100</v>
      </c>
      <c r="V38" s="1356" t="s">
        <v>120</v>
      </c>
      <c r="W38" s="1357">
        <f t="shared" si="14"/>
        <v>100</v>
      </c>
      <c r="X38" s="1344"/>
      <c r="Y38" s="3734" t="s">
        <v>75</v>
      </c>
      <c r="Z38" s="1358" t="str">
        <f t="shared" si="18"/>
        <v>物业管理</v>
      </c>
      <c r="AA38" s="1359">
        <f t="shared" si="15"/>
        <v>1</v>
      </c>
      <c r="AB38" s="1359">
        <f t="shared" si="16"/>
        <v>1</v>
      </c>
      <c r="AC38" s="1359">
        <f t="shared" si="17"/>
        <v>1</v>
      </c>
    </row>
    <row r="39" spans="1:29" ht="15">
      <c r="A39" s="161"/>
      <c r="B39" s="12"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32"/>
      <c r="Q39" s="1355" t="str">
        <f t="shared" si="11"/>
        <v>市政基础设施</v>
      </c>
      <c r="R39" s="1356" t="s">
        <v>120</v>
      </c>
      <c r="S39" s="1357">
        <f t="shared" si="12"/>
        <v>100</v>
      </c>
      <c r="T39" s="1356" t="s">
        <v>120</v>
      </c>
      <c r="U39" s="1357">
        <f t="shared" si="13"/>
        <v>100</v>
      </c>
      <c r="V39" s="1356" t="s">
        <v>120</v>
      </c>
      <c r="W39" s="1357">
        <f t="shared" si="14"/>
        <v>100</v>
      </c>
      <c r="X39" s="1344"/>
      <c r="Y39" s="3734"/>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32"/>
      <c r="Q40" s="1355" t="str">
        <f t="shared" si="11"/>
        <v>房型</v>
      </c>
      <c r="R40" s="1356" t="s">
        <v>120</v>
      </c>
      <c r="S40" s="1357">
        <f t="shared" si="12"/>
        <v>100</v>
      </c>
      <c r="T40" s="1356" t="s">
        <v>120</v>
      </c>
      <c r="U40" s="1357">
        <f t="shared" si="13"/>
        <v>100</v>
      </c>
      <c r="V40" s="1356" t="s">
        <v>120</v>
      </c>
      <c r="W40" s="1357">
        <f t="shared" si="14"/>
        <v>100</v>
      </c>
      <c r="X40" s="1344"/>
      <c r="Y40" s="3734"/>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32"/>
      <c r="Q41" s="1363" t="str">
        <f t="shared" si="11"/>
        <v>单套/主力户型建筑面积</v>
      </c>
      <c r="R41" s="1364" t="s">
        <v>120</v>
      </c>
      <c r="S41" s="1365">
        <f t="shared" si="12"/>
        <v>100</v>
      </c>
      <c r="T41" s="1364" t="s">
        <v>120</v>
      </c>
      <c r="U41" s="1365">
        <f t="shared" si="13"/>
        <v>100</v>
      </c>
      <c r="V41" s="1364" t="s">
        <v>120</v>
      </c>
      <c r="W41" s="1365">
        <f t="shared" si="14"/>
        <v>100</v>
      </c>
      <c r="X41" s="1366"/>
      <c r="Y41" s="3734"/>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32"/>
      <c r="Q42" s="1355" t="str">
        <f t="shared" si="11"/>
        <v>内部装修</v>
      </c>
      <c r="R42" s="1356" t="s">
        <v>120</v>
      </c>
      <c r="S42" s="1357">
        <f t="shared" si="12"/>
        <v>100</v>
      </c>
      <c r="T42" s="1356" t="s">
        <v>120</v>
      </c>
      <c r="U42" s="1357">
        <f t="shared" si="13"/>
        <v>100</v>
      </c>
      <c r="V42" s="1356" t="s">
        <v>120</v>
      </c>
      <c r="W42" s="1357">
        <f t="shared" si="14"/>
        <v>100</v>
      </c>
      <c r="X42" s="1344"/>
      <c r="Y42" s="3734"/>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32"/>
      <c r="Q43" s="1355" t="str">
        <f t="shared" si="11"/>
        <v>内部装修维护情况</v>
      </c>
      <c r="R43" s="1356" t="s">
        <v>120</v>
      </c>
      <c r="S43" s="1357">
        <f t="shared" si="12"/>
        <v>100</v>
      </c>
      <c r="T43" s="1356" t="s">
        <v>120</v>
      </c>
      <c r="U43" s="1357">
        <f t="shared" si="13"/>
        <v>100</v>
      </c>
      <c r="V43" s="1356" t="s">
        <v>120</v>
      </c>
      <c r="W43" s="1357">
        <f t="shared" si="14"/>
        <v>100</v>
      </c>
      <c r="X43" s="1344"/>
      <c r="Y43" s="3734"/>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32"/>
      <c r="Q44" s="7">
        <f t="shared" si="11"/>
        <v>111</v>
      </c>
      <c r="R44" s="1346" t="s">
        <v>120</v>
      </c>
      <c r="S44" s="1347">
        <f t="shared" si="12"/>
        <v>100</v>
      </c>
      <c r="T44" s="1346" t="s">
        <v>120</v>
      </c>
      <c r="U44" s="1347">
        <f t="shared" si="13"/>
        <v>100</v>
      </c>
      <c r="V44" s="1346" t="s">
        <v>120</v>
      </c>
      <c r="W44" s="1347">
        <f t="shared" si="14"/>
        <v>100</v>
      </c>
      <c r="X44" s="293"/>
      <c r="Y44" s="3734"/>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32"/>
      <c r="Q45" s="1355">
        <f t="shared" si="11"/>
        <v>111</v>
      </c>
      <c r="R45" s="1356" t="s">
        <v>120</v>
      </c>
      <c r="S45" s="1357">
        <f t="shared" si="12"/>
        <v>100</v>
      </c>
      <c r="T45" s="1356" t="s">
        <v>120</v>
      </c>
      <c r="U45" s="1357">
        <f t="shared" si="13"/>
        <v>100</v>
      </c>
      <c r="V45" s="1356" t="s">
        <v>120</v>
      </c>
      <c r="W45" s="1357">
        <f t="shared" si="14"/>
        <v>100</v>
      </c>
      <c r="X45" s="1344"/>
      <c r="Y45" s="3734"/>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33"/>
      <c r="Q46" s="1355">
        <f t="shared" si="11"/>
        <v>111</v>
      </c>
      <c r="R46" s="1356" t="s">
        <v>119</v>
      </c>
      <c r="S46" s="1357">
        <f t="shared" si="12"/>
        <v>100</v>
      </c>
      <c r="T46" s="1356" t="s">
        <v>119</v>
      </c>
      <c r="U46" s="1357">
        <f t="shared" si="13"/>
        <v>100</v>
      </c>
      <c r="V46" s="1356" t="s">
        <v>119</v>
      </c>
      <c r="W46" s="1357">
        <f t="shared" si="14"/>
        <v>100</v>
      </c>
      <c r="X46" s="1344"/>
      <c r="Y46" s="3735"/>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727" t="str">
        <f>A47</f>
        <v>成交单价（元/平方米）</v>
      </c>
      <c r="Q47" s="3727"/>
      <c r="R47" s="3728">
        <f>E47</f>
        <v>18620</v>
      </c>
      <c r="S47" s="3728"/>
      <c r="T47" s="3728">
        <f>G47</f>
        <v>18620</v>
      </c>
      <c r="U47" s="3728"/>
      <c r="V47" s="3728">
        <f>I47</f>
        <v>18130</v>
      </c>
      <c r="W47" s="3728"/>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727" t="str">
        <f>A48</f>
        <v>比较价值（元/平方米）</v>
      </c>
      <c r="Q48" s="3727"/>
      <c r="R48" s="3728">
        <f>IF(F1="售价",ROUND(PRODUCT(R47,AA7:AA46),0),ROUND(PRODUCT(R47,AA7:AA46),1))</f>
        <v>19000</v>
      </c>
      <c r="S48" s="3728"/>
      <c r="T48" s="3728">
        <f>IF(F1="售价",ROUND(PRODUCT(T47,AB7:AB46),0),ROUND(PRODUCT(T47,AB7:AB46),1))</f>
        <v>19396</v>
      </c>
      <c r="U48" s="3728"/>
      <c r="V48" s="3728">
        <f>IF(F1="售价",ROUND(PRODUCT(V47,AC7:AC46),0),ROUND(PRODUCT(V47,AC7:AC46),1))</f>
        <v>19304</v>
      </c>
      <c r="W48" s="3728"/>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724" t="str">
        <f>A49</f>
        <v>估价对象XX用房的比较价值（楼面单价，元/平方米）</v>
      </c>
      <c r="Q49" s="3725"/>
      <c r="R49" s="3726">
        <f>IF(F1="售价",ROUND(AVERAGE(R48:V48),0),ROUND(AVERAGE(R48:V48),1))</f>
        <v>19233</v>
      </c>
      <c r="S49" s="3726"/>
      <c r="T49" s="3726"/>
      <c r="U49" s="3726"/>
      <c r="V49" s="3726"/>
      <c r="W49" s="372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3199</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3045</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B2" sqref="B2"/>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3488</v>
      </c>
      <c r="E1" s="3146"/>
      <c r="F1" s="3147" t="s">
        <v>3096</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118780</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16268</v>
      </c>
      <c r="C3" s="142" t="s">
        <v>1222</v>
      </c>
      <c r="D3" s="746">
        <f>IF(D1="",'数据-汇总表'!E3,SUMIF('数据-汇总表'!$C19:$C33,D1,'数据-汇总表'!$E19:$E33))</f>
        <v>73014.679999999993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10" t="s">
        <v>59</v>
      </c>
      <c r="D4" s="3711"/>
      <c r="E4" s="3712" t="s">
        <v>60</v>
      </c>
      <c r="F4" s="3713"/>
      <c r="G4" s="3710" t="s">
        <v>61</v>
      </c>
      <c r="H4" s="3711"/>
      <c r="I4" s="3710" t="s">
        <v>62</v>
      </c>
      <c r="J4" s="3711"/>
      <c r="K4" s="145" t="s">
        <v>63</v>
      </c>
      <c r="L4" s="2322"/>
      <c r="M4" s="2323"/>
      <c r="N4" s="2323"/>
      <c r="O4" s="2323"/>
      <c r="P4" s="3714" t="s">
        <v>58</v>
      </c>
      <c r="Q4" s="3715"/>
      <c r="R4" s="3703" t="s">
        <v>60</v>
      </c>
      <c r="S4" s="3704"/>
      <c r="T4" s="3703" t="s">
        <v>61</v>
      </c>
      <c r="U4" s="3704"/>
      <c r="V4" s="3722" t="s">
        <v>62</v>
      </c>
      <c r="W4" s="3722"/>
      <c r="X4" s="3332"/>
      <c r="Y4" s="3703" t="s">
        <v>58</v>
      </c>
      <c r="Z4" s="3704"/>
      <c r="AA4" s="3698" t="s">
        <v>60</v>
      </c>
      <c r="AB4" s="3698" t="s">
        <v>61</v>
      </c>
      <c r="AC4" s="3698" t="s">
        <v>62</v>
      </c>
    </row>
    <row r="5" spans="1:29">
      <c r="A5" s="146"/>
      <c r="B5" s="147"/>
      <c r="C5" s="3661" t="s">
        <v>64</v>
      </c>
      <c r="D5" s="3662"/>
      <c r="E5" s="3659" t="s">
        <v>3459</v>
      </c>
      <c r="F5" s="3660"/>
      <c r="G5" s="3661" t="s">
        <v>3463</v>
      </c>
      <c r="H5" s="3662"/>
      <c r="I5" s="3661" t="s">
        <v>3462</v>
      </c>
      <c r="J5" s="3662"/>
      <c r="K5" s="152"/>
      <c r="L5" s="2322"/>
      <c r="M5" s="2323"/>
      <c r="N5" s="2323"/>
      <c r="O5" s="2323"/>
      <c r="P5" s="3716"/>
      <c r="Q5" s="3717"/>
      <c r="R5" s="3705"/>
      <c r="S5" s="3706"/>
      <c r="T5" s="3705"/>
      <c r="U5" s="3706"/>
      <c r="V5" s="3722"/>
      <c r="W5" s="3722"/>
      <c r="X5" s="3332"/>
      <c r="Y5" s="3705"/>
      <c r="Z5" s="3706"/>
      <c r="AA5" s="3699"/>
      <c r="AB5" s="3699"/>
      <c r="AC5" s="3699"/>
    </row>
    <row r="6" spans="1:29" ht="14.25" thickBot="1">
      <c r="A6" s="148"/>
      <c r="B6" s="149"/>
      <c r="C6" s="3663" t="s">
        <v>68</v>
      </c>
      <c r="D6" s="3664"/>
      <c r="E6" s="3707" t="s">
        <v>68</v>
      </c>
      <c r="F6" s="3708"/>
      <c r="G6" s="3663" t="s">
        <v>68</v>
      </c>
      <c r="H6" s="3664"/>
      <c r="I6" s="3663" t="s">
        <v>68</v>
      </c>
      <c r="J6" s="3664"/>
      <c r="K6" s="152" t="s">
        <v>169</v>
      </c>
      <c r="L6" s="2322"/>
      <c r="M6" s="2323"/>
      <c r="N6" s="2323"/>
      <c r="O6" s="2323"/>
      <c r="P6" s="3718"/>
      <c r="Q6" s="3719"/>
      <c r="R6" s="3705"/>
      <c r="S6" s="3706"/>
      <c r="T6" s="3720"/>
      <c r="U6" s="3721"/>
      <c r="V6" s="3722"/>
      <c r="W6" s="3722"/>
      <c r="X6" s="3332"/>
      <c r="Y6" s="3720"/>
      <c r="Z6" s="3721"/>
      <c r="AA6" s="3700"/>
      <c r="AB6" s="3700"/>
      <c r="AC6" s="3700"/>
    </row>
    <row r="7" spans="1:29" s="40" customFormat="1" ht="15" thickBot="1">
      <c r="A7" s="1018" t="s">
        <v>69</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01" t="s">
        <v>69</v>
      </c>
      <c r="Q7" s="3723"/>
      <c r="R7" s="1346" t="s">
        <v>164</v>
      </c>
      <c r="S7" s="1347">
        <f t="shared" ref="S7:S15" si="0">F7</f>
        <v>100</v>
      </c>
      <c r="T7" s="1346" t="s">
        <v>164</v>
      </c>
      <c r="U7" s="1347">
        <f t="shared" ref="U7:U15" si="1">H7</f>
        <v>100</v>
      </c>
      <c r="V7" s="1346" t="s">
        <v>164</v>
      </c>
      <c r="W7" s="1347">
        <f t="shared" ref="W7:W15" si="2">J7</f>
        <v>100</v>
      </c>
      <c r="X7" s="293"/>
      <c r="Y7" s="3701" t="s">
        <v>69</v>
      </c>
      <c r="Z7" s="3702"/>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1" t="s">
        <v>71</v>
      </c>
      <c r="Q8" s="3702"/>
      <c r="R8" s="1346" t="s">
        <v>164</v>
      </c>
      <c r="S8" s="1347">
        <f t="shared" si="0"/>
        <v>100</v>
      </c>
      <c r="T8" s="1346" t="s">
        <v>164</v>
      </c>
      <c r="U8" s="1347">
        <f t="shared" si="1"/>
        <v>100</v>
      </c>
      <c r="V8" s="1346" t="s">
        <v>164</v>
      </c>
      <c r="W8" s="1347">
        <f t="shared" si="2"/>
        <v>100</v>
      </c>
      <c r="X8" s="293"/>
      <c r="Y8" s="3701" t="s">
        <v>71</v>
      </c>
      <c r="Z8" s="3702"/>
      <c r="AA8" s="1348">
        <f t="shared" ref="AA8:AA19" si="3">D8/F8</f>
        <v>1</v>
      </c>
      <c r="AB8" s="1348">
        <f t="shared" ref="AB8:AB19" si="4">D8/H8</f>
        <v>1</v>
      </c>
      <c r="AC8" s="1348">
        <f t="shared" ref="AC8:AC19" si="5">D8/J8</f>
        <v>1</v>
      </c>
    </row>
    <row r="9" spans="1:29" s="40" customFormat="1" ht="14.25">
      <c r="A9" s="1025" t="s">
        <v>72</v>
      </c>
      <c r="B9" s="62" t="s">
        <v>73</v>
      </c>
      <c r="C9" s="3446" t="s">
        <v>3590</v>
      </c>
      <c r="D9" s="429">
        <v>100</v>
      </c>
      <c r="E9" s="3445" t="s">
        <v>279</v>
      </c>
      <c r="F9" s="766">
        <f>SUMIF(63:63,E9,64:64)-SUMIF(63:63,C9,64:64)+100</f>
        <v>100</v>
      </c>
      <c r="G9" s="3444" t="s">
        <v>279</v>
      </c>
      <c r="H9" s="429">
        <f>SUMIF(63:63,G9,64:64)-SUMIF(63:63,C9,64:64)+100</f>
        <v>100</v>
      </c>
      <c r="I9" s="3444" t="s">
        <v>279</v>
      </c>
      <c r="J9" s="429">
        <f>SUMIF(63:63,I9,64:64)-SUMIF(63:63,C9,64:64)+100</f>
        <v>100</v>
      </c>
      <c r="K9" s="1345"/>
      <c r="L9" s="2324"/>
      <c r="M9" s="2286"/>
      <c r="N9" s="2286"/>
      <c r="O9" s="2286"/>
      <c r="P9" s="3709" t="s">
        <v>72</v>
      </c>
      <c r="Q9" s="3327" t="str">
        <f t="shared" ref="Q9:Q15" si="6">B9</f>
        <v>用途</v>
      </c>
      <c r="R9" s="1346" t="s">
        <v>70</v>
      </c>
      <c r="S9" s="1347">
        <f t="shared" si="0"/>
        <v>100</v>
      </c>
      <c r="T9" s="1346" t="s">
        <v>70</v>
      </c>
      <c r="U9" s="1347">
        <f t="shared" si="1"/>
        <v>100</v>
      </c>
      <c r="V9" s="1346" t="s">
        <v>70</v>
      </c>
      <c r="W9" s="1347">
        <f t="shared" si="2"/>
        <v>100</v>
      </c>
      <c r="X9" s="293"/>
      <c r="Y9" s="3521"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09"/>
      <c r="Q10" s="3327" t="str">
        <f t="shared" si="6"/>
        <v>土地使用年限（年）</v>
      </c>
      <c r="R10" s="1346" t="s">
        <v>70</v>
      </c>
      <c r="S10" s="1347">
        <f t="shared" si="0"/>
        <v>100</v>
      </c>
      <c r="T10" s="1346" t="s">
        <v>70</v>
      </c>
      <c r="U10" s="1347">
        <f t="shared" si="1"/>
        <v>100</v>
      </c>
      <c r="V10" s="1346" t="s">
        <v>70</v>
      </c>
      <c r="W10" s="1347">
        <f t="shared" si="2"/>
        <v>100</v>
      </c>
      <c r="X10" s="293"/>
      <c r="Y10" s="3521"/>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9"/>
      <c r="Q11" s="3327" t="str">
        <f t="shared" si="6"/>
        <v>容积率</v>
      </c>
      <c r="R11" s="1346" t="s">
        <v>70</v>
      </c>
      <c r="S11" s="1347">
        <f t="shared" si="0"/>
        <v>100</v>
      </c>
      <c r="T11" s="1346" t="s">
        <v>70</v>
      </c>
      <c r="U11" s="1347">
        <f t="shared" si="1"/>
        <v>102</v>
      </c>
      <c r="V11" s="1346" t="s">
        <v>70</v>
      </c>
      <c r="W11" s="1347">
        <f t="shared" si="2"/>
        <v>104</v>
      </c>
      <c r="X11" s="293"/>
      <c r="Y11" s="3521"/>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9"/>
      <c r="Q12" s="3327">
        <f t="shared" si="6"/>
        <v>111</v>
      </c>
      <c r="R12" s="1346" t="s">
        <v>70</v>
      </c>
      <c r="S12" s="1347">
        <f t="shared" si="0"/>
        <v>100</v>
      </c>
      <c r="T12" s="1346" t="s">
        <v>70</v>
      </c>
      <c r="U12" s="1347">
        <f t="shared" si="1"/>
        <v>100</v>
      </c>
      <c r="V12" s="1346" t="s">
        <v>70</v>
      </c>
      <c r="W12" s="1347">
        <f t="shared" si="2"/>
        <v>100</v>
      </c>
      <c r="X12" s="293"/>
      <c r="Y12" s="3521"/>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9"/>
      <c r="Q13" s="3327">
        <f t="shared" si="6"/>
        <v>111</v>
      </c>
      <c r="R13" s="1346" t="s">
        <v>70</v>
      </c>
      <c r="S13" s="1347">
        <f t="shared" si="0"/>
        <v>100</v>
      </c>
      <c r="T13" s="1346" t="s">
        <v>70</v>
      </c>
      <c r="U13" s="1347">
        <f t="shared" si="1"/>
        <v>100</v>
      </c>
      <c r="V13" s="1346" t="s">
        <v>70</v>
      </c>
      <c r="W13" s="1347">
        <f t="shared" si="2"/>
        <v>100</v>
      </c>
      <c r="X13" s="293"/>
      <c r="Y13" s="3521"/>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9"/>
      <c r="Q14" s="3327">
        <f t="shared" si="6"/>
        <v>111</v>
      </c>
      <c r="R14" s="1346" t="s">
        <v>70</v>
      </c>
      <c r="S14" s="1347">
        <f t="shared" si="0"/>
        <v>100</v>
      </c>
      <c r="T14" s="1346" t="s">
        <v>70</v>
      </c>
      <c r="U14" s="1347">
        <f t="shared" si="1"/>
        <v>100</v>
      </c>
      <c r="V14" s="1346" t="s">
        <v>70</v>
      </c>
      <c r="W14" s="1347">
        <f t="shared" si="2"/>
        <v>100</v>
      </c>
      <c r="X14" s="293"/>
      <c r="Y14" s="3521"/>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36" t="s">
        <v>74</v>
      </c>
      <c r="Q15" s="3330" t="str">
        <f t="shared" si="6"/>
        <v>居住社区成熟度</v>
      </c>
      <c r="R15" s="1356" t="s">
        <v>70</v>
      </c>
      <c r="S15" s="1357">
        <f t="shared" si="0"/>
        <v>100</v>
      </c>
      <c r="T15" s="1356" t="s">
        <v>70</v>
      </c>
      <c r="U15" s="1357">
        <f t="shared" si="1"/>
        <v>97</v>
      </c>
      <c r="V15" s="1356" t="s">
        <v>70</v>
      </c>
      <c r="W15" s="1357">
        <f t="shared" si="2"/>
        <v>97</v>
      </c>
      <c r="X15" s="3332"/>
      <c r="Y15" s="3729"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37"/>
      <c r="Q16" s="3330"/>
      <c r="R16" s="1356"/>
      <c r="S16" s="1357"/>
      <c r="T16" s="1356"/>
      <c r="U16" s="1357"/>
      <c r="V16" s="1356"/>
      <c r="W16" s="1357"/>
      <c r="X16" s="3332"/>
      <c r="Y16" s="3730"/>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37"/>
      <c r="Q17" s="3330" t="str">
        <f>B17</f>
        <v>交通便捷度</v>
      </c>
      <c r="R17" s="1356" t="s">
        <v>70</v>
      </c>
      <c r="S17" s="1357">
        <f>F17</f>
        <v>100</v>
      </c>
      <c r="T17" s="1356" t="s">
        <v>70</v>
      </c>
      <c r="U17" s="1357">
        <f>H17</f>
        <v>97</v>
      </c>
      <c r="V17" s="1356" t="s">
        <v>70</v>
      </c>
      <c r="W17" s="1357">
        <f>J17</f>
        <v>100</v>
      </c>
      <c r="X17" s="3332"/>
      <c r="Y17" s="3730"/>
      <c r="Z17" s="3333" t="str">
        <f>Q17</f>
        <v>交通便捷度</v>
      </c>
      <c r="AA17" s="3331">
        <f t="shared" si="3"/>
        <v>1</v>
      </c>
      <c r="AB17" s="3331">
        <f t="shared" si="4"/>
        <v>1.0309278350515463</v>
      </c>
      <c r="AC17" s="3331">
        <f t="shared" si="5"/>
        <v>1</v>
      </c>
    </row>
    <row r="18" spans="1:29" ht="14.25">
      <c r="A18" s="151"/>
      <c r="B18" s="1045"/>
      <c r="C18" s="102" t="s">
        <v>123</v>
      </c>
      <c r="D18" s="798"/>
      <c r="E18" s="104" t="s">
        <v>123</v>
      </c>
      <c r="F18" s="798"/>
      <c r="G18" s="103" t="s">
        <v>124</v>
      </c>
      <c r="H18" s="796"/>
      <c r="I18" s="3443" t="s">
        <v>123</v>
      </c>
      <c r="J18" s="796"/>
      <c r="K18" s="159"/>
      <c r="L18" s="2328"/>
      <c r="M18" s="2323"/>
      <c r="N18" s="2323"/>
      <c r="O18" s="2323"/>
      <c r="P18" s="3737"/>
      <c r="Q18" s="3330"/>
      <c r="R18" s="1356"/>
      <c r="S18" s="1357"/>
      <c r="T18" s="1356"/>
      <c r="U18" s="1357"/>
      <c r="V18" s="1356"/>
      <c r="W18" s="1357"/>
      <c r="X18" s="3332"/>
      <c r="Y18" s="3730"/>
      <c r="Z18" s="3333"/>
      <c r="AA18" s="3331">
        <v>1</v>
      </c>
      <c r="AB18" s="3331">
        <v>1</v>
      </c>
      <c r="AC18" s="3331">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37"/>
      <c r="Q19" s="3330" t="str">
        <f>B19</f>
        <v>公共配套设施</v>
      </c>
      <c r="R19" s="1356" t="s">
        <v>70</v>
      </c>
      <c r="S19" s="1357">
        <f>F19</f>
        <v>100</v>
      </c>
      <c r="T19" s="1356" t="s">
        <v>70</v>
      </c>
      <c r="U19" s="1357">
        <f>H19</f>
        <v>97</v>
      </c>
      <c r="V19" s="1356" t="s">
        <v>70</v>
      </c>
      <c r="W19" s="1357">
        <f>J19</f>
        <v>97</v>
      </c>
      <c r="X19" s="3332"/>
      <c r="Y19" s="3730"/>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37"/>
      <c r="Q20" s="3330"/>
      <c r="R20" s="1356"/>
      <c r="S20" s="1357"/>
      <c r="T20" s="1356"/>
      <c r="U20" s="1357"/>
      <c r="V20" s="1356"/>
      <c r="W20" s="1357"/>
      <c r="X20" s="3332"/>
      <c r="Y20" s="3730"/>
      <c r="Z20" s="3333"/>
      <c r="AA20" s="3331">
        <v>1</v>
      </c>
      <c r="AB20" s="3331">
        <v>1</v>
      </c>
      <c r="AC20" s="3331">
        <v>1</v>
      </c>
    </row>
    <row r="21" spans="1:29" ht="27">
      <c r="A21" s="151"/>
      <c r="B21" s="1416" t="s">
        <v>3030</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37"/>
      <c r="Q21" s="3330" t="str">
        <f>B21</f>
        <v>基础设施水平</v>
      </c>
      <c r="R21" s="1356" t="s">
        <v>70</v>
      </c>
      <c r="S21" s="1357">
        <f>F21</f>
        <v>100</v>
      </c>
      <c r="T21" s="1356" t="s">
        <v>70</v>
      </c>
      <c r="U21" s="1357">
        <f>H21</f>
        <v>100</v>
      </c>
      <c r="V21" s="1356" t="s">
        <v>70</v>
      </c>
      <c r="W21" s="1357">
        <f>J21</f>
        <v>100</v>
      </c>
      <c r="X21" s="3332"/>
      <c r="Y21" s="3730"/>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37"/>
      <c r="Q22" s="3330"/>
      <c r="R22" s="1356"/>
      <c r="S22" s="1357"/>
      <c r="T22" s="1356"/>
      <c r="U22" s="1357"/>
      <c r="V22" s="1356"/>
      <c r="W22" s="1357"/>
      <c r="X22" s="3332"/>
      <c r="Y22" s="3730"/>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37"/>
      <c r="Q23" s="3330" t="str">
        <f>B23</f>
        <v>自然及人文环境</v>
      </c>
      <c r="R23" s="1356" t="s">
        <v>70</v>
      </c>
      <c r="S23" s="1357">
        <f>F23</f>
        <v>98</v>
      </c>
      <c r="T23" s="1356" t="s">
        <v>70</v>
      </c>
      <c r="U23" s="1357">
        <f>H23</f>
        <v>98</v>
      </c>
      <c r="V23" s="1356" t="s">
        <v>70</v>
      </c>
      <c r="W23" s="1357">
        <f>J23</f>
        <v>98</v>
      </c>
      <c r="X23" s="3332"/>
      <c r="Y23" s="3730"/>
      <c r="Z23" s="3333" t="str">
        <f>Q23</f>
        <v>自然及人文环境</v>
      </c>
      <c r="AA23" s="3331">
        <f>D23/F23</f>
        <v>1.0204081632653061</v>
      </c>
      <c r="AB23" s="3331">
        <f>D23/H23</f>
        <v>1.0204081632653061</v>
      </c>
      <c r="AC23" s="3331">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37"/>
      <c r="Q24" s="3330"/>
      <c r="R24" s="1356"/>
      <c r="S24" s="1357"/>
      <c r="T24" s="1356"/>
      <c r="U24" s="1357"/>
      <c r="V24" s="1356"/>
      <c r="W24" s="1357"/>
      <c r="X24" s="3332"/>
      <c r="Y24" s="3730"/>
      <c r="Z24" s="3333"/>
      <c r="AA24" s="3331">
        <v>1</v>
      </c>
      <c r="AB24" s="3331">
        <v>1</v>
      </c>
      <c r="AC24" s="3331">
        <v>1</v>
      </c>
    </row>
    <row r="25" spans="1:29" ht="15" hidden="1">
      <c r="A25" s="151"/>
      <c r="B25" s="3329"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37"/>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30"/>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37"/>
      <c r="Q26" s="3330" t="str">
        <f t="shared" si="11"/>
        <v>朝向</v>
      </c>
      <c r="R26" s="1356" t="s">
        <v>70</v>
      </c>
      <c r="S26" s="1357">
        <f t="shared" si="12"/>
        <v>100</v>
      </c>
      <c r="T26" s="1356" t="s">
        <v>70</v>
      </c>
      <c r="U26" s="1357">
        <f t="shared" si="13"/>
        <v>100</v>
      </c>
      <c r="V26" s="1356" t="s">
        <v>70</v>
      </c>
      <c r="W26" s="1357">
        <f t="shared" si="14"/>
        <v>100</v>
      </c>
      <c r="X26" s="3332"/>
      <c r="Y26" s="3730"/>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37"/>
      <c r="Q27" s="3327" t="str">
        <f t="shared" si="11"/>
        <v>道路级别</v>
      </c>
      <c r="R27" s="1346" t="s">
        <v>70</v>
      </c>
      <c r="S27" s="1347">
        <f t="shared" si="12"/>
        <v>100</v>
      </c>
      <c r="T27" s="1346" t="s">
        <v>70</v>
      </c>
      <c r="U27" s="1347">
        <f t="shared" si="13"/>
        <v>100</v>
      </c>
      <c r="V27" s="1346" t="s">
        <v>70</v>
      </c>
      <c r="W27" s="1347">
        <f t="shared" si="14"/>
        <v>100</v>
      </c>
      <c r="X27" s="293"/>
      <c r="Y27" s="3730"/>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37"/>
      <c r="Q28" s="3330">
        <f t="shared" si="11"/>
        <v>111</v>
      </c>
      <c r="R28" s="1356" t="s">
        <v>70</v>
      </c>
      <c r="S28" s="1357">
        <f t="shared" si="12"/>
        <v>100</v>
      </c>
      <c r="T28" s="1356" t="s">
        <v>70</v>
      </c>
      <c r="U28" s="1357">
        <f t="shared" si="13"/>
        <v>100</v>
      </c>
      <c r="V28" s="1356" t="s">
        <v>70</v>
      </c>
      <c r="W28" s="1357">
        <f t="shared" si="14"/>
        <v>100</v>
      </c>
      <c r="X28" s="3332"/>
      <c r="Y28" s="3730"/>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37"/>
      <c r="Q29" s="3330">
        <f t="shared" si="11"/>
        <v>111</v>
      </c>
      <c r="R29" s="1356" t="s">
        <v>70</v>
      </c>
      <c r="S29" s="1357">
        <f t="shared" si="12"/>
        <v>100</v>
      </c>
      <c r="T29" s="1356" t="s">
        <v>70</v>
      </c>
      <c r="U29" s="1357">
        <f t="shared" si="13"/>
        <v>100</v>
      </c>
      <c r="V29" s="1356" t="s">
        <v>70</v>
      </c>
      <c r="W29" s="1357">
        <f t="shared" si="14"/>
        <v>100</v>
      </c>
      <c r="X29" s="3332"/>
      <c r="Y29" s="3730"/>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37"/>
      <c r="Q30" s="3330">
        <f t="shared" si="11"/>
        <v>111</v>
      </c>
      <c r="R30" s="1356" t="s">
        <v>70</v>
      </c>
      <c r="S30" s="1357">
        <f t="shared" si="12"/>
        <v>100</v>
      </c>
      <c r="T30" s="1356" t="s">
        <v>70</v>
      </c>
      <c r="U30" s="1357">
        <f t="shared" si="13"/>
        <v>100</v>
      </c>
      <c r="V30" s="1356" t="s">
        <v>70</v>
      </c>
      <c r="W30" s="1357">
        <f t="shared" si="14"/>
        <v>100</v>
      </c>
      <c r="X30" s="3332"/>
      <c r="Y30" s="3730"/>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37"/>
      <c r="Q31" s="3330">
        <f t="shared" si="11"/>
        <v>111</v>
      </c>
      <c r="R31" s="1356" t="s">
        <v>70</v>
      </c>
      <c r="S31" s="1357">
        <f t="shared" si="12"/>
        <v>100</v>
      </c>
      <c r="T31" s="1356" t="s">
        <v>70</v>
      </c>
      <c r="U31" s="1357">
        <f t="shared" si="13"/>
        <v>100</v>
      </c>
      <c r="V31" s="1356" t="s">
        <v>70</v>
      </c>
      <c r="W31" s="1357">
        <f t="shared" si="14"/>
        <v>100</v>
      </c>
      <c r="X31" s="3332"/>
      <c r="Y31" s="3730"/>
      <c r="Z31" s="3333">
        <f t="shared" si="18"/>
        <v>111</v>
      </c>
      <c r="AA31" s="3331">
        <f t="shared" si="15"/>
        <v>1</v>
      </c>
      <c r="AB31" s="3331">
        <f t="shared" si="16"/>
        <v>1</v>
      </c>
      <c r="AC31" s="3331">
        <f t="shared" si="17"/>
        <v>1</v>
      </c>
    </row>
    <row r="32" spans="1:29" ht="15">
      <c r="A32" s="155" t="s">
        <v>75</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31" t="s">
        <v>75</v>
      </c>
      <c r="Q32" s="3330" t="str">
        <f t="shared" si="11"/>
        <v>建筑类型</v>
      </c>
      <c r="R32" s="1356" t="s">
        <v>70</v>
      </c>
      <c r="S32" s="1357">
        <f t="shared" si="12"/>
        <v>100</v>
      </c>
      <c r="T32" s="1356" t="s">
        <v>70</v>
      </c>
      <c r="U32" s="1357">
        <f t="shared" si="13"/>
        <v>100</v>
      </c>
      <c r="V32" s="1356" t="s">
        <v>70</v>
      </c>
      <c r="W32" s="1357">
        <f t="shared" si="14"/>
        <v>100</v>
      </c>
      <c r="X32" s="3332"/>
      <c r="Y32" s="3734"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32"/>
      <c r="Q33" s="1363" t="str">
        <f t="shared" si="11"/>
        <v>项目建筑规模</v>
      </c>
      <c r="R33" s="1364" t="s">
        <v>70</v>
      </c>
      <c r="S33" s="1365">
        <f t="shared" si="12"/>
        <v>100</v>
      </c>
      <c r="T33" s="1364" t="s">
        <v>70</v>
      </c>
      <c r="U33" s="1365">
        <f t="shared" si="13"/>
        <v>98</v>
      </c>
      <c r="V33" s="1364" t="s">
        <v>70</v>
      </c>
      <c r="W33" s="1365">
        <f t="shared" si="14"/>
        <v>100</v>
      </c>
      <c r="X33" s="1366"/>
      <c r="Y33" s="3734"/>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32"/>
      <c r="Q34" s="3330" t="str">
        <f t="shared" si="11"/>
        <v>建筑结构</v>
      </c>
      <c r="R34" s="1356" t="s">
        <v>70</v>
      </c>
      <c r="S34" s="1357">
        <f t="shared" si="12"/>
        <v>100</v>
      </c>
      <c r="T34" s="1356" t="s">
        <v>70</v>
      </c>
      <c r="U34" s="1357">
        <f t="shared" si="13"/>
        <v>100</v>
      </c>
      <c r="V34" s="1356" t="s">
        <v>70</v>
      </c>
      <c r="W34" s="1357">
        <f t="shared" si="14"/>
        <v>100</v>
      </c>
      <c r="X34" s="3332"/>
      <c r="Y34" s="3734"/>
      <c r="Z34" s="3333" t="str">
        <f t="shared" si="18"/>
        <v>建筑结构</v>
      </c>
      <c r="AA34" s="3331">
        <f t="shared" si="15"/>
        <v>1</v>
      </c>
      <c r="AB34" s="3331">
        <f t="shared" si="16"/>
        <v>1</v>
      </c>
      <c r="AC34" s="3331">
        <f t="shared" si="17"/>
        <v>1</v>
      </c>
    </row>
    <row r="35" spans="1:29" ht="15">
      <c r="A35" s="161"/>
      <c r="B35" s="3329"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32"/>
      <c r="Q35" s="3330" t="str">
        <f t="shared" si="11"/>
        <v>建筑品质</v>
      </c>
      <c r="R35" s="1356" t="s">
        <v>70</v>
      </c>
      <c r="S35" s="1357">
        <f t="shared" si="12"/>
        <v>100</v>
      </c>
      <c r="T35" s="1356" t="s">
        <v>70</v>
      </c>
      <c r="U35" s="1357">
        <f t="shared" si="13"/>
        <v>100</v>
      </c>
      <c r="V35" s="1356" t="s">
        <v>70</v>
      </c>
      <c r="W35" s="1357">
        <f t="shared" si="14"/>
        <v>100</v>
      </c>
      <c r="X35" s="3332"/>
      <c r="Y35" s="3734"/>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32"/>
      <c r="Q36" s="3330" t="str">
        <f t="shared" si="11"/>
        <v>公共部分装修</v>
      </c>
      <c r="R36" s="1356" t="s">
        <v>70</v>
      </c>
      <c r="S36" s="1357">
        <f t="shared" si="12"/>
        <v>100</v>
      </c>
      <c r="T36" s="1356" t="s">
        <v>70</v>
      </c>
      <c r="U36" s="1357">
        <f t="shared" si="13"/>
        <v>100</v>
      </c>
      <c r="V36" s="1356" t="s">
        <v>70</v>
      </c>
      <c r="W36" s="1357">
        <f t="shared" si="14"/>
        <v>100</v>
      </c>
      <c r="X36" s="3332"/>
      <c r="Y36" s="3734"/>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32"/>
      <c r="Q37" s="3327" t="str">
        <f t="shared" si="11"/>
        <v>成新度</v>
      </c>
      <c r="R37" s="1346" t="s">
        <v>70</v>
      </c>
      <c r="S37" s="1347">
        <f t="shared" si="12"/>
        <v>100</v>
      </c>
      <c r="T37" s="1346" t="s">
        <v>70</v>
      </c>
      <c r="U37" s="1347">
        <f t="shared" si="13"/>
        <v>100</v>
      </c>
      <c r="V37" s="1346" t="s">
        <v>70</v>
      </c>
      <c r="W37" s="1347">
        <f t="shared" si="14"/>
        <v>100</v>
      </c>
      <c r="X37" s="293"/>
      <c r="Y37" s="3734"/>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32" t="s">
        <v>75</v>
      </c>
      <c r="Q38" s="3330" t="str">
        <f t="shared" si="11"/>
        <v>物业管理</v>
      </c>
      <c r="R38" s="1356" t="s">
        <v>70</v>
      </c>
      <c r="S38" s="1357">
        <f t="shared" si="12"/>
        <v>100</v>
      </c>
      <c r="T38" s="1356" t="s">
        <v>70</v>
      </c>
      <c r="U38" s="1357">
        <f t="shared" si="13"/>
        <v>100</v>
      </c>
      <c r="V38" s="1356" t="s">
        <v>70</v>
      </c>
      <c r="W38" s="1357">
        <f t="shared" si="14"/>
        <v>100</v>
      </c>
      <c r="X38" s="3332"/>
      <c r="Y38" s="3734" t="s">
        <v>75</v>
      </c>
      <c r="Z38" s="3333" t="str">
        <f t="shared" si="18"/>
        <v>物业管理</v>
      </c>
      <c r="AA38" s="3331">
        <f t="shared" si="15"/>
        <v>1</v>
      </c>
      <c r="AB38" s="3331">
        <f t="shared" si="16"/>
        <v>1</v>
      </c>
      <c r="AC38" s="3331">
        <f t="shared" si="17"/>
        <v>1</v>
      </c>
    </row>
    <row r="39" spans="1:29" ht="15">
      <c r="A39" s="161"/>
      <c r="B39" s="3329"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32"/>
      <c r="Q39" s="3330" t="str">
        <f t="shared" si="11"/>
        <v>市政基础设施</v>
      </c>
      <c r="R39" s="1356" t="s">
        <v>70</v>
      </c>
      <c r="S39" s="1357">
        <f t="shared" si="12"/>
        <v>100</v>
      </c>
      <c r="T39" s="1356" t="s">
        <v>70</v>
      </c>
      <c r="U39" s="1357">
        <f t="shared" si="13"/>
        <v>100</v>
      </c>
      <c r="V39" s="1356" t="s">
        <v>70</v>
      </c>
      <c r="W39" s="1357">
        <f t="shared" si="14"/>
        <v>100</v>
      </c>
      <c r="X39" s="3332"/>
      <c r="Y39" s="3734"/>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32"/>
      <c r="Q40" s="3330" t="str">
        <f t="shared" si="11"/>
        <v>房型</v>
      </c>
      <c r="R40" s="1356" t="s">
        <v>70</v>
      </c>
      <c r="S40" s="1357">
        <f t="shared" si="12"/>
        <v>100</v>
      </c>
      <c r="T40" s="1356" t="s">
        <v>70</v>
      </c>
      <c r="U40" s="1357">
        <f t="shared" si="13"/>
        <v>100</v>
      </c>
      <c r="V40" s="1356" t="s">
        <v>70</v>
      </c>
      <c r="W40" s="1357">
        <f t="shared" si="14"/>
        <v>100</v>
      </c>
      <c r="X40" s="3332"/>
      <c r="Y40" s="3734"/>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32"/>
      <c r="Q41" s="1363" t="str">
        <f t="shared" si="11"/>
        <v>单套/主力户型建筑面积</v>
      </c>
      <c r="R41" s="1364" t="s">
        <v>70</v>
      </c>
      <c r="S41" s="1365">
        <f t="shared" si="12"/>
        <v>100</v>
      </c>
      <c r="T41" s="1364" t="s">
        <v>70</v>
      </c>
      <c r="U41" s="1365">
        <f t="shared" si="13"/>
        <v>100</v>
      </c>
      <c r="V41" s="1364" t="s">
        <v>70</v>
      </c>
      <c r="W41" s="1365">
        <f t="shared" si="14"/>
        <v>100</v>
      </c>
      <c r="X41" s="1366"/>
      <c r="Y41" s="3734"/>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32"/>
      <c r="Q42" s="3330" t="str">
        <f t="shared" si="11"/>
        <v>内部装修</v>
      </c>
      <c r="R42" s="1356" t="s">
        <v>70</v>
      </c>
      <c r="S42" s="1357">
        <f t="shared" si="12"/>
        <v>100</v>
      </c>
      <c r="T42" s="1356" t="s">
        <v>70</v>
      </c>
      <c r="U42" s="1357">
        <f t="shared" si="13"/>
        <v>100</v>
      </c>
      <c r="V42" s="1356" t="s">
        <v>70</v>
      </c>
      <c r="W42" s="1357">
        <f t="shared" si="14"/>
        <v>100</v>
      </c>
      <c r="X42" s="3332"/>
      <c r="Y42" s="3734"/>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32"/>
      <c r="Q43" s="3330" t="str">
        <f t="shared" si="11"/>
        <v>内部装修维护情况</v>
      </c>
      <c r="R43" s="1356" t="s">
        <v>70</v>
      </c>
      <c r="S43" s="1357">
        <f t="shared" si="12"/>
        <v>100</v>
      </c>
      <c r="T43" s="1356" t="s">
        <v>70</v>
      </c>
      <c r="U43" s="1357">
        <f t="shared" si="13"/>
        <v>100</v>
      </c>
      <c r="V43" s="1356" t="s">
        <v>70</v>
      </c>
      <c r="W43" s="1357">
        <f t="shared" si="14"/>
        <v>100</v>
      </c>
      <c r="X43" s="3332"/>
      <c r="Y43" s="3734"/>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32"/>
      <c r="Q44" s="3327">
        <f t="shared" si="11"/>
        <v>111</v>
      </c>
      <c r="R44" s="1346" t="s">
        <v>70</v>
      </c>
      <c r="S44" s="1347">
        <f t="shared" si="12"/>
        <v>100</v>
      </c>
      <c r="T44" s="1346" t="s">
        <v>70</v>
      </c>
      <c r="U44" s="1347">
        <f t="shared" si="13"/>
        <v>100</v>
      </c>
      <c r="V44" s="1346" t="s">
        <v>70</v>
      </c>
      <c r="W44" s="1347">
        <f t="shared" si="14"/>
        <v>100</v>
      </c>
      <c r="X44" s="293"/>
      <c r="Y44" s="3734"/>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32"/>
      <c r="Q45" s="3330">
        <f t="shared" si="11"/>
        <v>111</v>
      </c>
      <c r="R45" s="1356" t="s">
        <v>70</v>
      </c>
      <c r="S45" s="1357">
        <f t="shared" si="12"/>
        <v>100</v>
      </c>
      <c r="T45" s="1356" t="s">
        <v>70</v>
      </c>
      <c r="U45" s="1357">
        <f t="shared" si="13"/>
        <v>100</v>
      </c>
      <c r="V45" s="1356" t="s">
        <v>70</v>
      </c>
      <c r="W45" s="1357">
        <f t="shared" si="14"/>
        <v>100</v>
      </c>
      <c r="X45" s="3332"/>
      <c r="Y45" s="3734"/>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33"/>
      <c r="Q46" s="3330">
        <f t="shared" si="11"/>
        <v>111</v>
      </c>
      <c r="R46" s="1356" t="s">
        <v>70</v>
      </c>
      <c r="S46" s="1357">
        <f t="shared" si="12"/>
        <v>100</v>
      </c>
      <c r="T46" s="1356" t="s">
        <v>70</v>
      </c>
      <c r="U46" s="1357">
        <f t="shared" si="13"/>
        <v>100</v>
      </c>
      <c r="V46" s="1356" t="s">
        <v>70</v>
      </c>
      <c r="W46" s="1357">
        <f t="shared" si="14"/>
        <v>100</v>
      </c>
      <c r="X46" s="3332"/>
      <c r="Y46" s="3735"/>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727" t="str">
        <f>A47</f>
        <v>成交单价（元/平方米）</v>
      </c>
      <c r="Q47" s="3727"/>
      <c r="R47" s="3728">
        <f>E47</f>
        <v>15190</v>
      </c>
      <c r="S47" s="3728"/>
      <c r="T47" s="3728">
        <f>G47</f>
        <v>14700</v>
      </c>
      <c r="U47" s="3728"/>
      <c r="V47" s="3728">
        <f>I47</f>
        <v>16170</v>
      </c>
      <c r="W47" s="3728"/>
      <c r="X47" s="1369"/>
      <c r="Y47" s="1370"/>
      <c r="Z47" s="1369"/>
      <c r="AA47" s="1369"/>
      <c r="AB47" s="1369"/>
      <c r="AC47" s="1369"/>
    </row>
    <row r="48" spans="1:29" ht="15.75" thickBot="1">
      <c r="A48" s="165" t="s">
        <v>116</v>
      </c>
      <c r="B48" s="166"/>
      <c r="C48" s="2878">
        <f>R49</f>
        <v>16268</v>
      </c>
      <c r="D48" s="2879"/>
      <c r="E48" s="2880">
        <f>R48</f>
        <v>15500</v>
      </c>
      <c r="F48" s="2880"/>
      <c r="G48" s="2878">
        <f>T48</f>
        <v>16442</v>
      </c>
      <c r="H48" s="2879"/>
      <c r="I48" s="2880">
        <f>V48</f>
        <v>16862</v>
      </c>
      <c r="J48" s="2879"/>
      <c r="K48" s="1371"/>
      <c r="L48" s="2330"/>
      <c r="M48" s="2331"/>
      <c r="N48" s="2331"/>
      <c r="O48" s="2331"/>
      <c r="P48" s="3727" t="str">
        <f>A48</f>
        <v>比较价值（元/平方米）</v>
      </c>
      <c r="Q48" s="3727"/>
      <c r="R48" s="3728">
        <f>IF(F1="售价",ROUND(PRODUCT(R47,AA7:AA46),0),ROUND(PRODUCT(R47,AA7:AA46),1))</f>
        <v>15500</v>
      </c>
      <c r="S48" s="3728"/>
      <c r="T48" s="3728">
        <f>IF(F1="售价",ROUND(PRODUCT(T47,AB7:AB46),0),ROUND(PRODUCT(T47,AB7:AB46),1))</f>
        <v>16442</v>
      </c>
      <c r="U48" s="3728"/>
      <c r="V48" s="3728">
        <f>IF(F1="售价",ROUND(PRODUCT(V47,AC7:AC46),0),ROUND(PRODUCT(V47,AC7:AC46),1))</f>
        <v>16862</v>
      </c>
      <c r="W48" s="3728"/>
      <c r="X48" s="1369"/>
      <c r="Y48" s="1369"/>
      <c r="Z48" s="1369"/>
      <c r="AA48" s="1369"/>
      <c r="AB48" s="1369"/>
      <c r="AC48" s="1369"/>
    </row>
    <row r="49" spans="1:29" ht="15.75" thickBot="1">
      <c r="A49" s="115" t="s">
        <v>115</v>
      </c>
      <c r="B49" s="116"/>
      <c r="C49" s="2881">
        <f>R49</f>
        <v>16268</v>
      </c>
      <c r="D49" s="2882"/>
      <c r="E49" s="2882"/>
      <c r="F49" s="2882"/>
      <c r="G49" s="2882"/>
      <c r="H49" s="2882"/>
      <c r="I49" s="2882"/>
      <c r="J49" s="2882"/>
      <c r="K49" s="1372"/>
      <c r="L49" s="2330"/>
      <c r="M49" s="2331"/>
      <c r="N49" s="2331"/>
      <c r="O49" s="2331"/>
      <c r="P49" s="3724" t="str">
        <f>A49</f>
        <v>估价对象XX用房的比较价值（楼面单价，元/平方米）</v>
      </c>
      <c r="Q49" s="3725"/>
      <c r="R49" s="3726">
        <f>IF(F1="售价",ROUND(AVERAGE(R48:V48),0),ROUND(AVERAGE(R48:V48),1))</f>
        <v>16268</v>
      </c>
      <c r="S49" s="3726"/>
      <c r="T49" s="3726"/>
      <c r="U49" s="3726"/>
      <c r="V49" s="3726"/>
      <c r="W49" s="372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4.2795299938157116E-2</v>
      </c>
      <c r="J52" s="847" t="str">
        <f>IF(OR(I52&gt;=0.3,I52&lt;=-0.3),"超过30%","")</f>
        <v/>
      </c>
      <c r="K52" s="2332"/>
      <c r="L52" s="2333"/>
      <c r="M52" s="2331"/>
      <c r="N52" s="2331"/>
      <c r="O52" s="2331"/>
    </row>
    <row r="53" spans="1:29" ht="13.5" customHeight="1">
      <c r="A53" s="2331"/>
      <c r="B53" s="2331"/>
      <c r="C53" s="844" t="s">
        <v>1243</v>
      </c>
      <c r="D53" s="848"/>
      <c r="E53" s="846">
        <f>IF(E48&lt;G48,G48/E48-1,E48/G48-1)</f>
        <v>6.0774193548387201E-2</v>
      </c>
      <c r="F53" s="847" t="str">
        <f>IF(OR(E53&gt;=0.2,E53&lt;=-0.2),"超过20%","")</f>
        <v/>
      </c>
      <c r="G53" s="846">
        <f>IF(G48&lt;I48,I48/G48-1,G48/I48-1)</f>
        <v>2.5544337671816075E-2</v>
      </c>
      <c r="H53" s="847" t="str">
        <f>IF(OR(G53&gt;=0.2,G53&lt;=-0.2),"超过20%","")</f>
        <v/>
      </c>
      <c r="I53" s="846">
        <f>IF(I48&lt;E48,E48/I48-1,I48/E48-1)</f>
        <v>8.7870967741935591E-2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3030</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3273</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1" ht="56.25">
      <c r="A8" s="2015" t="s">
        <v>3266</v>
      </c>
    </row>
    <row r="9" spans="1:1" ht="18.75">
      <c r="A9" s="3093" t="s">
        <v>3274</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1" spans="1:1" ht="75">
      <c r="A11" s="2015" t="s">
        <v>3309</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2017年9月28日评估专业人员实地查勘之日</v>
      </c>
    </row>
    <row r="16" spans="1:1" ht="18.75">
      <c r="A16" s="1974" t="s">
        <v>2366</v>
      </c>
    </row>
    <row r="17" spans="1:1" ht="75">
      <c r="A17" s="1971" t="s">
        <v>3267</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3268</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f>'收益法 (车位)'!J49</f>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f>'收益法 (车位)'!J58</f>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3073</v>
      </c>
      <c r="B1" s="2820"/>
      <c r="C1" s="2820"/>
      <c r="D1" s="2820"/>
      <c r="E1" s="2821"/>
    </row>
    <row r="2" spans="1:5" ht="14.25">
      <c r="A2" s="2822" t="s">
        <v>3074</v>
      </c>
      <c r="B2" s="2816">
        <f ca="1">SUMIF(B6:B13,"&lt;&gt;#ref!",B6:B13)</f>
        <v>273328</v>
      </c>
      <c r="C2" s="2817" t="s">
        <v>3071</v>
      </c>
      <c r="D2" s="2818" t="s">
        <v>3076</v>
      </c>
      <c r="E2" s="2826">
        <f>SUM(E6:E13)</f>
        <v>144934.76999999999</v>
      </c>
    </row>
    <row r="3" spans="1:5" ht="14.25">
      <c r="A3" s="2822" t="s">
        <v>3075</v>
      </c>
      <c r="B3" s="2816">
        <f ca="1">ROUND(B2*10000/E2,0)</f>
        <v>18859</v>
      </c>
      <c r="C3" s="2817" t="s">
        <v>3072</v>
      </c>
      <c r="D3" s="2823"/>
      <c r="E3" s="2827"/>
    </row>
    <row r="4" spans="1:5" ht="14.25">
      <c r="A4" s="2830"/>
      <c r="B4" s="2823"/>
      <c r="C4" s="2823"/>
      <c r="D4" s="2823"/>
      <c r="E4" s="2827"/>
    </row>
    <row r="5" spans="1:5">
      <c r="A5" s="2834" t="s">
        <v>3078</v>
      </c>
      <c r="B5" s="3738" t="s">
        <v>3080</v>
      </c>
      <c r="C5" s="3738"/>
      <c r="D5" s="2833"/>
      <c r="E5" s="2835" t="s">
        <v>3079</v>
      </c>
    </row>
    <row r="6" spans="1:5">
      <c r="A6" s="2831" t="str">
        <f>'数据-取费表'!AN6</f>
        <v>比较法-住宅</v>
      </c>
      <c r="B6" s="2825">
        <f ca="1">'数据-取费表'!AO6</f>
        <v>126167</v>
      </c>
      <c r="C6" s="2817" t="s">
        <v>3071</v>
      </c>
      <c r="D6" s="2823"/>
      <c r="E6" s="2826">
        <f>IF(A6=0,0,'数据-取费表'!K6+'数据-取费表'!S6)</f>
        <v>65599.03</v>
      </c>
    </row>
    <row r="7" spans="1:5">
      <c r="A7" s="2831" t="str">
        <f>'数据-取费表'!AN7</f>
        <v>比较法-公寓</v>
      </c>
      <c r="B7" s="2825">
        <f ca="1">'数据-取费表'!AO7</f>
        <v>118780</v>
      </c>
      <c r="C7" s="2817" t="s">
        <v>3071</v>
      </c>
      <c r="D7" s="2823"/>
      <c r="E7" s="2826">
        <f>IF(A7=0,0,'数据-取费表'!K7+'数据-取费表'!S7)</f>
        <v>73014.679999999993</v>
      </c>
    </row>
    <row r="8" spans="1:5">
      <c r="A8" s="2831">
        <f>'数据-取费表'!AN8</f>
        <v>0</v>
      </c>
      <c r="B8" s="2825" t="e">
        <f ca="1">'数据-取费表'!AO8</f>
        <v>#REF!</v>
      </c>
      <c r="C8" s="2817" t="s">
        <v>3071</v>
      </c>
      <c r="D8" s="2823"/>
      <c r="E8" s="2826">
        <f>IF(A8=0,0,'数据-取费表'!K8+'数据-取费表'!S8)</f>
        <v>0</v>
      </c>
    </row>
    <row r="9" spans="1:5">
      <c r="A9" s="2831">
        <f>'数据-取费表'!AN9</f>
        <v>0</v>
      </c>
      <c r="B9" s="2825" t="e">
        <f ca="1">'数据-取费表'!AO9</f>
        <v>#REF!</v>
      </c>
      <c r="C9" s="2817" t="s">
        <v>3071</v>
      </c>
      <c r="D9" s="2823"/>
      <c r="E9" s="2826">
        <f>IF(A9=0,0,'数据-取费表'!K9+'数据-取费表'!S9)</f>
        <v>0</v>
      </c>
    </row>
    <row r="10" spans="1:5">
      <c r="A10" s="2831" t="str">
        <f>'数据-取费表'!AN10</f>
        <v>收益法（底商)</v>
      </c>
      <c r="B10" s="2825">
        <f ca="1">'数据-取费表'!AO10</f>
        <v>28381</v>
      </c>
      <c r="C10" s="2817" t="s">
        <v>3071</v>
      </c>
      <c r="D10" s="2823"/>
      <c r="E10" s="2826">
        <f>IF(A10=0,0,'数据-取费表'!K10+'数据-取费表'!S10)</f>
        <v>6321.0599999999995</v>
      </c>
    </row>
    <row r="11" spans="1:5">
      <c r="A11" s="2831">
        <f>'数据-取费表'!AN11</f>
        <v>0</v>
      </c>
      <c r="B11" s="2825" t="e">
        <f ca="1">'数据-取费表'!AO11</f>
        <v>#REF!</v>
      </c>
      <c r="C11" s="2817" t="s">
        <v>3071</v>
      </c>
      <c r="D11" s="2823"/>
      <c r="E11" s="2826">
        <f>IF(A11=0,0,'数据-取费表'!K11+'数据-取费表'!S11)</f>
        <v>0</v>
      </c>
    </row>
    <row r="12" spans="1:5">
      <c r="A12" s="2831">
        <f>'数据-取费表'!AN12</f>
        <v>0</v>
      </c>
      <c r="B12" s="2825" t="e">
        <f ca="1">'数据-取费表'!AO12</f>
        <v>#REF!</v>
      </c>
      <c r="C12" s="2817" t="s">
        <v>3071</v>
      </c>
      <c r="D12" s="2823"/>
      <c r="E12" s="2826">
        <f>IF(A12=0,0,'数据-取费表'!K12+'数据-取费表'!S12)</f>
        <v>0</v>
      </c>
    </row>
    <row r="13" spans="1:5" ht="14.25" thickBot="1">
      <c r="A13" s="2832">
        <f>'数据-取费表'!AN13</f>
        <v>0</v>
      </c>
      <c r="B13" s="2828" t="e">
        <f ca="1">'数据-取费表'!AO13</f>
        <v>#REF!</v>
      </c>
      <c r="C13" s="2836" t="s">
        <v>3071</v>
      </c>
      <c r="D13" s="2824"/>
      <c r="E13" s="282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3029</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93692</v>
      </c>
      <c r="C2" s="85" t="s">
        <v>1105</v>
      </c>
      <c r="D2" s="2909" t="s">
        <v>755</v>
      </c>
      <c r="E2" s="2907" t="e">
        <f ca="1">SUMIF(INDIRECT("'"&amp;G2&amp;"'"&amp;"!A:A"),"承租人权益价值",INDIRECT("'"&amp;G2&amp;"'"&amp;"!c:c"))</f>
        <v>#N/A</v>
      </c>
      <c r="F2" s="2905" t="s">
        <v>1105</v>
      </c>
      <c r="G2" s="2908" t="s">
        <v>3070</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3084</v>
      </c>
    </row>
    <row r="9" spans="1:8" s="594" customFormat="1" ht="13.5" customHeight="1">
      <c r="A9" s="1827" t="s">
        <v>2281</v>
      </c>
      <c r="B9" s="604" t="s">
        <v>1065</v>
      </c>
      <c r="C9" s="605">
        <f ca="1">ROUND(D9*E9,0)</f>
        <v>11151835</v>
      </c>
      <c r="D9" s="1931">
        <f ca="1">IF(B1="",'数据-汇总表'!E5,IF(INDIRECT("'数据-取费表'!c"&amp;$G$1)="住宅",INDIRECT("'数据-取费表'!k"&amp;$G$1),0))</f>
        <v>65599.03</v>
      </c>
      <c r="E9" s="605">
        <f>'数据-取费表'!B27</f>
        <v>170</v>
      </c>
      <c r="F9" s="601"/>
      <c r="G9" s="606"/>
    </row>
    <row r="10" spans="1:8" s="594" customFormat="1" ht="13.5" customHeight="1">
      <c r="A10" s="1827" t="s">
        <v>2282</v>
      </c>
      <c r="B10" s="604" t="s">
        <v>1066</v>
      </c>
      <c r="C10" s="605">
        <f ca="1">ROUND(D10*E10,0)</f>
        <v>13487076</v>
      </c>
      <c r="D10" s="1931">
        <f ca="1">IF(B1="",'数据-汇总表'!E6,IF(INDIRECT("'数据-取费表'!c"&amp;$G$1)="住宅",INDIRECT("'数据-取费表'!s"&amp;$G$1),INDIRECT("'数据-取费表'!k"&amp;$G$1)+INDIRECT("'数据-取费表'!s"&amp;$G$1)))</f>
        <v>79335.739999999991</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28986954</v>
      </c>
      <c r="D19" s="1935">
        <f ca="1">D9+D10</f>
        <v>144934.76999999999</v>
      </c>
      <c r="E19" s="591">
        <f>'数据-取费表'!B31</f>
        <v>200</v>
      </c>
      <c r="F19" s="611"/>
      <c r="G19" s="84" t="s">
        <v>2928</v>
      </c>
    </row>
    <row r="20" spans="1:7" s="594" customFormat="1" ht="13.5" customHeight="1">
      <c r="A20" s="1825" t="s">
        <v>2265</v>
      </c>
      <c r="B20" s="590" t="s">
        <v>1076</v>
      </c>
      <c r="C20" s="612">
        <f ca="1">ROUND((C5+C19)*F20,0)</f>
        <v>3556304</v>
      </c>
      <c r="D20" s="612"/>
      <c r="E20" s="612"/>
      <c r="F20" s="613">
        <f>'数据-取费表'!B37</f>
        <v>1.4999999999999999E-2</v>
      </c>
      <c r="G20" s="2655" t="s">
        <v>2919</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29377353</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2907</v>
      </c>
      <c r="C24" s="2791">
        <f ca="1">ROUND(IF('数据-取费表'!B22&lt;=1,C19*F22*('数据-取费表'!B19/2+'数据-取费表'!B20),C19*(POWER((1+F22),('数据-取费表'!B19/2+'数据-取费表'!B20))-1)),0)</f>
        <v>3565794</v>
      </c>
      <c r="D24" s="618"/>
      <c r="E24" s="618"/>
      <c r="F24" s="619"/>
      <c r="G24" s="620" t="s">
        <v>1081</v>
      </c>
    </row>
    <row r="25" spans="1:7" s="594" customFormat="1" ht="24">
      <c r="A25" s="1828" t="s">
        <v>2274</v>
      </c>
      <c r="B25" s="595" t="s">
        <v>2909</v>
      </c>
      <c r="C25" s="2791">
        <f ca="1">ROUND(IF('数据-取费表'!B22&lt;=1,C20*F22*'数据-取费表'!B22/2,C20*(POWER((1+F22),'数据-取费表'!B22/2)-1)),0)</f>
        <v>212395</v>
      </c>
      <c r="D25" s="618"/>
      <c r="E25" s="621"/>
      <c r="F25" s="619"/>
      <c r="G25" s="622" t="s">
        <v>1082</v>
      </c>
    </row>
    <row r="26" spans="1:7" s="594" customFormat="1">
      <c r="A26" s="1828" t="s">
        <v>2276</v>
      </c>
      <c r="B26" s="595" t="s">
        <v>2911</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38502921</v>
      </c>
      <c r="D27" s="615">
        <f ca="1">C29</f>
        <v>3.2000000000000002E-3</v>
      </c>
      <c r="E27" s="616" t="s">
        <v>1098</v>
      </c>
      <c r="F27" s="626">
        <f ca="1">IF(B1="",'数据-取费表'!Q16,INDIRECT("'数据-取费表'!q"&amp;$G$1))</f>
        <v>0.16</v>
      </c>
      <c r="G27" s="627" t="s">
        <v>2920</v>
      </c>
    </row>
    <row r="28" spans="1:7" s="594" customFormat="1" ht="13.5" customHeight="1">
      <c r="A28" s="1828" t="s">
        <v>2272</v>
      </c>
      <c r="B28" s="628" t="s">
        <v>2913</v>
      </c>
      <c r="C28" s="629">
        <f ca="1">ROUND((C5+C19+C20)*F27,0)</f>
        <v>38502921</v>
      </c>
      <c r="D28" s="615"/>
      <c r="E28" s="616"/>
      <c r="F28" s="626"/>
      <c r="G28" s="627"/>
    </row>
    <row r="29" spans="1:7" s="594" customFormat="1" ht="13.5" customHeight="1">
      <c r="A29" s="1828" t="s">
        <v>2273</v>
      </c>
      <c r="B29" s="628" t="s">
        <v>2914</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3349</v>
      </c>
      <c r="E30" s="621"/>
      <c r="F30" s="617">
        <f>'数据-取费表'!B41</f>
        <v>5.6000000000000001E-2</v>
      </c>
      <c r="G30" s="2655" t="s">
        <v>3350</v>
      </c>
    </row>
    <row r="31" spans="1:7" ht="16.5" customHeight="1">
      <c r="A31" s="589">
        <v>1</v>
      </c>
      <c r="B31" s="590" t="s">
        <v>1100</v>
      </c>
      <c r="C31" s="591">
        <f ca="1">ROUND((C5+C19+C20+C22+C27)/(1-C21-D22-D27-C30),0)</f>
        <v>334515377</v>
      </c>
      <c r="D31" s="610"/>
      <c r="E31" s="591"/>
      <c r="F31" s="630"/>
      <c r="G31" s="614" t="s">
        <v>2921</v>
      </c>
    </row>
    <row r="32" spans="1:7" s="588" customFormat="1" ht="15.75">
      <c r="A32" s="632" t="s">
        <v>3024</v>
      </c>
      <c r="B32" s="633"/>
      <c r="C32" s="633"/>
      <c r="D32" s="633"/>
      <c r="E32" s="633"/>
      <c r="F32" s="633"/>
      <c r="G32" s="634"/>
    </row>
    <row r="33" spans="1:7" s="594" customFormat="1" ht="13.5" customHeight="1">
      <c r="A33" s="635" t="s">
        <v>2263</v>
      </c>
      <c r="B33" s="2792" t="s">
        <v>3025</v>
      </c>
      <c r="C33" s="636">
        <f ca="1">SUM(C34:C38)</f>
        <v>448777648</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394180680</v>
      </c>
      <c r="D34" s="597"/>
      <c r="E34" s="600"/>
      <c r="F34" s="637"/>
      <c r="G34" s="599"/>
    </row>
    <row r="35" spans="1:7" ht="13.5" customHeight="1">
      <c r="A35" s="1828" t="s">
        <v>2277</v>
      </c>
      <c r="B35" s="595" t="s">
        <v>515</v>
      </c>
      <c r="C35" s="600">
        <f ca="1">ROUND(C34*F35,0)</f>
        <v>11825420</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7871884</v>
      </c>
      <c r="D36" s="600"/>
      <c r="E36" s="600"/>
      <c r="F36" s="639">
        <f>'数据-取费表'!B34</f>
        <v>0.05</v>
      </c>
      <c r="G36" s="640" t="s">
        <v>517</v>
      </c>
    </row>
    <row r="37" spans="1:7" s="638" customFormat="1" ht="13.5" customHeight="1">
      <c r="A37" s="1828" t="s">
        <v>2279</v>
      </c>
      <c r="B37" s="595" t="s">
        <v>1090</v>
      </c>
      <c r="C37" s="629">
        <f ca="1">ROUND(E37*D37,0)</f>
        <v>28986954</v>
      </c>
      <c r="D37" s="597">
        <f ca="1">D19</f>
        <v>144934.76999999999</v>
      </c>
      <c r="E37" s="629">
        <f>'数据-取费表'!B35</f>
        <v>200</v>
      </c>
      <c r="F37" s="639"/>
      <c r="G37" s="641"/>
    </row>
    <row r="38" spans="1:7" ht="13.5" customHeight="1">
      <c r="A38" s="1828" t="s">
        <v>2280</v>
      </c>
      <c r="B38" s="595" t="s">
        <v>518</v>
      </c>
      <c r="C38" s="600">
        <f ca="1">ROUND(C34*F38,0)</f>
        <v>5912710</v>
      </c>
      <c r="D38" s="600"/>
      <c r="E38" s="600"/>
      <c r="F38" s="639">
        <f>'数据-取费表'!B36</f>
        <v>1.4999999999999999E-2</v>
      </c>
      <c r="G38" s="599" t="s">
        <v>1089</v>
      </c>
    </row>
    <row r="39" spans="1:7" s="594" customFormat="1" ht="13.5" customHeight="1">
      <c r="A39" s="1825" t="s">
        <v>2264</v>
      </c>
      <c r="B39" s="590" t="s">
        <v>1076</v>
      </c>
      <c r="C39" s="612">
        <f ca="1">ROUND(C33*F20,0)</f>
        <v>6731665</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27204582</v>
      </c>
      <c r="D41" s="615">
        <f ca="1">C44</f>
        <v>1.1999999999999999E-3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ROUND(IF('数据-取费表'!B22&lt;=1,C33*F22*'数据-取费表'!B20/2,C33*(POWER((1+F22),'数据-取费表'!B20/2)-1)),0)</f>
        <v>26802544</v>
      </c>
      <c r="D42" s="618"/>
      <c r="E42" s="618"/>
      <c r="F42" s="619"/>
      <c r="G42" s="3739" t="s">
        <v>3028</v>
      </c>
    </row>
    <row r="43" spans="1:7" ht="13.5" customHeight="1">
      <c r="A43" s="1828" t="s">
        <v>2273</v>
      </c>
      <c r="B43" s="595" t="s">
        <v>2907</v>
      </c>
      <c r="C43" s="618">
        <f ca="1">ROUND(IF('数据-取费表'!B22&lt;=1,C39*F22*'数据-取费表'!B20/2,C39*(POWER((1+F22),'数据-取费表'!B20/2)-1)),0)</f>
        <v>402038</v>
      </c>
      <c r="D43" s="618"/>
      <c r="E43" s="618"/>
      <c r="F43" s="619"/>
      <c r="G43" s="3648"/>
    </row>
    <row r="44" spans="1:7" ht="13.5" customHeight="1">
      <c r="A44" s="1828" t="s">
        <v>2274</v>
      </c>
      <c r="B44" s="595" t="s">
        <v>2909</v>
      </c>
      <c r="C44" s="618">
        <f ca="1">ROUND(IF('数据-取费表'!B22&lt;=1,C40*F22*'数据-取费表'!B20/2,C40*(POWER((1+F22),'数据-取费表'!B20/2)-1)),4)</f>
        <v>1.1999999999999999E-3</v>
      </c>
      <c r="D44" s="618"/>
      <c r="E44" s="618"/>
      <c r="F44" s="619"/>
      <c r="G44" s="3649"/>
    </row>
    <row r="45" spans="1:7" s="594" customFormat="1" ht="13.5" customHeight="1">
      <c r="A45" s="1825" t="s">
        <v>2267</v>
      </c>
      <c r="B45" s="624" t="s">
        <v>1084</v>
      </c>
      <c r="C45" s="625">
        <f ca="1">C46</f>
        <v>72881490</v>
      </c>
      <c r="D45" s="615">
        <f ca="1">C47</f>
        <v>3.2000000000000002E-3</v>
      </c>
      <c r="E45" s="616" t="s">
        <v>1101</v>
      </c>
      <c r="F45" s="626"/>
      <c r="G45" s="627" t="s">
        <v>2923</v>
      </c>
    </row>
    <row r="46" spans="1:7" s="594" customFormat="1" ht="13.5" customHeight="1">
      <c r="A46" s="1828" t="s">
        <v>2272</v>
      </c>
      <c r="B46" s="628" t="s">
        <v>2916</v>
      </c>
      <c r="C46" s="629">
        <f ca="1">ROUND((C33+C39)*F27,0)</f>
        <v>72881490</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3347</v>
      </c>
      <c r="E48" s="612"/>
      <c r="F48" s="617"/>
      <c r="G48" s="2655" t="s">
        <v>3348</v>
      </c>
    </row>
    <row r="49" spans="1:7" ht="16.5" customHeight="1">
      <c r="A49" s="1825" t="s">
        <v>2269</v>
      </c>
      <c r="B49" s="590" t="s">
        <v>3026</v>
      </c>
      <c r="C49" s="612">
        <f ca="1">ROUND((C33+C39+C41+C45)/(1-C40-D41-D45-C48),0)</f>
        <v>602402022</v>
      </c>
      <c r="D49" s="612"/>
      <c r="E49" s="612"/>
      <c r="F49" s="644"/>
      <c r="G49" s="614" t="s">
        <v>2924</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3027</v>
      </c>
      <c r="C51" s="612">
        <f ca="1">ROUND(C49*F50,0)</f>
        <v>602402022</v>
      </c>
      <c r="D51" s="612"/>
      <c r="E51" s="612"/>
      <c r="F51" s="644"/>
      <c r="G51" s="614" t="s">
        <v>519</v>
      </c>
    </row>
    <row r="52" spans="1:7" s="588" customFormat="1" ht="16.5" thickBot="1">
      <c r="A52" s="645" t="s">
        <v>520</v>
      </c>
      <c r="B52" s="646"/>
      <c r="C52" s="647">
        <f ca="1">C31+C51</f>
        <v>936917399</v>
      </c>
      <c r="D52" s="646"/>
      <c r="E52" s="646"/>
      <c r="F52" s="646"/>
      <c r="G52" s="648"/>
    </row>
    <row r="55" spans="1:7" ht="15">
      <c r="B55" s="650" t="s">
        <v>521</v>
      </c>
      <c r="C55" s="651"/>
    </row>
    <row r="56" spans="1:7">
      <c r="B56" s="2911" t="s">
        <v>3102</v>
      </c>
      <c r="C56" s="655">
        <f ca="1">1-C57</f>
        <v>0.35699999999999998</v>
      </c>
    </row>
    <row r="57" spans="1:7">
      <c r="B57" s="2911" t="s">
        <v>3101</v>
      </c>
      <c r="C57" s="654">
        <f ca="1">ROUND(C51/C52,3)</f>
        <v>0.64300000000000002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3361</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3021</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ROUND(F6*F8*F7*(1-F9),0)</f>
        <v>#N/A</v>
      </c>
      <c r="D6" s="2660" t="s">
        <v>2936</v>
      </c>
      <c r="E6" s="688" t="s">
        <v>1153</v>
      </c>
      <c r="F6" s="689" t="e">
        <f ca="1">INDIRECT("'数据-取费表'!u"&amp;$G$1)</f>
        <v>#N/A</v>
      </c>
      <c r="G6" s="2315"/>
      <c r="H6" s="2657" t="s">
        <v>2741</v>
      </c>
      <c r="I6" s="3695" t="s">
        <v>2934</v>
      </c>
      <c r="J6" s="687" t="e">
        <f ca="1">ROUND(M6*M8*M7*(1-M9),0)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t="e">
        <f ca="1">ROUND(IF(F10="押一",F6*F8*F7/12*F11,IF(F10="押二",F6*F8*F7/12*2*F11,IF(F10="押三",F6*F8*F7/12*3*F11,C11*F11))),0)</f>
        <v>#N/A</v>
      </c>
      <c r="D10" s="2669" t="s">
        <v>2937</v>
      </c>
      <c r="E10" s="2121" t="s">
        <v>2931</v>
      </c>
      <c r="F10" s="2867" t="s">
        <v>3023</v>
      </c>
      <c r="G10" s="2315"/>
      <c r="H10" s="2657" t="s">
        <v>2748</v>
      </c>
      <c r="I10" s="2658" t="s">
        <v>2929</v>
      </c>
      <c r="J10" s="687">
        <f ca="1">ROUND(IF(M10="押一",M6*M8*M7/12*M11,IF(M10="押二",M6*M8*M7/12*2*M11,IF(M10="押三",M6*M8*M7/12*3*M11,J11*M11))),0)</f>
        <v>0</v>
      </c>
      <c r="K10" s="2669" t="s">
        <v>2937</v>
      </c>
      <c r="L10" s="2121" t="s">
        <v>2931</v>
      </c>
      <c r="M10" s="2867" t="s">
        <v>3094</v>
      </c>
    </row>
    <row r="11" spans="1:37" ht="18" customHeight="1">
      <c r="A11" s="694"/>
      <c r="B11" s="2659" t="s">
        <v>2939</v>
      </c>
      <c r="C11" s="2442"/>
      <c r="D11" s="693"/>
      <c r="E11" s="2121" t="s">
        <v>2932</v>
      </c>
      <c r="F11" s="700">
        <f ca="1">'数据-取费表'!B39</f>
        <v>1.4999999999999999E-2</v>
      </c>
      <c r="G11" s="2315"/>
      <c r="H11" s="2670"/>
      <c r="I11" s="2659" t="s">
        <v>3095</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3006</v>
      </c>
      <c r="I19" s="688" t="s">
        <v>1173</v>
      </c>
      <c r="J19" s="319" t="e">
        <f ca="1">IF(K19="按租金收入计税",ROUND(J5*M19,0),ROUND(C29*M19*0.7,0))</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IF(项目基本情况!B11="自然人","——",IF(D33="按租金收入计税",ROUND(C5*F33,0),IF(D33="按房产原值计税",ROUND(C29*F33*0.7,0),INDIRECT("'数据-取费表'!Aj"&amp;$G$1))))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3022</v>
      </c>
      <c r="E45" s="1437"/>
      <c r="F45" s="1437"/>
      <c r="O45" s="2622" t="s">
        <v>2874</v>
      </c>
      <c r="P45" s="1300"/>
      <c r="Q45" s="1300"/>
      <c r="R45" s="1300"/>
    </row>
    <row r="46" spans="1:18" s="1480" customFormat="1" ht="21" thickBot="1">
      <c r="A46" s="2423" t="s">
        <v>2693</v>
      </c>
      <c r="B46" s="2424"/>
      <c r="C46" s="2761" t="e">
        <f ca="1">ROUND(C45/10000,0)</f>
        <v>#N/A</v>
      </c>
      <c r="D46" s="2762" t="str">
        <f>C2</f>
        <v>万元</v>
      </c>
      <c r="I46" s="2609" t="s">
        <v>2807</v>
      </c>
      <c r="J46" s="2610"/>
      <c r="K46" s="2611"/>
      <c r="L46" s="2613">
        <f>IF(M47="住宅",0,IF(L48&gt;J51,L60,J60))</f>
        <v>0</v>
      </c>
      <c r="O46" s="2625" t="s">
        <v>2852</v>
      </c>
      <c r="P46" s="2626" t="s">
        <v>2853</v>
      </c>
      <c r="Q46" s="2627" t="s">
        <v>2851</v>
      </c>
      <c r="R46" s="2627" t="s">
        <v>2854</v>
      </c>
    </row>
    <row r="47" spans="1:18" s="1480" customFormat="1" ht="15.75" thickBot="1">
      <c r="A47" s="2425" t="s">
        <v>1148</v>
      </c>
      <c r="B47" s="2461" t="s">
        <v>1149</v>
      </c>
      <c r="C47" s="2461"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5.75" thickBot="1">
      <c r="A49" s="2458" t="s">
        <v>3018</v>
      </c>
      <c r="B49" s="2750" t="s">
        <v>3020</v>
      </c>
      <c r="C49" s="2759" t="e">
        <f ca="1">ROUND(F49*F51*F50*(1-F52),0)</f>
        <v>#N/A</v>
      </c>
      <c r="D49" s="2561" t="s">
        <v>2701</v>
      </c>
      <c r="E49" s="2564" t="s">
        <v>2694</v>
      </c>
      <c r="F49" s="2567">
        <v>1500</v>
      </c>
      <c r="G49" s="1484"/>
      <c r="H49" s="1483"/>
      <c r="I49" s="2574" t="s">
        <v>2821</v>
      </c>
      <c r="J49" s="2587">
        <v>2002</v>
      </c>
      <c r="K49" s="2597" t="s">
        <v>2826</v>
      </c>
      <c r="L49" s="2598">
        <v>0</v>
      </c>
      <c r="O49" s="2620" t="s">
        <v>2838</v>
      </c>
      <c r="P49" s="2628" t="s">
        <v>2858</v>
      </c>
      <c r="Q49" s="2619" t="e">
        <f ca="1">C29</f>
        <v>#N/A</v>
      </c>
      <c r="R49" s="2619" t="s">
        <v>2856</v>
      </c>
    </row>
    <row r="50" spans="1:18" s="1480" customFormat="1" ht="15.75" thickBot="1">
      <c r="A50" s="2459"/>
      <c r="B50" s="2462"/>
      <c r="C50" s="2463"/>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0.6</v>
      </c>
      <c r="R50" s="2619"/>
    </row>
    <row r="51" spans="1:18" s="1480" customFormat="1" ht="15.75" thickBot="1">
      <c r="A51" s="2460"/>
      <c r="B51" s="2462"/>
      <c r="C51" s="2463"/>
      <c r="D51" s="2432"/>
      <c r="E51" s="2464" t="s">
        <v>1155</v>
      </c>
      <c r="F51" s="689" t="e">
        <f ca="1">F8</f>
        <v>#N/A</v>
      </c>
      <c r="I51" s="2589" t="s">
        <v>2808</v>
      </c>
      <c r="J51" s="2590">
        <f>IF(J49="",J50,J49+J50-YEAR('数据-取费表'!B2))</f>
        <v>45</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f>J53</f>
        <v>45</v>
      </c>
      <c r="R52" s="2619" t="s">
        <v>2860</v>
      </c>
    </row>
    <row r="53" spans="1:18" s="1480" customFormat="1" ht="43.5" thickBot="1">
      <c r="A53" s="2748" t="s">
        <v>3019</v>
      </c>
      <c r="B53" s="2749" t="s">
        <v>2929</v>
      </c>
      <c r="C53" s="702" t="e">
        <f ca="1">ROUND(IF(F53="押一",F49*F51*F50/12*F11,IF(F53="押二",F49*F51*F50/12*2*F11,IF(F53="押三",F49*F51*F50/12*3*F11,C54*F11))),0)</f>
        <v>#N/A</v>
      </c>
      <c r="D53" s="2669" t="s">
        <v>2937</v>
      </c>
      <c r="E53" s="2121" t="s">
        <v>2931</v>
      </c>
      <c r="F53" s="2867" t="s">
        <v>3023</v>
      </c>
      <c r="I53" s="2601" t="s">
        <v>2834</v>
      </c>
      <c r="J53" s="2602">
        <f>IF(M47="住宅",J51,MIN(J51,L48))</f>
        <v>45</v>
      </c>
      <c r="K53" s="369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94"/>
      <c r="O53" s="2618" t="s">
        <v>2842</v>
      </c>
      <c r="P53" s="2628" t="s">
        <v>2861</v>
      </c>
      <c r="Q53" s="2619" t="e">
        <f ca="1">Q47+Q48</f>
        <v>#N/A</v>
      </c>
      <c r="R53" s="2619" t="s">
        <v>2843</v>
      </c>
    </row>
    <row r="54" spans="1:18" s="1480" customFormat="1" ht="16.5" thickBot="1">
      <c r="A54" s="2458"/>
      <c r="B54" s="2864" t="s">
        <v>3095</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53"/>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2825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2580">
        <v>0.6</v>
      </c>
      <c r="K58" s="2599" t="s">
        <v>2835</v>
      </c>
      <c r="L58" s="2192">
        <f ca="1">IF(ISERROR(POWER(1+L52,L47-L48)*(POWER(1+L52,L48)-1)/(POWER(1+L52,L47)-1)),0,POWER(1+L52,L47-L48)*(POWER(1+L52,L48)-1)/(POWER(1+L52,L47)-1))</f>
        <v>0</v>
      </c>
      <c r="O58" s="2620" t="s">
        <v>2838</v>
      </c>
      <c r="P58" s="2628" t="s">
        <v>2869</v>
      </c>
      <c r="Q58" s="2619">
        <f>IF(L55="比较法",L49,IF(L55="基准地价",L50,0))</f>
        <v>0</v>
      </c>
      <c r="R58" s="2619" t="s">
        <v>2856</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2822</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ROUND(C56*F65,0)</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ROUND(C48*F66,0)</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t="e">
        <f ca="1">F42</f>
        <v>#N/A</v>
      </c>
      <c r="O70" s="2620" t="s">
        <v>2848</v>
      </c>
      <c r="P70" s="2629" t="s">
        <v>2864</v>
      </c>
      <c r="Q70" s="2619" t="e">
        <f ca="1">C13</f>
        <v>#N/A</v>
      </c>
      <c r="R70" s="2619" t="s">
        <v>2856</v>
      </c>
    </row>
    <row r="71" spans="1:18" s="1480" customFormat="1" ht="15.75" thickBot="1">
      <c r="A71" s="2454" t="s">
        <v>2731</v>
      </c>
      <c r="B71" s="2455" t="s">
        <v>548</v>
      </c>
      <c r="C71" s="726" t="e">
        <f ca="1">ROUND(C68/F71,0)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3105</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40" t="s">
        <v>2946</v>
      </c>
      <c r="B1" s="3741"/>
      <c r="C1" s="3742"/>
      <c r="D1" s="3743">
        <f>SUM(I10,I15,I20,I21,I23)</f>
        <v>0</v>
      </c>
      <c r="E1" s="3743"/>
      <c r="F1" s="3743"/>
      <c r="G1" s="3743"/>
      <c r="H1" s="3743"/>
      <c r="I1" s="3744"/>
    </row>
    <row r="2" spans="1:9">
      <c r="A2" s="3745" t="s">
        <v>2947</v>
      </c>
      <c r="B2" s="3746" t="s">
        <v>2948</v>
      </c>
      <c r="C2" s="3746"/>
      <c r="D2" s="2673" t="s">
        <v>2949</v>
      </c>
      <c r="E2" s="2673" t="s">
        <v>2950</v>
      </c>
      <c r="F2" s="2673" t="s">
        <v>2951</v>
      </c>
      <c r="G2" s="2673" t="s">
        <v>2952</v>
      </c>
      <c r="H2" s="2673" t="s">
        <v>2953</v>
      </c>
      <c r="I2" s="2674" t="s">
        <v>2954</v>
      </c>
    </row>
    <row r="3" spans="1:9">
      <c r="A3" s="3745"/>
      <c r="B3" s="3746" t="s">
        <v>2955</v>
      </c>
      <c r="C3" s="3746"/>
      <c r="D3" s="2675"/>
      <c r="E3" s="2673"/>
      <c r="F3" s="2676"/>
      <c r="G3" s="2676"/>
      <c r="H3" s="2677"/>
      <c r="I3" s="2678">
        <f>ROUND(D3*E3*F3*G3*H3/10000,0)</f>
        <v>0</v>
      </c>
    </row>
    <row r="4" spans="1:9">
      <c r="A4" s="3745"/>
      <c r="B4" s="3746" t="s">
        <v>2956</v>
      </c>
      <c r="C4" s="3746"/>
      <c r="D4" s="2675"/>
      <c r="E4" s="2673"/>
      <c r="F4" s="2676"/>
      <c r="G4" s="2676"/>
      <c r="H4" s="2677"/>
      <c r="I4" s="2678">
        <f t="shared" ref="I4:I9" si="0">ROUND(D4*E4*F4*G4*H4/10000,0)</f>
        <v>0</v>
      </c>
    </row>
    <row r="5" spans="1:9">
      <c r="A5" s="3745"/>
      <c r="B5" s="3746" t="s">
        <v>2957</v>
      </c>
      <c r="C5" s="3746"/>
      <c r="D5" s="2675"/>
      <c r="E5" s="2673"/>
      <c r="F5" s="2676"/>
      <c r="G5" s="2676"/>
      <c r="H5" s="2677"/>
      <c r="I5" s="2678">
        <f t="shared" si="0"/>
        <v>0</v>
      </c>
    </row>
    <row r="6" spans="1:9">
      <c r="A6" s="3745"/>
      <c r="B6" s="3746" t="s">
        <v>2958</v>
      </c>
      <c r="C6" s="3746"/>
      <c r="D6" s="2675"/>
      <c r="E6" s="2673"/>
      <c r="F6" s="2676"/>
      <c r="G6" s="2676"/>
      <c r="H6" s="2677"/>
      <c r="I6" s="2678">
        <f t="shared" si="0"/>
        <v>0</v>
      </c>
    </row>
    <row r="7" spans="1:9">
      <c r="A7" s="3745"/>
      <c r="B7" s="3746" t="s">
        <v>2959</v>
      </c>
      <c r="C7" s="3746"/>
      <c r="D7" s="2675"/>
      <c r="E7" s="2673"/>
      <c r="F7" s="2676"/>
      <c r="G7" s="2676"/>
      <c r="H7" s="2677"/>
      <c r="I7" s="2678">
        <f t="shared" si="0"/>
        <v>0</v>
      </c>
    </row>
    <row r="8" spans="1:9">
      <c r="A8" s="3745"/>
      <c r="B8" s="3746" t="s">
        <v>2960</v>
      </c>
      <c r="C8" s="3746"/>
      <c r="D8" s="2675"/>
      <c r="E8" s="2673"/>
      <c r="F8" s="2676"/>
      <c r="G8" s="2676"/>
      <c r="H8" s="2677"/>
      <c r="I8" s="2678">
        <f t="shared" si="0"/>
        <v>0</v>
      </c>
    </row>
    <row r="9" spans="1:9">
      <c r="A9" s="3745"/>
      <c r="B9" s="3746" t="s">
        <v>2961</v>
      </c>
      <c r="C9" s="3746"/>
      <c r="D9" s="2675"/>
      <c r="E9" s="2673"/>
      <c r="F9" s="2676"/>
      <c r="G9" s="2676"/>
      <c r="H9" s="2677"/>
      <c r="I9" s="2678">
        <f t="shared" si="0"/>
        <v>0</v>
      </c>
    </row>
    <row r="10" spans="1:9">
      <c r="A10" s="3745"/>
      <c r="B10" s="3747" t="s">
        <v>2962</v>
      </c>
      <c r="C10" s="3747"/>
      <c r="D10" s="2679">
        <v>527</v>
      </c>
      <c r="E10" s="2679" t="e">
        <f>ROUND(D1*10000/D10/H9,0)</f>
        <v>#DIV/0!</v>
      </c>
      <c r="F10" s="2680"/>
      <c r="G10" s="2680"/>
      <c r="H10" s="2681"/>
      <c r="I10" s="2682">
        <f>SUM(I3:I9)</f>
        <v>0</v>
      </c>
    </row>
    <row r="11" spans="1:9" ht="14.25">
      <c r="A11" s="3745" t="s">
        <v>2963</v>
      </c>
      <c r="B11" s="3746" t="s">
        <v>2964</v>
      </c>
      <c r="C11" s="3746"/>
      <c r="D11" s="2675" t="s">
        <v>2965</v>
      </c>
      <c r="E11" s="2675" t="s">
        <v>2966</v>
      </c>
      <c r="F11" s="2676" t="s">
        <v>2967</v>
      </c>
      <c r="G11" s="2676" t="s">
        <v>2953</v>
      </c>
      <c r="H11" s="2683" t="s">
        <v>2968</v>
      </c>
      <c r="I11" s="2674" t="s">
        <v>2954</v>
      </c>
    </row>
    <row r="12" spans="1:9">
      <c r="A12" s="3745"/>
      <c r="B12" s="3746" t="s">
        <v>2969</v>
      </c>
      <c r="C12" s="3746"/>
      <c r="D12" s="2675"/>
      <c r="E12" s="2675"/>
      <c r="F12" s="2676"/>
      <c r="G12" s="2677"/>
      <c r="H12" s="2684"/>
      <c r="I12" s="2674">
        <f>ROUND(D12*E12*F12*G12/10000,0)</f>
        <v>0</v>
      </c>
    </row>
    <row r="13" spans="1:9">
      <c r="A13" s="3745"/>
      <c r="B13" s="3746" t="s">
        <v>2970</v>
      </c>
      <c r="C13" s="3746"/>
      <c r="D13" s="2675"/>
      <c r="E13" s="2675"/>
      <c r="F13" s="2676"/>
      <c r="G13" s="2677"/>
      <c r="H13" s="2684"/>
      <c r="I13" s="2674">
        <f>ROUND(D13*E13*F13*G13/10000,0)</f>
        <v>0</v>
      </c>
    </row>
    <row r="14" spans="1:9">
      <c r="A14" s="3745"/>
      <c r="B14" s="3746" t="s">
        <v>2971</v>
      </c>
      <c r="C14" s="3746"/>
      <c r="D14" s="2675"/>
      <c r="E14" s="2675"/>
      <c r="F14" s="2676"/>
      <c r="G14" s="2677"/>
      <c r="H14" s="2684"/>
      <c r="I14" s="2674">
        <f>ROUND(D14*E14*F14*G14/10000,0)</f>
        <v>0</v>
      </c>
    </row>
    <row r="15" spans="1:9">
      <c r="A15" s="3745"/>
      <c r="B15" s="3747" t="s">
        <v>2962</v>
      </c>
      <c r="C15" s="3747"/>
      <c r="D15" s="2679"/>
      <c r="E15" s="2679">
        <f>SUM(E12:E14)</f>
        <v>0</v>
      </c>
      <c r="F15" s="2680"/>
      <c r="G15" s="2677"/>
      <c r="H15" s="2684"/>
      <c r="I15" s="2685">
        <f>SUM(I12:I14)</f>
        <v>0</v>
      </c>
    </row>
    <row r="16" spans="1:9" ht="24">
      <c r="A16" s="3745" t="s">
        <v>2972</v>
      </c>
      <c r="B16" s="3746" t="s">
        <v>2973</v>
      </c>
      <c r="C16" s="3746"/>
      <c r="D16" s="2675" t="s">
        <v>2949</v>
      </c>
      <c r="E16" s="2686" t="s">
        <v>2974</v>
      </c>
      <c r="F16" s="2676" t="s">
        <v>2975</v>
      </c>
      <c r="G16" s="2677" t="s">
        <v>2953</v>
      </c>
      <c r="H16" s="2683" t="s">
        <v>2968</v>
      </c>
      <c r="I16" s="2674" t="s">
        <v>2954</v>
      </c>
    </row>
    <row r="17" spans="1:9" ht="14.25">
      <c r="A17" s="3745"/>
      <c r="B17" s="3746" t="s">
        <v>2976</v>
      </c>
      <c r="C17" s="3746"/>
      <c r="D17" s="2675"/>
      <c r="E17" s="2675"/>
      <c r="F17" s="2676"/>
      <c r="G17" s="2677"/>
      <c r="H17" s="2687"/>
      <c r="I17" s="2688">
        <f>ROUND(D17*E17*F17*G17/10000,0)</f>
        <v>0</v>
      </c>
    </row>
    <row r="18" spans="1:9" ht="14.25">
      <c r="A18" s="3745"/>
      <c r="B18" s="3746" t="s">
        <v>2977</v>
      </c>
      <c r="C18" s="3746"/>
      <c r="D18" s="2675"/>
      <c r="E18" s="2675"/>
      <c r="F18" s="2676"/>
      <c r="G18" s="2677"/>
      <c r="H18" s="2687"/>
      <c r="I18" s="2688">
        <f>ROUND(D18*E18*F18*G18/10000,0)</f>
        <v>0</v>
      </c>
    </row>
    <row r="19" spans="1:9" ht="14.25">
      <c r="A19" s="3745"/>
      <c r="B19" s="3746" t="s">
        <v>2978</v>
      </c>
      <c r="C19" s="3746"/>
      <c r="D19" s="2675"/>
      <c r="E19" s="2675"/>
      <c r="F19" s="2676"/>
      <c r="G19" s="2677"/>
      <c r="H19" s="2687"/>
      <c r="I19" s="2688">
        <f>ROUND(D19*E19*F19*G19/10000,0)</f>
        <v>0</v>
      </c>
    </row>
    <row r="20" spans="1:9">
      <c r="A20" s="3745"/>
      <c r="B20" s="3747" t="s">
        <v>2962</v>
      </c>
      <c r="C20" s="3747"/>
      <c r="D20" s="2679">
        <f>SUM(D17:D19)</f>
        <v>0</v>
      </c>
      <c r="E20" s="2679"/>
      <c r="F20" s="2680"/>
      <c r="G20" s="2677"/>
      <c r="H20" s="2684"/>
      <c r="I20" s="2685">
        <f>SUM(I17:I19)</f>
        <v>0</v>
      </c>
    </row>
    <row r="21" spans="1:9">
      <c r="A21" s="3745" t="s">
        <v>2979</v>
      </c>
      <c r="B21" s="3749"/>
      <c r="C21" s="3749"/>
      <c r="D21" s="3749"/>
      <c r="E21" s="3749"/>
      <c r="F21" s="3749"/>
      <c r="G21" s="3749"/>
      <c r="H21" s="2689">
        <v>0.1</v>
      </c>
      <c r="I21" s="2682">
        <f>ROUND(I10*H21,0)</f>
        <v>0</v>
      </c>
    </row>
    <row r="22" spans="1:9" ht="14.25">
      <c r="A22" s="3750" t="s">
        <v>2980</v>
      </c>
      <c r="B22" s="3751"/>
      <c r="C22" s="3752"/>
      <c r="D22" s="2690" t="s">
        <v>2981</v>
      </c>
      <c r="E22" s="2690" t="s">
        <v>2982</v>
      </c>
      <c r="F22" s="2691" t="s">
        <v>2983</v>
      </c>
      <c r="G22" s="2691" t="s">
        <v>2984</v>
      </c>
      <c r="H22" s="2683" t="s">
        <v>2985</v>
      </c>
      <c r="I22" s="2674" t="s">
        <v>2986</v>
      </c>
    </row>
    <row r="23" spans="1:9" ht="14.25" thickBot="1">
      <c r="A23" s="3753"/>
      <c r="B23" s="3754"/>
      <c r="C23" s="3755"/>
      <c r="D23" s="2692"/>
      <c r="E23" s="2692"/>
      <c r="F23" s="2692"/>
      <c r="G23" s="2693"/>
      <c r="H23" s="2694"/>
      <c r="I23" s="2695">
        <f>ROUND(E23*D23*F23*(1-G23)/10000,0)</f>
        <v>0</v>
      </c>
    </row>
    <row r="26" spans="1:9">
      <c r="A26" s="2696" t="s">
        <v>2987</v>
      </c>
      <c r="B26" s="2696"/>
      <c r="C26" s="2696"/>
      <c r="D26" s="2696"/>
      <c r="E26" s="3756">
        <f>C27-C30-C31-C32</f>
        <v>0</v>
      </c>
      <c r="F26" s="3756"/>
      <c r="G26" s="3756"/>
      <c r="H26" s="3293" t="s">
        <v>3367</v>
      </c>
    </row>
    <row r="27" spans="1:9">
      <c r="A27" s="2697">
        <v>1</v>
      </c>
      <c r="B27" s="2698" t="s">
        <v>2988</v>
      </c>
      <c r="C27" s="2698">
        <f>C28+C29</f>
        <v>0</v>
      </c>
      <c r="D27" s="2698"/>
      <c r="E27" s="3757"/>
      <c r="F27" s="3757"/>
      <c r="G27" s="3757"/>
    </row>
    <row r="28" spans="1:9">
      <c r="A28" s="2699" t="s">
        <v>2989</v>
      </c>
      <c r="B28" s="2698" t="s">
        <v>2990</v>
      </c>
      <c r="C28" s="2698"/>
      <c r="D28" s="2698"/>
      <c r="E28" s="3757"/>
      <c r="F28" s="3757"/>
      <c r="G28" s="3757"/>
    </row>
    <row r="29" spans="1:9">
      <c r="A29" s="2699" t="s">
        <v>2991</v>
      </c>
      <c r="B29" s="2698" t="s">
        <v>2992</v>
      </c>
      <c r="C29" s="2698"/>
      <c r="D29" s="2698"/>
      <c r="E29" s="2698" t="s">
        <v>2993</v>
      </c>
      <c r="F29" s="2698"/>
      <c r="G29" s="2698"/>
    </row>
    <row r="30" spans="1:9">
      <c r="A30" s="2697">
        <v>2</v>
      </c>
      <c r="B30" s="2698" t="s">
        <v>2994</v>
      </c>
      <c r="C30" s="2698">
        <f>C27*D30</f>
        <v>0</v>
      </c>
      <c r="D30" s="2700">
        <v>0.2</v>
      </c>
      <c r="E30" s="2698" t="s">
        <v>2995</v>
      </c>
      <c r="F30" s="2698"/>
      <c r="G30" s="2698"/>
    </row>
    <row r="31" spans="1:9">
      <c r="A31" s="2697">
        <v>3</v>
      </c>
      <c r="B31" s="2698" t="s">
        <v>2996</v>
      </c>
      <c r="C31" s="2698">
        <f>C25*D31</f>
        <v>0</v>
      </c>
      <c r="D31" s="2700">
        <v>0.15</v>
      </c>
      <c r="E31" s="2698" t="s">
        <v>2997</v>
      </c>
      <c r="F31" s="2698"/>
      <c r="G31" s="2698"/>
    </row>
    <row r="32" spans="1:9">
      <c r="A32" s="2697">
        <v>4</v>
      </c>
      <c r="B32" s="2698" t="s">
        <v>2998</v>
      </c>
      <c r="C32" s="2698">
        <f>C27*D32</f>
        <v>0</v>
      </c>
      <c r="D32" s="2700">
        <v>0.05</v>
      </c>
      <c r="E32" s="3748"/>
      <c r="F32" s="3748"/>
      <c r="G32" s="3748"/>
    </row>
    <row r="33" spans="1:7" hidden="1">
      <c r="A33" s="3758" t="s">
        <v>2999</v>
      </c>
      <c r="B33" s="3759"/>
      <c r="C33" s="3759"/>
      <c r="D33" s="3760"/>
      <c r="E33" s="3756"/>
      <c r="F33" s="3756"/>
      <c r="G33" s="3756"/>
    </row>
    <row r="34" spans="1:7" hidden="1">
      <c r="A34" s="2701">
        <v>1</v>
      </c>
      <c r="B34" s="2698" t="s">
        <v>3000</v>
      </c>
      <c r="C34" s="2698"/>
      <c r="D34" s="2698"/>
      <c r="E34" s="3757"/>
      <c r="F34" s="3757"/>
      <c r="G34" s="3757"/>
    </row>
    <row r="35" spans="1:7" hidden="1">
      <c r="A35" s="2701">
        <v>2</v>
      </c>
      <c r="B35" s="2698" t="s">
        <v>3001</v>
      </c>
      <c r="C35" s="2698"/>
      <c r="D35" s="2698"/>
      <c r="E35" s="3757"/>
      <c r="F35" s="3757"/>
      <c r="G35" s="3757"/>
    </row>
    <row r="36" spans="1:7" hidden="1">
      <c r="A36" s="2701">
        <v>3</v>
      </c>
      <c r="B36" s="2698" t="s">
        <v>3002</v>
      </c>
      <c r="C36" s="2698"/>
      <c r="D36" s="2698"/>
      <c r="E36" s="3757"/>
      <c r="F36" s="3757"/>
      <c r="G36" s="3757"/>
    </row>
    <row r="37" spans="1:7" hidden="1">
      <c r="A37" s="2701">
        <v>4</v>
      </c>
      <c r="B37" s="2698" t="s">
        <v>3003</v>
      </c>
      <c r="C37" s="2698"/>
      <c r="D37" s="2698"/>
      <c r="E37" s="3757"/>
      <c r="F37" s="3757"/>
      <c r="G37" s="3757"/>
    </row>
    <row r="38" spans="1:7" hidden="1">
      <c r="A38" s="3758" t="s">
        <v>3004</v>
      </c>
      <c r="B38" s="3759"/>
      <c r="C38" s="3759"/>
      <c r="D38" s="3760"/>
      <c r="E38" s="3756"/>
      <c r="F38" s="3756"/>
      <c r="G38" s="37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3096</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10" t="s">
        <v>59</v>
      </c>
      <c r="D4" s="3711"/>
      <c r="E4" s="3712" t="s">
        <v>60</v>
      </c>
      <c r="F4" s="3713"/>
      <c r="G4" s="3710" t="s">
        <v>61</v>
      </c>
      <c r="H4" s="3711"/>
      <c r="I4" s="3710" t="s">
        <v>62</v>
      </c>
      <c r="J4" s="3711"/>
      <c r="K4" s="187" t="s">
        <v>63</v>
      </c>
      <c r="L4" s="2322"/>
      <c r="M4" s="2323"/>
      <c r="N4" s="2323"/>
      <c r="O4" s="2323"/>
      <c r="P4" s="3714" t="s">
        <v>58</v>
      </c>
      <c r="Q4" s="3715"/>
      <c r="R4" s="3703" t="s">
        <v>60</v>
      </c>
      <c r="S4" s="3704"/>
      <c r="T4" s="3703" t="s">
        <v>61</v>
      </c>
      <c r="U4" s="3704"/>
      <c r="V4" s="3722" t="s">
        <v>62</v>
      </c>
      <c r="W4" s="3722"/>
      <c r="X4" s="1344"/>
      <c r="Y4" s="3703" t="s">
        <v>58</v>
      </c>
      <c r="Z4" s="3704"/>
      <c r="AA4" s="3698" t="s">
        <v>60</v>
      </c>
      <c r="AB4" s="3722" t="s">
        <v>61</v>
      </c>
      <c r="AC4" s="3698" t="s">
        <v>62</v>
      </c>
    </row>
    <row r="5" spans="1:29">
      <c r="A5" s="146"/>
      <c r="B5" s="147"/>
      <c r="C5" s="3661" t="s">
        <v>64</v>
      </c>
      <c r="D5" s="3662"/>
      <c r="E5" s="3659" t="s">
        <v>65</v>
      </c>
      <c r="F5" s="3660"/>
      <c r="G5" s="3661" t="s">
        <v>66</v>
      </c>
      <c r="H5" s="3662"/>
      <c r="I5" s="3661" t="s">
        <v>67</v>
      </c>
      <c r="J5" s="3662"/>
      <c r="K5" s="187"/>
      <c r="L5" s="2322"/>
      <c r="M5" s="2323"/>
      <c r="N5" s="2323"/>
      <c r="O5" s="2323"/>
      <c r="P5" s="3716"/>
      <c r="Q5" s="3717"/>
      <c r="R5" s="3705"/>
      <c r="S5" s="3706"/>
      <c r="T5" s="3705"/>
      <c r="U5" s="3706"/>
      <c r="V5" s="3722"/>
      <c r="W5" s="3722"/>
      <c r="X5" s="1344"/>
      <c r="Y5" s="3705"/>
      <c r="Z5" s="3706"/>
      <c r="AA5" s="3699"/>
      <c r="AB5" s="3722"/>
      <c r="AC5" s="3699"/>
    </row>
    <row r="6" spans="1:29" ht="14.25" thickBot="1">
      <c r="A6" s="148"/>
      <c r="B6" s="149"/>
      <c r="C6" s="3663" t="s">
        <v>68</v>
      </c>
      <c r="D6" s="3664"/>
      <c r="E6" s="3707" t="s">
        <v>68</v>
      </c>
      <c r="F6" s="3708"/>
      <c r="G6" s="3663" t="s">
        <v>68</v>
      </c>
      <c r="H6" s="3664"/>
      <c r="I6" s="3663" t="s">
        <v>68</v>
      </c>
      <c r="J6" s="3664"/>
      <c r="K6" s="187" t="s">
        <v>169</v>
      </c>
      <c r="L6" s="2322"/>
      <c r="M6" s="2323"/>
      <c r="N6" s="2323"/>
      <c r="O6" s="2323"/>
      <c r="P6" s="3718"/>
      <c r="Q6" s="3719"/>
      <c r="R6" s="3705"/>
      <c r="S6" s="3706"/>
      <c r="T6" s="3720"/>
      <c r="U6" s="3721"/>
      <c r="V6" s="3722"/>
      <c r="W6" s="3722"/>
      <c r="X6" s="1344"/>
      <c r="Y6" s="3720"/>
      <c r="Z6" s="3721"/>
      <c r="AA6" s="3700"/>
      <c r="AB6" s="3722"/>
      <c r="AC6" s="3700"/>
    </row>
    <row r="7" spans="1:29" s="40" customFormat="1" ht="15" thickBot="1">
      <c r="A7" s="1018" t="s">
        <v>69</v>
      </c>
      <c r="B7" s="1019"/>
      <c r="C7" s="1020">
        <f>'数据-取费表'!B2</f>
        <v>43006</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01" t="s">
        <v>69</v>
      </c>
      <c r="Q7" s="3723"/>
      <c r="R7" s="1346" t="s">
        <v>70</v>
      </c>
      <c r="S7" s="1347">
        <f t="shared" ref="S7:S15" si="0">F7</f>
        <v>0</v>
      </c>
      <c r="T7" s="1346" t="s">
        <v>70</v>
      </c>
      <c r="U7" s="1347">
        <f t="shared" ref="U7:U15" si="1">H7</f>
        <v>0</v>
      </c>
      <c r="V7" s="1346" t="s">
        <v>70</v>
      </c>
      <c r="W7" s="1347">
        <f t="shared" ref="W7:W15" si="2">J7</f>
        <v>0</v>
      </c>
      <c r="X7" s="293"/>
      <c r="Y7" s="3701" t="s">
        <v>69</v>
      </c>
      <c r="Z7" s="3702"/>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01" t="s">
        <v>1258</v>
      </c>
      <c r="Q8" s="3702"/>
      <c r="R8" s="1346" t="s">
        <v>70</v>
      </c>
      <c r="S8" s="1347">
        <f t="shared" si="0"/>
        <v>102</v>
      </c>
      <c r="T8" s="1346" t="s">
        <v>70</v>
      </c>
      <c r="U8" s="1347">
        <f t="shared" si="1"/>
        <v>100</v>
      </c>
      <c r="V8" s="1346" t="s">
        <v>70</v>
      </c>
      <c r="W8" s="1347">
        <f t="shared" si="2"/>
        <v>100</v>
      </c>
      <c r="X8" s="293"/>
      <c r="Y8" s="3701" t="s">
        <v>1258</v>
      </c>
      <c r="Z8" s="3702"/>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09" t="s">
        <v>72</v>
      </c>
      <c r="Q9" s="7" t="str">
        <f t="shared" ref="Q9:Q15" si="6">B9</f>
        <v>用途</v>
      </c>
      <c r="R9" s="1346" t="s">
        <v>70</v>
      </c>
      <c r="S9" s="1347">
        <f t="shared" si="0"/>
        <v>100</v>
      </c>
      <c r="T9" s="1346" t="s">
        <v>70</v>
      </c>
      <c r="U9" s="1347">
        <f t="shared" si="1"/>
        <v>95</v>
      </c>
      <c r="V9" s="1346" t="s">
        <v>70</v>
      </c>
      <c r="W9" s="1347">
        <f t="shared" si="2"/>
        <v>100</v>
      </c>
      <c r="X9" s="293"/>
      <c r="Y9" s="3521"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2794</v>
      </c>
      <c r="H10" s="430">
        <f>SUMIF(65:65,G10,66:66)-SUMIF(65:65,C10,66:66)+100</f>
        <v>98</v>
      </c>
      <c r="I10" s="1353" t="s">
        <v>289</v>
      </c>
      <c r="J10" s="430">
        <f>SUMIF(65:65,I10,66:66)-SUMIF(65:65,C10,66:66)+100</f>
        <v>97</v>
      </c>
      <c r="K10" s="959">
        <v>1</v>
      </c>
      <c r="L10" s="2325"/>
      <c r="M10" s="2326"/>
      <c r="N10" s="2326"/>
      <c r="O10" s="2326"/>
      <c r="P10" s="3709"/>
      <c r="Q10" s="7" t="str">
        <f t="shared" si="6"/>
        <v>土地使用年限（年）</v>
      </c>
      <c r="R10" s="1346" t="s">
        <v>70</v>
      </c>
      <c r="S10" s="1347">
        <f t="shared" si="0"/>
        <v>99</v>
      </c>
      <c r="T10" s="1346" t="s">
        <v>70</v>
      </c>
      <c r="U10" s="1347">
        <f t="shared" si="1"/>
        <v>98</v>
      </c>
      <c r="V10" s="1346" t="s">
        <v>70</v>
      </c>
      <c r="W10" s="1347">
        <f t="shared" si="2"/>
        <v>97</v>
      </c>
      <c r="X10" s="293"/>
      <c r="Y10" s="3521"/>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09"/>
      <c r="Q11" s="7" t="str">
        <f t="shared" si="6"/>
        <v>容积率</v>
      </c>
      <c r="R11" s="1346" t="s">
        <v>70</v>
      </c>
      <c r="S11" s="1347">
        <f t="shared" si="0"/>
        <v>98</v>
      </c>
      <c r="T11" s="1346" t="s">
        <v>70</v>
      </c>
      <c r="U11" s="1347">
        <f t="shared" si="1"/>
        <v>96</v>
      </c>
      <c r="V11" s="1346" t="s">
        <v>70</v>
      </c>
      <c r="W11" s="1347">
        <f t="shared" si="2"/>
        <v>94</v>
      </c>
      <c r="X11" s="293"/>
      <c r="Y11" s="3521"/>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09"/>
      <c r="Q12" s="7">
        <f t="shared" si="6"/>
        <v>111</v>
      </c>
      <c r="R12" s="1346" t="s">
        <v>70</v>
      </c>
      <c r="S12" s="1347">
        <f t="shared" si="0"/>
        <v>100</v>
      </c>
      <c r="T12" s="1346" t="s">
        <v>70</v>
      </c>
      <c r="U12" s="1347">
        <f t="shared" si="1"/>
        <v>100</v>
      </c>
      <c r="V12" s="1346" t="s">
        <v>70</v>
      </c>
      <c r="W12" s="1347">
        <f t="shared" si="2"/>
        <v>100</v>
      </c>
      <c r="X12" s="293"/>
      <c r="Y12" s="3521"/>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09"/>
      <c r="Q13" s="7">
        <f t="shared" si="6"/>
        <v>111</v>
      </c>
      <c r="R13" s="1346" t="s">
        <v>70</v>
      </c>
      <c r="S13" s="1347">
        <f t="shared" si="0"/>
        <v>100</v>
      </c>
      <c r="T13" s="1346" t="s">
        <v>70</v>
      </c>
      <c r="U13" s="1347">
        <f t="shared" si="1"/>
        <v>100</v>
      </c>
      <c r="V13" s="1346" t="s">
        <v>70</v>
      </c>
      <c r="W13" s="1347">
        <f t="shared" si="2"/>
        <v>100</v>
      </c>
      <c r="X13" s="293"/>
      <c r="Y13" s="3521"/>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09"/>
      <c r="Q14" s="7">
        <f t="shared" si="6"/>
        <v>111</v>
      </c>
      <c r="R14" s="1346" t="s">
        <v>70</v>
      </c>
      <c r="S14" s="1347">
        <f t="shared" si="0"/>
        <v>100</v>
      </c>
      <c r="T14" s="1346" t="s">
        <v>70</v>
      </c>
      <c r="U14" s="1347">
        <f t="shared" si="1"/>
        <v>100</v>
      </c>
      <c r="V14" s="1346" t="s">
        <v>70</v>
      </c>
      <c r="W14" s="1347">
        <f t="shared" si="2"/>
        <v>100</v>
      </c>
      <c r="X14" s="293"/>
      <c r="Y14" s="3521"/>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36" t="s">
        <v>74</v>
      </c>
      <c r="Q15" s="1355" t="str">
        <f t="shared" si="6"/>
        <v>商业繁华度</v>
      </c>
      <c r="R15" s="1356" t="s">
        <v>70</v>
      </c>
      <c r="S15" s="1357">
        <f t="shared" si="0"/>
        <v>100</v>
      </c>
      <c r="T15" s="1356" t="s">
        <v>70</v>
      </c>
      <c r="U15" s="1357">
        <f t="shared" si="1"/>
        <v>100</v>
      </c>
      <c r="V15" s="1356" t="s">
        <v>70</v>
      </c>
      <c r="W15" s="1357">
        <f t="shared" si="2"/>
        <v>100</v>
      </c>
      <c r="X15" s="1344"/>
      <c r="Y15" s="3729"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37"/>
      <c r="Q16" s="1355"/>
      <c r="R16" s="1356"/>
      <c r="S16" s="1357"/>
      <c r="T16" s="1356"/>
      <c r="U16" s="1357"/>
      <c r="V16" s="1356"/>
      <c r="W16" s="1357"/>
      <c r="X16" s="1344"/>
      <c r="Y16" s="373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37"/>
      <c r="Q17" s="1355" t="str">
        <f>B17</f>
        <v>交通便捷度</v>
      </c>
      <c r="R17" s="1356" t="s">
        <v>70</v>
      </c>
      <c r="S17" s="1357">
        <f>F17</f>
        <v>97</v>
      </c>
      <c r="T17" s="1356" t="s">
        <v>70</v>
      </c>
      <c r="U17" s="1357">
        <f>H17</f>
        <v>94</v>
      </c>
      <c r="V17" s="1356" t="s">
        <v>70</v>
      </c>
      <c r="W17" s="1357">
        <f>J17</f>
        <v>106</v>
      </c>
      <c r="X17" s="1344"/>
      <c r="Y17" s="3730"/>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37"/>
      <c r="Q18" s="1355"/>
      <c r="R18" s="1356"/>
      <c r="S18" s="1357"/>
      <c r="T18" s="1356"/>
      <c r="U18" s="1357"/>
      <c r="V18" s="1356"/>
      <c r="W18" s="1357"/>
      <c r="X18" s="1344"/>
      <c r="Y18" s="3730"/>
      <c r="Z18" s="1358"/>
      <c r="AA18" s="1359">
        <v>1</v>
      </c>
      <c r="AB18" s="1359">
        <v>1</v>
      </c>
      <c r="AC18" s="1359">
        <v>1</v>
      </c>
    </row>
    <row r="19" spans="1:29" ht="40.5">
      <c r="A19" s="151"/>
      <c r="B19" s="1360" t="s">
        <v>3051</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37"/>
      <c r="Q19" s="1355" t="str">
        <f>B19</f>
        <v>公共配套设施</v>
      </c>
      <c r="R19" s="1356" t="s">
        <v>70</v>
      </c>
      <c r="S19" s="1357">
        <f>F19</f>
        <v>98</v>
      </c>
      <c r="T19" s="1356" t="s">
        <v>70</v>
      </c>
      <c r="U19" s="1357">
        <f>H19</f>
        <v>96</v>
      </c>
      <c r="V19" s="1356" t="s">
        <v>70</v>
      </c>
      <c r="W19" s="1357">
        <f>J19</f>
        <v>100</v>
      </c>
      <c r="X19" s="1344"/>
      <c r="Y19" s="3730"/>
      <c r="Z19" s="1358" t="str">
        <f>Q19</f>
        <v>公共配套设施</v>
      </c>
      <c r="AA19" s="1359">
        <f t="shared" si="3"/>
        <v>1.0204081632653061</v>
      </c>
      <c r="AB19" s="1359">
        <f t="shared" si="4"/>
        <v>1.0416666666666667</v>
      </c>
      <c r="AC19" s="1359">
        <f t="shared" si="5"/>
        <v>1</v>
      </c>
    </row>
    <row r="20" spans="1:29" ht="14.25">
      <c r="A20" s="151"/>
      <c r="B20" s="1045"/>
      <c r="C20" s="97" t="s">
        <v>2793</v>
      </c>
      <c r="D20" s="796"/>
      <c r="E20" s="98" t="s">
        <v>124</v>
      </c>
      <c r="F20" s="797"/>
      <c r="G20" s="99" t="s">
        <v>153</v>
      </c>
      <c r="H20" s="796"/>
      <c r="I20" s="98" t="s">
        <v>123</v>
      </c>
      <c r="J20" s="796"/>
      <c r="K20" s="189"/>
      <c r="L20" s="2328"/>
      <c r="M20" s="2323"/>
      <c r="N20" s="2323"/>
      <c r="O20" s="2323"/>
      <c r="P20" s="3737"/>
      <c r="Q20" s="1355"/>
      <c r="R20" s="1356"/>
      <c r="S20" s="1357"/>
      <c r="T20" s="1356"/>
      <c r="U20" s="1357"/>
      <c r="V20" s="1356"/>
      <c r="W20" s="1357"/>
      <c r="X20" s="1344"/>
      <c r="Y20" s="3730"/>
      <c r="Z20" s="1358"/>
      <c r="AA20" s="1359">
        <v>1</v>
      </c>
      <c r="AB20" s="1359">
        <v>1</v>
      </c>
      <c r="AC20" s="1359">
        <v>1</v>
      </c>
    </row>
    <row r="21" spans="1:29" ht="27">
      <c r="A21" s="151"/>
      <c r="B21" s="1416" t="s">
        <v>3052</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37"/>
      <c r="Q21" s="2782" t="str">
        <f>B21</f>
        <v>基础设施水平</v>
      </c>
      <c r="R21" s="1356" t="s">
        <v>70</v>
      </c>
      <c r="S21" s="1357">
        <f>F21</f>
        <v>99</v>
      </c>
      <c r="T21" s="1356" t="s">
        <v>70</v>
      </c>
      <c r="U21" s="1357">
        <f>H21</f>
        <v>98</v>
      </c>
      <c r="V21" s="1356" t="s">
        <v>70</v>
      </c>
      <c r="W21" s="1357">
        <f>J21</f>
        <v>97</v>
      </c>
      <c r="X21" s="2784"/>
      <c r="Y21" s="3730"/>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37"/>
      <c r="Q22" s="2782"/>
      <c r="R22" s="1356"/>
      <c r="S22" s="1357"/>
      <c r="T22" s="1356"/>
      <c r="U22" s="1357"/>
      <c r="V22" s="1356"/>
      <c r="W22" s="1357"/>
      <c r="X22" s="2784"/>
      <c r="Y22" s="3730"/>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37"/>
      <c r="Q23" s="1355" t="str">
        <f>B23</f>
        <v>自然及人文环境</v>
      </c>
      <c r="R23" s="1356" t="s">
        <v>70</v>
      </c>
      <c r="S23" s="1357">
        <f>F23</f>
        <v>98.5</v>
      </c>
      <c r="T23" s="1356" t="s">
        <v>70</v>
      </c>
      <c r="U23" s="1357">
        <f>H23</f>
        <v>103</v>
      </c>
      <c r="V23" s="1356" t="s">
        <v>70</v>
      </c>
      <c r="W23" s="1357">
        <f>J23</f>
        <v>101.5</v>
      </c>
      <c r="X23" s="1344"/>
      <c r="Y23" s="3730"/>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37"/>
      <c r="Q24" s="1355"/>
      <c r="R24" s="1356"/>
      <c r="S24" s="1357"/>
      <c r="T24" s="1356"/>
      <c r="U24" s="1357"/>
      <c r="V24" s="1356"/>
      <c r="W24" s="1357"/>
      <c r="X24" s="1344"/>
      <c r="Y24" s="3730"/>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37"/>
      <c r="Q25" s="1355" t="str">
        <f t="shared" ref="Q25:Q46" si="11">B25</f>
        <v>临街状况</v>
      </c>
      <c r="R25" s="1356" t="s">
        <v>70</v>
      </c>
      <c r="S25" s="1357">
        <f>F25</f>
        <v>104</v>
      </c>
      <c r="T25" s="1356" t="s">
        <v>70</v>
      </c>
      <c r="U25" s="1357">
        <f>H25</f>
        <v>102</v>
      </c>
      <c r="V25" s="1356" t="s">
        <v>70</v>
      </c>
      <c r="W25" s="1357">
        <f>J25</f>
        <v>98</v>
      </c>
      <c r="X25" s="1344"/>
      <c r="Y25" s="3730"/>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37"/>
      <c r="Q26" s="1355" t="str">
        <f t="shared" si="11"/>
        <v>平面位置/可视性</v>
      </c>
      <c r="R26" s="1356" t="s">
        <v>70</v>
      </c>
      <c r="S26" s="1357">
        <f>F26</f>
        <v>98</v>
      </c>
      <c r="T26" s="1356" t="s">
        <v>70</v>
      </c>
      <c r="U26" s="1357">
        <f>H26</f>
        <v>96</v>
      </c>
      <c r="V26" s="1356" t="s">
        <v>70</v>
      </c>
      <c r="W26" s="1357">
        <f>J26</f>
        <v>92</v>
      </c>
      <c r="X26" s="1344"/>
      <c r="Y26" s="3730"/>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37"/>
      <c r="Q27" s="7" t="str">
        <f t="shared" si="11"/>
        <v>人流量</v>
      </c>
      <c r="R27" s="1346" t="s">
        <v>70</v>
      </c>
      <c r="S27" s="1347">
        <f>F27</f>
        <v>97</v>
      </c>
      <c r="T27" s="1346" t="s">
        <v>70</v>
      </c>
      <c r="U27" s="1347">
        <f>H27</f>
        <v>94</v>
      </c>
      <c r="V27" s="1346" t="s">
        <v>70</v>
      </c>
      <c r="W27" s="1347">
        <f>J27</f>
        <v>91</v>
      </c>
      <c r="X27" s="293"/>
      <c r="Y27" s="3730"/>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37"/>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30"/>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37"/>
      <c r="Q29" s="1355">
        <f t="shared" si="11"/>
        <v>111</v>
      </c>
      <c r="R29" s="1356" t="s">
        <v>70</v>
      </c>
      <c r="S29" s="1357">
        <f t="shared" si="12"/>
        <v>100</v>
      </c>
      <c r="T29" s="1356" t="s">
        <v>70</v>
      </c>
      <c r="U29" s="1357">
        <f t="shared" si="13"/>
        <v>100</v>
      </c>
      <c r="V29" s="1356" t="s">
        <v>70</v>
      </c>
      <c r="W29" s="1357">
        <f t="shared" si="14"/>
        <v>100</v>
      </c>
      <c r="X29" s="1344"/>
      <c r="Y29" s="3730"/>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37"/>
      <c r="Q30" s="1355">
        <f t="shared" si="11"/>
        <v>111</v>
      </c>
      <c r="R30" s="1356" t="s">
        <v>70</v>
      </c>
      <c r="S30" s="1357">
        <f t="shared" si="12"/>
        <v>100</v>
      </c>
      <c r="T30" s="1356" t="s">
        <v>70</v>
      </c>
      <c r="U30" s="1357">
        <f t="shared" si="13"/>
        <v>100</v>
      </c>
      <c r="V30" s="1356" t="s">
        <v>70</v>
      </c>
      <c r="W30" s="1357">
        <f t="shared" si="14"/>
        <v>100</v>
      </c>
      <c r="X30" s="1344"/>
      <c r="Y30" s="3730"/>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37"/>
      <c r="Q31" s="1355">
        <f t="shared" si="11"/>
        <v>111</v>
      </c>
      <c r="R31" s="1356" t="s">
        <v>70</v>
      </c>
      <c r="S31" s="1357">
        <f t="shared" si="12"/>
        <v>100</v>
      </c>
      <c r="T31" s="1356" t="s">
        <v>70</v>
      </c>
      <c r="U31" s="1357">
        <f t="shared" si="13"/>
        <v>100</v>
      </c>
      <c r="V31" s="1356" t="s">
        <v>70</v>
      </c>
      <c r="W31" s="1357">
        <f t="shared" si="14"/>
        <v>100</v>
      </c>
      <c r="X31" s="1344"/>
      <c r="Y31" s="3730"/>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31" t="s">
        <v>1270</v>
      </c>
      <c r="Q32" s="1355" t="str">
        <f t="shared" si="11"/>
        <v>商业类型</v>
      </c>
      <c r="R32" s="1356" t="s">
        <v>70</v>
      </c>
      <c r="S32" s="1357">
        <f t="shared" si="12"/>
        <v>102</v>
      </c>
      <c r="T32" s="1356" t="s">
        <v>70</v>
      </c>
      <c r="U32" s="1357">
        <f t="shared" si="13"/>
        <v>104</v>
      </c>
      <c r="V32" s="1356" t="s">
        <v>70</v>
      </c>
      <c r="W32" s="1357">
        <f t="shared" si="14"/>
        <v>100</v>
      </c>
      <c r="X32" s="1344"/>
      <c r="Y32" s="3734"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32"/>
      <c r="Q33" s="1363" t="str">
        <f t="shared" si="11"/>
        <v>项目建筑规模</v>
      </c>
      <c r="R33" s="1364" t="s">
        <v>70</v>
      </c>
      <c r="S33" s="1365">
        <f t="shared" si="12"/>
        <v>92</v>
      </c>
      <c r="T33" s="1364" t="s">
        <v>70</v>
      </c>
      <c r="U33" s="1365">
        <f t="shared" si="13"/>
        <v>94</v>
      </c>
      <c r="V33" s="1364" t="s">
        <v>70</v>
      </c>
      <c r="W33" s="1365">
        <f t="shared" si="14"/>
        <v>96</v>
      </c>
      <c r="X33" s="1366"/>
      <c r="Y33" s="3734"/>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32"/>
      <c r="Q34" s="1355" t="str">
        <f t="shared" si="11"/>
        <v>建筑结构</v>
      </c>
      <c r="R34" s="1356" t="s">
        <v>70</v>
      </c>
      <c r="S34" s="1357">
        <f t="shared" si="12"/>
        <v>100</v>
      </c>
      <c r="T34" s="1356" t="s">
        <v>70</v>
      </c>
      <c r="U34" s="1357">
        <f t="shared" si="13"/>
        <v>101</v>
      </c>
      <c r="V34" s="1356" t="s">
        <v>70</v>
      </c>
      <c r="W34" s="1357">
        <f t="shared" si="14"/>
        <v>99</v>
      </c>
      <c r="X34" s="1344"/>
      <c r="Y34" s="3734"/>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32"/>
      <c r="Q35" s="1355" t="str">
        <f t="shared" si="11"/>
        <v>公共部分装修</v>
      </c>
      <c r="R35" s="1356" t="s">
        <v>70</v>
      </c>
      <c r="S35" s="1357">
        <f t="shared" si="12"/>
        <v>97</v>
      </c>
      <c r="T35" s="1356" t="s">
        <v>70</v>
      </c>
      <c r="U35" s="1357">
        <f t="shared" si="13"/>
        <v>103</v>
      </c>
      <c r="V35" s="1356" t="s">
        <v>70</v>
      </c>
      <c r="W35" s="1357">
        <f t="shared" si="14"/>
        <v>94</v>
      </c>
      <c r="X35" s="1344"/>
      <c r="Y35" s="3734"/>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32"/>
      <c r="Q36" s="1355" t="str">
        <f t="shared" si="11"/>
        <v>成新度</v>
      </c>
      <c r="R36" s="1356" t="s">
        <v>70</v>
      </c>
      <c r="S36" s="1357">
        <f t="shared" si="12"/>
        <v>98</v>
      </c>
      <c r="T36" s="1356" t="s">
        <v>70</v>
      </c>
      <c r="U36" s="1357">
        <f t="shared" si="13"/>
        <v>100</v>
      </c>
      <c r="V36" s="1356" t="s">
        <v>70</v>
      </c>
      <c r="W36" s="1357">
        <f t="shared" si="14"/>
        <v>100</v>
      </c>
      <c r="X36" s="1344"/>
      <c r="Y36" s="3734"/>
      <c r="Z36" s="1358" t="str">
        <f t="shared" si="15"/>
        <v>成新度</v>
      </c>
      <c r="AA36" s="1359">
        <f t="shared" si="3"/>
        <v>1.0204081632653061</v>
      </c>
      <c r="AB36" s="1359">
        <f t="shared" si="4"/>
        <v>1</v>
      </c>
      <c r="AC36" s="1359">
        <f t="shared" si="5"/>
        <v>1</v>
      </c>
    </row>
    <row r="37" spans="1:29" s="40" customFormat="1" ht="15">
      <c r="A37" s="1046"/>
      <c r="B37" s="12" t="s">
        <v>3053</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32"/>
      <c r="Q37" s="7" t="str">
        <f t="shared" si="11"/>
        <v>市政基础设施</v>
      </c>
      <c r="R37" s="1346" t="s">
        <v>70</v>
      </c>
      <c r="S37" s="1347">
        <f t="shared" si="12"/>
        <v>98.5</v>
      </c>
      <c r="T37" s="1346" t="s">
        <v>70</v>
      </c>
      <c r="U37" s="1347">
        <f t="shared" si="13"/>
        <v>97</v>
      </c>
      <c r="V37" s="1346" t="s">
        <v>70</v>
      </c>
      <c r="W37" s="1347">
        <f t="shared" si="14"/>
        <v>95.5</v>
      </c>
      <c r="X37" s="293"/>
      <c r="Y37" s="3734"/>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32" t="s">
        <v>1273</v>
      </c>
      <c r="Q38" s="1355" t="str">
        <f t="shared" si="11"/>
        <v>业态</v>
      </c>
      <c r="R38" s="1356" t="s">
        <v>70</v>
      </c>
      <c r="S38" s="1357">
        <f t="shared" si="12"/>
        <v>100</v>
      </c>
      <c r="T38" s="1356" t="s">
        <v>70</v>
      </c>
      <c r="U38" s="1357">
        <f t="shared" si="13"/>
        <v>95</v>
      </c>
      <c r="V38" s="1356" t="s">
        <v>70</v>
      </c>
      <c r="W38" s="1357">
        <f t="shared" si="14"/>
        <v>100</v>
      </c>
      <c r="X38" s="1344"/>
      <c r="Y38" s="3734"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32"/>
      <c r="Q39" s="1355" t="str">
        <f t="shared" si="11"/>
        <v>层高</v>
      </c>
      <c r="R39" s="1356" t="s">
        <v>70</v>
      </c>
      <c r="S39" s="1357">
        <f t="shared" si="12"/>
        <v>102</v>
      </c>
      <c r="T39" s="1356" t="s">
        <v>70</v>
      </c>
      <c r="U39" s="1357">
        <f t="shared" si="13"/>
        <v>100</v>
      </c>
      <c r="V39" s="1356" t="s">
        <v>70</v>
      </c>
      <c r="W39" s="1357">
        <f t="shared" si="14"/>
        <v>100</v>
      </c>
      <c r="X39" s="1344"/>
      <c r="Y39" s="3734"/>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32"/>
      <c r="Q40" s="1355" t="str">
        <f t="shared" si="11"/>
        <v>单套建筑面积</v>
      </c>
      <c r="R40" s="1356" t="s">
        <v>70</v>
      </c>
      <c r="S40" s="1357">
        <f t="shared" si="12"/>
        <v>102</v>
      </c>
      <c r="T40" s="1356" t="s">
        <v>70</v>
      </c>
      <c r="U40" s="1357">
        <f t="shared" si="13"/>
        <v>105</v>
      </c>
      <c r="V40" s="1356" t="s">
        <v>70</v>
      </c>
      <c r="W40" s="1357">
        <f t="shared" si="14"/>
        <v>102</v>
      </c>
      <c r="X40" s="1344"/>
      <c r="Y40" s="3734"/>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32"/>
      <c r="Q41" s="1363" t="str">
        <f t="shared" si="11"/>
        <v>进深比</v>
      </c>
      <c r="R41" s="1364" t="s">
        <v>70</v>
      </c>
      <c r="S41" s="1365">
        <f t="shared" si="12"/>
        <v>98</v>
      </c>
      <c r="T41" s="1364" t="s">
        <v>70</v>
      </c>
      <c r="U41" s="1365">
        <f t="shared" si="13"/>
        <v>96</v>
      </c>
      <c r="V41" s="1364" t="s">
        <v>70</v>
      </c>
      <c r="W41" s="1365">
        <f t="shared" si="14"/>
        <v>100</v>
      </c>
      <c r="X41" s="1366"/>
      <c r="Y41" s="3734"/>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32"/>
      <c r="Q42" s="1355" t="str">
        <f t="shared" si="11"/>
        <v>内部装修</v>
      </c>
      <c r="R42" s="1356" t="s">
        <v>70</v>
      </c>
      <c r="S42" s="1357">
        <f t="shared" si="12"/>
        <v>98.5</v>
      </c>
      <c r="T42" s="1356" t="s">
        <v>70</v>
      </c>
      <c r="U42" s="1357">
        <f t="shared" si="13"/>
        <v>97</v>
      </c>
      <c r="V42" s="1356" t="s">
        <v>70</v>
      </c>
      <c r="W42" s="1357">
        <f t="shared" si="14"/>
        <v>100</v>
      </c>
      <c r="X42" s="1344"/>
      <c r="Y42" s="3734"/>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32"/>
      <c r="Q43" s="1355" t="str">
        <f t="shared" si="11"/>
        <v>内部装修维护情况</v>
      </c>
      <c r="R43" s="1356" t="s">
        <v>70</v>
      </c>
      <c r="S43" s="1357">
        <f t="shared" si="12"/>
        <v>98</v>
      </c>
      <c r="T43" s="1356" t="s">
        <v>70</v>
      </c>
      <c r="U43" s="1357">
        <f t="shared" si="13"/>
        <v>102</v>
      </c>
      <c r="V43" s="1356" t="s">
        <v>70</v>
      </c>
      <c r="W43" s="1357">
        <f t="shared" si="14"/>
        <v>94</v>
      </c>
      <c r="X43" s="1344"/>
      <c r="Y43" s="3734"/>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32"/>
      <c r="Q44" s="7">
        <f t="shared" si="11"/>
        <v>111</v>
      </c>
      <c r="R44" s="1346" t="s">
        <v>70</v>
      </c>
      <c r="S44" s="1347">
        <f t="shared" si="12"/>
        <v>100</v>
      </c>
      <c r="T44" s="1346" t="s">
        <v>70</v>
      </c>
      <c r="U44" s="1347">
        <f t="shared" si="13"/>
        <v>100</v>
      </c>
      <c r="V44" s="1346" t="s">
        <v>70</v>
      </c>
      <c r="W44" s="1347">
        <f t="shared" si="14"/>
        <v>100</v>
      </c>
      <c r="X44" s="293"/>
      <c r="Y44" s="3734"/>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32"/>
      <c r="Q45" s="1355">
        <f t="shared" si="11"/>
        <v>111</v>
      </c>
      <c r="R45" s="1356" t="s">
        <v>70</v>
      </c>
      <c r="S45" s="1357">
        <f t="shared" si="12"/>
        <v>100</v>
      </c>
      <c r="T45" s="1356" t="s">
        <v>70</v>
      </c>
      <c r="U45" s="1357">
        <f t="shared" si="13"/>
        <v>100</v>
      </c>
      <c r="V45" s="1356" t="s">
        <v>70</v>
      </c>
      <c r="W45" s="1357">
        <f t="shared" si="14"/>
        <v>100</v>
      </c>
      <c r="X45" s="1344"/>
      <c r="Y45" s="3734"/>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33"/>
      <c r="Q46" s="1355">
        <f t="shared" si="11"/>
        <v>111</v>
      </c>
      <c r="R46" s="1356" t="s">
        <v>70</v>
      </c>
      <c r="S46" s="1357">
        <f t="shared" si="12"/>
        <v>100</v>
      </c>
      <c r="T46" s="1356" t="s">
        <v>70</v>
      </c>
      <c r="U46" s="1357">
        <f t="shared" si="13"/>
        <v>100</v>
      </c>
      <c r="V46" s="1356" t="s">
        <v>70</v>
      </c>
      <c r="W46" s="1357">
        <f t="shared" si="14"/>
        <v>100</v>
      </c>
      <c r="X46" s="1344"/>
      <c r="Y46" s="3735"/>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27" t="str">
        <f>A47</f>
        <v>成交单价（元/平方米）</v>
      </c>
      <c r="Q47" s="3727"/>
      <c r="R47" s="3722">
        <f>E47</f>
        <v>30000</v>
      </c>
      <c r="S47" s="3722"/>
      <c r="T47" s="3722">
        <f>G47</f>
        <v>35000</v>
      </c>
      <c r="U47" s="3722"/>
      <c r="V47" s="3722">
        <f>I47</f>
        <v>32000</v>
      </c>
      <c r="W47" s="3722"/>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24" t="str">
        <f>A49</f>
        <v>估价对象XX用房的比较价值（楼面单价，元/平方米）</v>
      </c>
      <c r="Q49" s="3725"/>
      <c r="R49" s="3726" t="e">
        <f>IF(F1="售价",ROUND(AVERAGE(R48:V48),0),ROUND(AVERAGE(R48:V48),1))</f>
        <v>#DIV/0!</v>
      </c>
      <c r="S49" s="3726"/>
      <c r="T49" s="3726"/>
      <c r="U49" s="3726"/>
      <c r="V49" s="3726"/>
      <c r="W49" s="372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3195</v>
      </c>
      <c r="B58" s="853"/>
      <c r="C58" s="3082" t="str">
        <f>YEAR(C7)&amp;"-"&amp;MONTH(C7)</f>
        <v>2017-9</v>
      </c>
      <c r="D58" s="3083">
        <f>EDATE(C58,-1)</f>
        <v>42948</v>
      </c>
      <c r="E58" s="3083">
        <f t="shared" ref="E58:N58" si="16">EDATE(D58,-1)</f>
        <v>42917</v>
      </c>
      <c r="F58" s="3083">
        <f t="shared" si="16"/>
        <v>42887</v>
      </c>
      <c r="G58" s="3083">
        <f t="shared" si="16"/>
        <v>42856</v>
      </c>
      <c r="H58" s="3083">
        <f t="shared" si="16"/>
        <v>42826</v>
      </c>
      <c r="I58" s="3083">
        <f t="shared" si="16"/>
        <v>42795</v>
      </c>
      <c r="J58" s="3083">
        <f t="shared" si="16"/>
        <v>42767</v>
      </c>
      <c r="K58" s="3083">
        <f t="shared" si="16"/>
        <v>42736</v>
      </c>
      <c r="L58" s="3083">
        <f t="shared" si="16"/>
        <v>42705</v>
      </c>
      <c r="M58" s="3083">
        <f t="shared" si="16"/>
        <v>42675</v>
      </c>
      <c r="N58" s="3083">
        <f t="shared" si="16"/>
        <v>42644</v>
      </c>
      <c r="O58" s="3083">
        <f>EDATE(N58,-1)</f>
        <v>42614</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3054</v>
      </c>
      <c r="C82" s="213" t="s">
        <v>3055</v>
      </c>
      <c r="D82" s="213" t="s">
        <v>3056</v>
      </c>
      <c r="E82" s="213" t="s">
        <v>3057</v>
      </c>
      <c r="F82" s="213" t="s">
        <v>3058</v>
      </c>
      <c r="G82" s="213" t="s">
        <v>3059</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3037</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3096</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10" t="s">
        <v>1361</v>
      </c>
      <c r="D4" s="3711"/>
      <c r="E4" s="3712" t="s">
        <v>1362</v>
      </c>
      <c r="F4" s="3713"/>
      <c r="G4" s="3710" t="s">
        <v>1363</v>
      </c>
      <c r="H4" s="3711"/>
      <c r="I4" s="3710" t="s">
        <v>1364</v>
      </c>
      <c r="J4" s="3711"/>
      <c r="K4" s="187" t="s">
        <v>1365</v>
      </c>
      <c r="L4" s="2322"/>
      <c r="M4" s="2323"/>
      <c r="N4" s="2323"/>
      <c r="O4" s="2323"/>
      <c r="P4" s="3767" t="s">
        <v>1360</v>
      </c>
      <c r="Q4" s="3768"/>
      <c r="R4" s="3762" t="s">
        <v>1362</v>
      </c>
      <c r="S4" s="3763"/>
      <c r="T4" s="3762" t="s">
        <v>1363</v>
      </c>
      <c r="U4" s="3763"/>
      <c r="V4" s="3771" t="s">
        <v>1364</v>
      </c>
      <c r="W4" s="3771"/>
      <c r="X4" s="2362"/>
      <c r="Y4" s="3762" t="s">
        <v>1360</v>
      </c>
      <c r="Z4" s="3763"/>
      <c r="AA4" s="3761" t="s">
        <v>1362</v>
      </c>
      <c r="AB4" s="3761" t="s">
        <v>1363</v>
      </c>
      <c r="AC4" s="3764" t="s">
        <v>1364</v>
      </c>
    </row>
    <row r="5" spans="1:29">
      <c r="A5" s="146"/>
      <c r="B5" s="147"/>
      <c r="C5" s="3661" t="s">
        <v>1366</v>
      </c>
      <c r="D5" s="3662"/>
      <c r="E5" s="3659" t="s">
        <v>1367</v>
      </c>
      <c r="F5" s="3660"/>
      <c r="G5" s="3661" t="s">
        <v>1368</v>
      </c>
      <c r="H5" s="3662"/>
      <c r="I5" s="3661" t="s">
        <v>1369</v>
      </c>
      <c r="J5" s="3662"/>
      <c r="K5" s="187"/>
      <c r="L5" s="2322"/>
      <c r="M5" s="2323"/>
      <c r="N5" s="2323"/>
      <c r="O5" s="2323"/>
      <c r="P5" s="3769"/>
      <c r="Q5" s="3717"/>
      <c r="R5" s="3705"/>
      <c r="S5" s="3706"/>
      <c r="T5" s="3705"/>
      <c r="U5" s="3706"/>
      <c r="V5" s="3722"/>
      <c r="W5" s="3722"/>
      <c r="X5" s="2248"/>
      <c r="Y5" s="3705"/>
      <c r="Z5" s="3706"/>
      <c r="AA5" s="3699"/>
      <c r="AB5" s="3699"/>
      <c r="AC5" s="3765"/>
    </row>
    <row r="6" spans="1:29" ht="14.25" thickBot="1">
      <c r="A6" s="148"/>
      <c r="B6" s="149"/>
      <c r="C6" s="3663" t="s">
        <v>1370</v>
      </c>
      <c r="D6" s="3664"/>
      <c r="E6" s="3707" t="s">
        <v>1370</v>
      </c>
      <c r="F6" s="3708"/>
      <c r="G6" s="3663" t="s">
        <v>1370</v>
      </c>
      <c r="H6" s="3664"/>
      <c r="I6" s="3663" t="s">
        <v>1370</v>
      </c>
      <c r="J6" s="3664"/>
      <c r="K6" s="187" t="s">
        <v>1371</v>
      </c>
      <c r="L6" s="2322"/>
      <c r="M6" s="2323"/>
      <c r="N6" s="2323"/>
      <c r="O6" s="2323"/>
      <c r="P6" s="3770"/>
      <c r="Q6" s="3719"/>
      <c r="R6" s="3705"/>
      <c r="S6" s="3706"/>
      <c r="T6" s="3720"/>
      <c r="U6" s="3721"/>
      <c r="V6" s="3722"/>
      <c r="W6" s="3722"/>
      <c r="X6" s="2248"/>
      <c r="Y6" s="3720"/>
      <c r="Z6" s="3721"/>
      <c r="AA6" s="3700"/>
      <c r="AB6" s="3700"/>
      <c r="AC6" s="3766"/>
    </row>
    <row r="7" spans="1:29" s="40" customFormat="1" ht="15" thickBot="1">
      <c r="A7" s="1018" t="s">
        <v>1372</v>
      </c>
      <c r="B7" s="1019"/>
      <c r="C7" s="757">
        <f>'数据-取费表'!B2</f>
        <v>43006</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72" t="s">
        <v>1372</v>
      </c>
      <c r="Q7" s="3723"/>
      <c r="R7" s="1346" t="s">
        <v>70</v>
      </c>
      <c r="S7" s="1347">
        <f t="shared" ref="S7:S15" si="0">F7</f>
        <v>0</v>
      </c>
      <c r="T7" s="1346" t="s">
        <v>70</v>
      </c>
      <c r="U7" s="1347">
        <f t="shared" ref="U7:U15" si="1">H7</f>
        <v>0</v>
      </c>
      <c r="V7" s="1346" t="s">
        <v>70</v>
      </c>
      <c r="W7" s="1347">
        <f t="shared" ref="W7:W15" si="2">J7</f>
        <v>0</v>
      </c>
      <c r="X7" s="293"/>
      <c r="Y7" s="3701" t="s">
        <v>1372</v>
      </c>
      <c r="Z7" s="3702"/>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72" t="s">
        <v>1258</v>
      </c>
      <c r="Q8" s="3702"/>
      <c r="R8" s="1346" t="s">
        <v>70</v>
      </c>
      <c r="S8" s="1347">
        <f t="shared" si="0"/>
        <v>99</v>
      </c>
      <c r="T8" s="1346" t="s">
        <v>70</v>
      </c>
      <c r="U8" s="1347">
        <f t="shared" si="1"/>
        <v>100</v>
      </c>
      <c r="V8" s="1346" t="s">
        <v>70</v>
      </c>
      <c r="W8" s="1347">
        <f t="shared" si="2"/>
        <v>100</v>
      </c>
      <c r="X8" s="293"/>
      <c r="Y8" s="3701" t="s">
        <v>1258</v>
      </c>
      <c r="Z8" s="3702"/>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09" t="s">
        <v>72</v>
      </c>
      <c r="Q9" s="2236" t="str">
        <f t="shared" ref="Q9:Q15" si="6">B9</f>
        <v>用途</v>
      </c>
      <c r="R9" s="1346" t="s">
        <v>70</v>
      </c>
      <c r="S9" s="1347">
        <f t="shared" si="0"/>
        <v>100</v>
      </c>
      <c r="T9" s="1346" t="s">
        <v>70</v>
      </c>
      <c r="U9" s="1347">
        <f t="shared" si="1"/>
        <v>95</v>
      </c>
      <c r="V9" s="1346" t="s">
        <v>70</v>
      </c>
      <c r="W9" s="1347">
        <f t="shared" si="2"/>
        <v>100</v>
      </c>
      <c r="X9" s="293"/>
      <c r="Y9" s="3521"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09"/>
      <c r="Q10" s="2236" t="str">
        <f t="shared" si="6"/>
        <v>土地使用年限（年）</v>
      </c>
      <c r="R10" s="1346" t="s">
        <v>70</v>
      </c>
      <c r="S10" s="1347">
        <f t="shared" si="0"/>
        <v>99</v>
      </c>
      <c r="T10" s="1346" t="s">
        <v>70</v>
      </c>
      <c r="U10" s="1347">
        <f t="shared" si="1"/>
        <v>98</v>
      </c>
      <c r="V10" s="1346" t="s">
        <v>70</v>
      </c>
      <c r="W10" s="1347">
        <f t="shared" si="2"/>
        <v>97</v>
      </c>
      <c r="X10" s="293"/>
      <c r="Y10" s="3521"/>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09"/>
      <c r="Q11" s="2236" t="str">
        <f t="shared" si="6"/>
        <v>容积率</v>
      </c>
      <c r="R11" s="1346" t="s">
        <v>70</v>
      </c>
      <c r="S11" s="1347">
        <f t="shared" si="0"/>
        <v>97</v>
      </c>
      <c r="T11" s="1346" t="s">
        <v>70</v>
      </c>
      <c r="U11" s="1347">
        <f t="shared" si="1"/>
        <v>94</v>
      </c>
      <c r="V11" s="1346" t="s">
        <v>70</v>
      </c>
      <c r="W11" s="1347">
        <f t="shared" si="2"/>
        <v>91</v>
      </c>
      <c r="X11" s="293"/>
      <c r="Y11" s="3521"/>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09"/>
      <c r="Q12" s="2236">
        <f t="shared" si="6"/>
        <v>111</v>
      </c>
      <c r="R12" s="1346" t="s">
        <v>70</v>
      </c>
      <c r="S12" s="1347">
        <f t="shared" si="0"/>
        <v>100</v>
      </c>
      <c r="T12" s="1346" t="s">
        <v>70</v>
      </c>
      <c r="U12" s="1347">
        <f t="shared" si="1"/>
        <v>100</v>
      </c>
      <c r="V12" s="1346" t="s">
        <v>70</v>
      </c>
      <c r="W12" s="1347">
        <f t="shared" si="2"/>
        <v>100</v>
      </c>
      <c r="X12" s="293"/>
      <c r="Y12" s="3521"/>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09"/>
      <c r="Q13" s="2236">
        <f t="shared" si="6"/>
        <v>111</v>
      </c>
      <c r="R13" s="1346" t="s">
        <v>70</v>
      </c>
      <c r="S13" s="1347">
        <f t="shared" si="0"/>
        <v>100</v>
      </c>
      <c r="T13" s="1346" t="s">
        <v>70</v>
      </c>
      <c r="U13" s="1347">
        <f t="shared" si="1"/>
        <v>100</v>
      </c>
      <c r="V13" s="1346" t="s">
        <v>70</v>
      </c>
      <c r="W13" s="1347">
        <f t="shared" si="2"/>
        <v>100</v>
      </c>
      <c r="X13" s="293"/>
      <c r="Y13" s="3521"/>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09"/>
      <c r="Q14" s="2236">
        <f t="shared" si="6"/>
        <v>111</v>
      </c>
      <c r="R14" s="1346" t="s">
        <v>70</v>
      </c>
      <c r="S14" s="1347">
        <f t="shared" si="0"/>
        <v>100</v>
      </c>
      <c r="T14" s="1346" t="s">
        <v>70</v>
      </c>
      <c r="U14" s="1347">
        <f t="shared" si="1"/>
        <v>100</v>
      </c>
      <c r="V14" s="1346" t="s">
        <v>70</v>
      </c>
      <c r="W14" s="1347">
        <f t="shared" si="2"/>
        <v>100</v>
      </c>
      <c r="X14" s="293"/>
      <c r="Y14" s="3521"/>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36" t="s">
        <v>74</v>
      </c>
      <c r="Q15" s="2246" t="str">
        <f t="shared" si="6"/>
        <v>办公集聚程度</v>
      </c>
      <c r="R15" s="1356" t="s">
        <v>70</v>
      </c>
      <c r="S15" s="1357">
        <f t="shared" si="0"/>
        <v>101.5</v>
      </c>
      <c r="T15" s="1356" t="s">
        <v>70</v>
      </c>
      <c r="U15" s="1357">
        <f t="shared" si="1"/>
        <v>103</v>
      </c>
      <c r="V15" s="1356" t="s">
        <v>70</v>
      </c>
      <c r="W15" s="1357">
        <f t="shared" si="2"/>
        <v>97</v>
      </c>
      <c r="X15" s="2248"/>
      <c r="Y15" s="3729"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37"/>
      <c r="Q16" s="2246"/>
      <c r="R16" s="1356"/>
      <c r="S16" s="1357"/>
      <c r="T16" s="1356"/>
      <c r="U16" s="1357"/>
      <c r="V16" s="1356"/>
      <c r="W16" s="1357"/>
      <c r="X16" s="2248"/>
      <c r="Y16" s="3730"/>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37"/>
      <c r="Q17" s="2246" t="str">
        <f>B17</f>
        <v>交通便捷度</v>
      </c>
      <c r="R17" s="1356" t="s">
        <v>70</v>
      </c>
      <c r="S17" s="1357">
        <f>F17</f>
        <v>94</v>
      </c>
      <c r="T17" s="1356" t="s">
        <v>70</v>
      </c>
      <c r="U17" s="1357">
        <f>H17</f>
        <v>103</v>
      </c>
      <c r="V17" s="1356" t="s">
        <v>70</v>
      </c>
      <c r="W17" s="1357">
        <f>J17</f>
        <v>97</v>
      </c>
      <c r="X17" s="2248"/>
      <c r="Y17" s="3730"/>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37"/>
      <c r="Q18" s="2246"/>
      <c r="R18" s="1356"/>
      <c r="S18" s="1357"/>
      <c r="T18" s="1356"/>
      <c r="U18" s="1357"/>
      <c r="V18" s="1356"/>
      <c r="W18" s="1357"/>
      <c r="X18" s="2248"/>
      <c r="Y18" s="3730"/>
      <c r="Z18" s="2247"/>
      <c r="AA18" s="1359">
        <v>1</v>
      </c>
      <c r="AB18" s="1359">
        <v>1</v>
      </c>
      <c r="AC18" s="2364">
        <v>1</v>
      </c>
    </row>
    <row r="19" spans="1:29" ht="40.5">
      <c r="A19" s="151"/>
      <c r="B19" s="1038" t="s">
        <v>3060</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37"/>
      <c r="Q19" s="2246" t="str">
        <f>B19</f>
        <v>公共配套设施</v>
      </c>
      <c r="R19" s="1356" t="s">
        <v>70</v>
      </c>
      <c r="S19" s="1357">
        <f>F19</f>
        <v>97.5</v>
      </c>
      <c r="T19" s="1356" t="s">
        <v>70</v>
      </c>
      <c r="U19" s="1357">
        <f>H19</f>
        <v>102.5</v>
      </c>
      <c r="V19" s="1356" t="s">
        <v>70</v>
      </c>
      <c r="W19" s="1357">
        <f>J19</f>
        <v>95</v>
      </c>
      <c r="X19" s="2248"/>
      <c r="Y19" s="3730"/>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37"/>
      <c r="Q20" s="2246"/>
      <c r="R20" s="1356"/>
      <c r="S20" s="1357"/>
      <c r="T20" s="1356"/>
      <c r="U20" s="1357"/>
      <c r="V20" s="1356"/>
      <c r="W20" s="1357"/>
      <c r="X20" s="2248"/>
      <c r="Y20" s="3730"/>
      <c r="Z20" s="2247"/>
      <c r="AA20" s="1359">
        <v>1</v>
      </c>
      <c r="AB20" s="1359">
        <v>1</v>
      </c>
      <c r="AC20" s="2364">
        <v>1</v>
      </c>
    </row>
    <row r="21" spans="1:29" ht="27">
      <c r="A21" s="151"/>
      <c r="B21" s="1040" t="s">
        <v>3061</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37"/>
      <c r="Q21" s="2782" t="str">
        <f>B21</f>
        <v>基础设施水平</v>
      </c>
      <c r="R21" s="1356" t="s">
        <v>70</v>
      </c>
      <c r="S21" s="1357">
        <f>F21</f>
        <v>98.5</v>
      </c>
      <c r="T21" s="1356" t="s">
        <v>70</v>
      </c>
      <c r="U21" s="1357">
        <f>H21</f>
        <v>97</v>
      </c>
      <c r="V21" s="1356" t="s">
        <v>70</v>
      </c>
      <c r="W21" s="1357">
        <f>J21</f>
        <v>95.5</v>
      </c>
      <c r="X21" s="2784"/>
      <c r="Y21" s="3730"/>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37"/>
      <c r="Q22" s="2782"/>
      <c r="R22" s="1356"/>
      <c r="S22" s="1357"/>
      <c r="T22" s="1356"/>
      <c r="U22" s="1357"/>
      <c r="V22" s="1356"/>
      <c r="W22" s="1357"/>
      <c r="X22" s="2784"/>
      <c r="Y22" s="3730"/>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37"/>
      <c r="Q23" s="2246" t="str">
        <f>B23</f>
        <v>环境质量</v>
      </c>
      <c r="R23" s="1356" t="s">
        <v>70</v>
      </c>
      <c r="S23" s="1357">
        <f>F23</f>
        <v>98.5</v>
      </c>
      <c r="T23" s="1356" t="s">
        <v>70</v>
      </c>
      <c r="U23" s="1357">
        <f>H23</f>
        <v>103</v>
      </c>
      <c r="V23" s="1356" t="s">
        <v>70</v>
      </c>
      <c r="W23" s="1357">
        <f>J23</f>
        <v>101.5</v>
      </c>
      <c r="X23" s="2248"/>
      <c r="Y23" s="3730"/>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37"/>
      <c r="Q24" s="2246"/>
      <c r="R24" s="1356"/>
      <c r="S24" s="1357"/>
      <c r="T24" s="1356"/>
      <c r="U24" s="1357"/>
      <c r="V24" s="1356"/>
      <c r="W24" s="1357"/>
      <c r="X24" s="2248"/>
      <c r="Y24" s="3730"/>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37"/>
      <c r="Q25" s="2246" t="str">
        <f>B25</f>
        <v>毗邻道路的类型与等级</v>
      </c>
      <c r="R25" s="1356" t="s">
        <v>70</v>
      </c>
      <c r="S25" s="1357">
        <f>F25</f>
        <v>98.5</v>
      </c>
      <c r="T25" s="1356" t="s">
        <v>70</v>
      </c>
      <c r="U25" s="1357">
        <f>H25</f>
        <v>97</v>
      </c>
      <c r="V25" s="1356" t="s">
        <v>70</v>
      </c>
      <c r="W25" s="1357">
        <f>J25</f>
        <v>95.5</v>
      </c>
      <c r="X25" s="2248"/>
      <c r="Y25" s="3730"/>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37"/>
      <c r="Q26" s="2246"/>
      <c r="R26" s="1356"/>
      <c r="S26" s="1357"/>
      <c r="T26" s="1356"/>
      <c r="U26" s="1357"/>
      <c r="V26" s="1356"/>
      <c r="W26" s="1357"/>
      <c r="X26" s="2248"/>
      <c r="Y26" s="3730"/>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37"/>
      <c r="Q27" s="2246" t="str">
        <f t="shared" ref="Q27:Q47" si="11">B27</f>
        <v>楼层</v>
      </c>
      <c r="R27" s="1356" t="s">
        <v>70</v>
      </c>
      <c r="S27" s="1357">
        <f>F27</f>
        <v>94</v>
      </c>
      <c r="T27" s="1356" t="s">
        <v>70</v>
      </c>
      <c r="U27" s="1357">
        <f>H27</f>
        <v>97</v>
      </c>
      <c r="V27" s="1356" t="s">
        <v>70</v>
      </c>
      <c r="W27" s="1357">
        <f>J27</f>
        <v>100</v>
      </c>
      <c r="X27" s="2248"/>
      <c r="Y27" s="3730"/>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37"/>
      <c r="Q28" s="2236" t="str">
        <f t="shared" si="11"/>
        <v>朝向</v>
      </c>
      <c r="R28" s="1346" t="s">
        <v>70</v>
      </c>
      <c r="S28" s="1347">
        <f>F28</f>
        <v>97</v>
      </c>
      <c r="T28" s="1346" t="s">
        <v>70</v>
      </c>
      <c r="U28" s="1347">
        <f>H28</f>
        <v>94</v>
      </c>
      <c r="V28" s="1346" t="s">
        <v>70</v>
      </c>
      <c r="W28" s="1347">
        <f>J28</f>
        <v>91</v>
      </c>
      <c r="X28" s="293"/>
      <c r="Y28" s="3730"/>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37"/>
      <c r="Q29" s="2246">
        <f t="shared" si="11"/>
        <v>111</v>
      </c>
      <c r="R29" s="1356" t="s">
        <v>70</v>
      </c>
      <c r="S29" s="1357">
        <f t="shared" ref="S29:S47" si="12">F29</f>
        <v>100</v>
      </c>
      <c r="T29" s="1356" t="s">
        <v>70</v>
      </c>
      <c r="U29" s="1357">
        <f t="shared" ref="U29:U47" si="13">H29</f>
        <v>100</v>
      </c>
      <c r="V29" s="1356" t="s">
        <v>70</v>
      </c>
      <c r="W29" s="1357">
        <f t="shared" ref="W29:W47" si="14">J29</f>
        <v>100</v>
      </c>
      <c r="X29" s="2248"/>
      <c r="Y29" s="3730"/>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37"/>
      <c r="Q30" s="2246">
        <f t="shared" si="11"/>
        <v>111</v>
      </c>
      <c r="R30" s="1356" t="s">
        <v>70</v>
      </c>
      <c r="S30" s="1357">
        <f t="shared" si="12"/>
        <v>100</v>
      </c>
      <c r="T30" s="1356" t="s">
        <v>70</v>
      </c>
      <c r="U30" s="1357">
        <f t="shared" si="13"/>
        <v>100</v>
      </c>
      <c r="V30" s="1356" t="s">
        <v>70</v>
      </c>
      <c r="W30" s="1357">
        <f t="shared" si="14"/>
        <v>100</v>
      </c>
      <c r="X30" s="2248"/>
      <c r="Y30" s="3730"/>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37"/>
      <c r="Q31" s="2246">
        <f t="shared" si="11"/>
        <v>111</v>
      </c>
      <c r="R31" s="1356" t="s">
        <v>70</v>
      </c>
      <c r="S31" s="1357">
        <f t="shared" si="12"/>
        <v>100</v>
      </c>
      <c r="T31" s="1356" t="s">
        <v>70</v>
      </c>
      <c r="U31" s="1357">
        <f t="shared" si="13"/>
        <v>100</v>
      </c>
      <c r="V31" s="1356" t="s">
        <v>70</v>
      </c>
      <c r="W31" s="1357">
        <f t="shared" si="14"/>
        <v>100</v>
      </c>
      <c r="X31" s="2248"/>
      <c r="Y31" s="3730"/>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37"/>
      <c r="Q32" s="2246">
        <f t="shared" si="11"/>
        <v>111</v>
      </c>
      <c r="R32" s="1356" t="s">
        <v>70</v>
      </c>
      <c r="S32" s="1357">
        <f t="shared" si="12"/>
        <v>100</v>
      </c>
      <c r="T32" s="1356" t="s">
        <v>70</v>
      </c>
      <c r="U32" s="1357">
        <f t="shared" si="13"/>
        <v>100</v>
      </c>
      <c r="V32" s="1356" t="s">
        <v>70</v>
      </c>
      <c r="W32" s="1357">
        <f t="shared" si="14"/>
        <v>100</v>
      </c>
      <c r="X32" s="2248"/>
      <c r="Y32" s="3730"/>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31" t="s">
        <v>1379</v>
      </c>
      <c r="Q33" s="2246" t="str">
        <f t="shared" si="11"/>
        <v>建筑类型</v>
      </c>
      <c r="R33" s="1356" t="s">
        <v>70</v>
      </c>
      <c r="S33" s="1357">
        <f t="shared" si="12"/>
        <v>98</v>
      </c>
      <c r="T33" s="1356" t="s">
        <v>70</v>
      </c>
      <c r="U33" s="1357">
        <f t="shared" si="13"/>
        <v>97</v>
      </c>
      <c r="V33" s="1356" t="s">
        <v>70</v>
      </c>
      <c r="W33" s="1357">
        <f t="shared" si="14"/>
        <v>96</v>
      </c>
      <c r="X33" s="2248"/>
      <c r="Y33" s="3734"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32"/>
      <c r="Q34" s="1363" t="str">
        <f t="shared" si="11"/>
        <v>项目建筑规模</v>
      </c>
      <c r="R34" s="1364" t="s">
        <v>70</v>
      </c>
      <c r="S34" s="1365">
        <f t="shared" si="12"/>
        <v>92</v>
      </c>
      <c r="T34" s="1364" t="s">
        <v>70</v>
      </c>
      <c r="U34" s="1365">
        <f t="shared" si="13"/>
        <v>94</v>
      </c>
      <c r="V34" s="1364" t="s">
        <v>70</v>
      </c>
      <c r="W34" s="1365">
        <f t="shared" si="14"/>
        <v>96</v>
      </c>
      <c r="X34" s="1366"/>
      <c r="Y34" s="3734"/>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32"/>
      <c r="Q35" s="2246" t="str">
        <f t="shared" si="11"/>
        <v>建筑结构</v>
      </c>
      <c r="R35" s="1356" t="s">
        <v>70</v>
      </c>
      <c r="S35" s="1357">
        <f t="shared" si="12"/>
        <v>98</v>
      </c>
      <c r="T35" s="1356" t="s">
        <v>70</v>
      </c>
      <c r="U35" s="1357">
        <f t="shared" si="13"/>
        <v>100</v>
      </c>
      <c r="V35" s="1356" t="s">
        <v>70</v>
      </c>
      <c r="W35" s="1357">
        <f t="shared" si="14"/>
        <v>98</v>
      </c>
      <c r="X35" s="2248"/>
      <c r="Y35" s="3734"/>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32"/>
      <c r="Q36" s="2246" t="str">
        <f t="shared" si="11"/>
        <v>公共部分装修</v>
      </c>
      <c r="R36" s="1356" t="s">
        <v>70</v>
      </c>
      <c r="S36" s="1357">
        <f t="shared" si="12"/>
        <v>101</v>
      </c>
      <c r="T36" s="1356" t="s">
        <v>70</v>
      </c>
      <c r="U36" s="1357">
        <f t="shared" si="13"/>
        <v>99</v>
      </c>
      <c r="V36" s="1356" t="s">
        <v>70</v>
      </c>
      <c r="W36" s="1357">
        <f t="shared" si="14"/>
        <v>98</v>
      </c>
      <c r="X36" s="2248"/>
      <c r="Y36" s="3734"/>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32"/>
      <c r="Q37" s="2246" t="str">
        <f t="shared" si="11"/>
        <v>成新度</v>
      </c>
      <c r="R37" s="1356" t="s">
        <v>70</v>
      </c>
      <c r="S37" s="1357">
        <f t="shared" si="12"/>
        <v>98</v>
      </c>
      <c r="T37" s="1356" t="s">
        <v>70</v>
      </c>
      <c r="U37" s="1357">
        <f t="shared" si="13"/>
        <v>100</v>
      </c>
      <c r="V37" s="1356" t="s">
        <v>70</v>
      </c>
      <c r="W37" s="1357">
        <f t="shared" si="14"/>
        <v>100</v>
      </c>
      <c r="X37" s="2248"/>
      <c r="Y37" s="3734"/>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32"/>
      <c r="Q38" s="2236" t="str">
        <f t="shared" si="11"/>
        <v>写字楼等级</v>
      </c>
      <c r="R38" s="1346" t="s">
        <v>70</v>
      </c>
      <c r="S38" s="1347">
        <f t="shared" si="12"/>
        <v>96</v>
      </c>
      <c r="T38" s="1346" t="s">
        <v>70</v>
      </c>
      <c r="U38" s="1347">
        <f t="shared" si="13"/>
        <v>92</v>
      </c>
      <c r="V38" s="1346" t="s">
        <v>70</v>
      </c>
      <c r="W38" s="1347">
        <f t="shared" si="14"/>
        <v>100</v>
      </c>
      <c r="X38" s="293"/>
      <c r="Y38" s="3734"/>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32" t="s">
        <v>75</v>
      </c>
      <c r="Q39" s="2246" t="str">
        <f t="shared" si="11"/>
        <v>物业管理</v>
      </c>
      <c r="R39" s="1356" t="s">
        <v>70</v>
      </c>
      <c r="S39" s="1357">
        <f t="shared" si="12"/>
        <v>97</v>
      </c>
      <c r="T39" s="1356" t="s">
        <v>70</v>
      </c>
      <c r="U39" s="1357">
        <f t="shared" si="13"/>
        <v>100</v>
      </c>
      <c r="V39" s="1356" t="s">
        <v>70</v>
      </c>
      <c r="W39" s="1357">
        <f t="shared" si="14"/>
        <v>97</v>
      </c>
      <c r="X39" s="2248"/>
      <c r="Y39" s="3734" t="s">
        <v>75</v>
      </c>
      <c r="Z39" s="2247" t="str">
        <f t="shared" si="15"/>
        <v>物业管理</v>
      </c>
      <c r="AA39" s="1359">
        <f t="shared" si="3"/>
        <v>1.0309278350515463</v>
      </c>
      <c r="AB39" s="1359">
        <f t="shared" si="4"/>
        <v>1</v>
      </c>
      <c r="AC39" s="2364">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32"/>
      <c r="Q40" s="2246" t="str">
        <f t="shared" si="11"/>
        <v>市政基础设施</v>
      </c>
      <c r="R40" s="1356" t="s">
        <v>70</v>
      </c>
      <c r="S40" s="1357">
        <f t="shared" si="12"/>
        <v>99</v>
      </c>
      <c r="T40" s="1356" t="s">
        <v>70</v>
      </c>
      <c r="U40" s="1357">
        <f t="shared" si="13"/>
        <v>98</v>
      </c>
      <c r="V40" s="1356" t="s">
        <v>70</v>
      </c>
      <c r="W40" s="1357">
        <f t="shared" si="14"/>
        <v>97</v>
      </c>
      <c r="X40" s="2248"/>
      <c r="Y40" s="3734"/>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32"/>
      <c r="Q41" s="2246" t="str">
        <f t="shared" si="11"/>
        <v>层高</v>
      </c>
      <c r="R41" s="1356" t="s">
        <v>70</v>
      </c>
      <c r="S41" s="1357">
        <f t="shared" si="12"/>
        <v>100</v>
      </c>
      <c r="T41" s="1356" t="s">
        <v>70</v>
      </c>
      <c r="U41" s="1357">
        <f t="shared" si="13"/>
        <v>101.5</v>
      </c>
      <c r="V41" s="1356" t="s">
        <v>70</v>
      </c>
      <c r="W41" s="1357">
        <f t="shared" si="14"/>
        <v>100</v>
      </c>
      <c r="X41" s="2248"/>
      <c r="Y41" s="3734"/>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32"/>
      <c r="Q42" s="1363" t="str">
        <f t="shared" si="11"/>
        <v>单套建筑面积</v>
      </c>
      <c r="R42" s="1364" t="s">
        <v>70</v>
      </c>
      <c r="S42" s="1365">
        <f t="shared" si="12"/>
        <v>105</v>
      </c>
      <c r="T42" s="1364" t="s">
        <v>70</v>
      </c>
      <c r="U42" s="1365">
        <f t="shared" si="13"/>
        <v>103</v>
      </c>
      <c r="V42" s="1364" t="s">
        <v>70</v>
      </c>
      <c r="W42" s="1365">
        <f t="shared" si="14"/>
        <v>98</v>
      </c>
      <c r="X42" s="1366"/>
      <c r="Y42" s="3734"/>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32"/>
      <c r="Q43" s="2246" t="str">
        <f t="shared" si="11"/>
        <v>内部装修</v>
      </c>
      <c r="R43" s="1356" t="s">
        <v>70</v>
      </c>
      <c r="S43" s="1357">
        <f t="shared" si="12"/>
        <v>97</v>
      </c>
      <c r="T43" s="1356" t="s">
        <v>70</v>
      </c>
      <c r="U43" s="1357">
        <f t="shared" si="13"/>
        <v>94</v>
      </c>
      <c r="V43" s="1356" t="s">
        <v>70</v>
      </c>
      <c r="W43" s="1357">
        <f t="shared" si="14"/>
        <v>91</v>
      </c>
      <c r="X43" s="2248"/>
      <c r="Y43" s="3734"/>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32"/>
      <c r="Q44" s="2246" t="str">
        <f t="shared" si="11"/>
        <v>内部装修维护情况</v>
      </c>
      <c r="R44" s="1356" t="s">
        <v>70</v>
      </c>
      <c r="S44" s="1357">
        <f t="shared" si="12"/>
        <v>98</v>
      </c>
      <c r="T44" s="1356" t="s">
        <v>70</v>
      </c>
      <c r="U44" s="1357">
        <f t="shared" si="13"/>
        <v>102</v>
      </c>
      <c r="V44" s="1356" t="s">
        <v>70</v>
      </c>
      <c r="W44" s="1357">
        <f t="shared" si="14"/>
        <v>94</v>
      </c>
      <c r="X44" s="2248"/>
      <c r="Y44" s="3734"/>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32"/>
      <c r="Q45" s="2236">
        <f t="shared" si="11"/>
        <v>111</v>
      </c>
      <c r="R45" s="1346" t="s">
        <v>70</v>
      </c>
      <c r="S45" s="1347">
        <f t="shared" si="12"/>
        <v>100</v>
      </c>
      <c r="T45" s="1346" t="s">
        <v>70</v>
      </c>
      <c r="U45" s="1347">
        <f t="shared" si="13"/>
        <v>100</v>
      </c>
      <c r="V45" s="1346" t="s">
        <v>70</v>
      </c>
      <c r="W45" s="1347">
        <f t="shared" si="14"/>
        <v>100</v>
      </c>
      <c r="X45" s="293"/>
      <c r="Y45" s="3734"/>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32"/>
      <c r="Q46" s="2246">
        <f t="shared" si="11"/>
        <v>111</v>
      </c>
      <c r="R46" s="1356" t="s">
        <v>70</v>
      </c>
      <c r="S46" s="1357">
        <f t="shared" si="12"/>
        <v>100</v>
      </c>
      <c r="T46" s="1356" t="s">
        <v>70</v>
      </c>
      <c r="U46" s="1357">
        <f t="shared" si="13"/>
        <v>100</v>
      </c>
      <c r="V46" s="1356" t="s">
        <v>70</v>
      </c>
      <c r="W46" s="1357">
        <f t="shared" si="14"/>
        <v>100</v>
      </c>
      <c r="X46" s="2248"/>
      <c r="Y46" s="3734"/>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33"/>
      <c r="Q47" s="2246">
        <f t="shared" si="11"/>
        <v>111</v>
      </c>
      <c r="R47" s="1356" t="s">
        <v>70</v>
      </c>
      <c r="S47" s="1357">
        <f t="shared" si="12"/>
        <v>100</v>
      </c>
      <c r="T47" s="1356" t="s">
        <v>70</v>
      </c>
      <c r="U47" s="1357">
        <f t="shared" si="13"/>
        <v>100</v>
      </c>
      <c r="V47" s="1356" t="s">
        <v>70</v>
      </c>
      <c r="W47" s="1357">
        <f t="shared" si="14"/>
        <v>100</v>
      </c>
      <c r="X47" s="2248"/>
      <c r="Y47" s="3735"/>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09" t="str">
        <f>A48</f>
        <v>成交单价（元/平方米）</v>
      </c>
      <c r="Q48" s="3727"/>
      <c r="R48" s="3728">
        <f>E48</f>
        <v>30000</v>
      </c>
      <c r="S48" s="3728"/>
      <c r="T48" s="3728">
        <f>G48</f>
        <v>35000</v>
      </c>
      <c r="U48" s="3728"/>
      <c r="V48" s="3728">
        <f>I48</f>
        <v>32000</v>
      </c>
      <c r="W48" s="3728"/>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73" t="str">
        <f>A50</f>
        <v>估价对象XX用房的比较价值（楼面单价，元/平方米）</v>
      </c>
      <c r="Q50" s="3774"/>
      <c r="R50" s="3775" t="e">
        <f>IF(F1="售价",ROUND(AVERAGE(R49:V49),0),ROUND(AVERAGE(R49:V49),1))</f>
        <v>#DIV/0!</v>
      </c>
      <c r="S50" s="3775"/>
      <c r="T50" s="3775"/>
      <c r="U50" s="3775"/>
      <c r="V50" s="3775"/>
      <c r="W50" s="3775"/>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3196</v>
      </c>
      <c r="B59" s="853"/>
      <c r="C59" s="3082" t="str">
        <f>YEAR(C7)&amp;"-"&amp;MONTH(C7)</f>
        <v>2017-9</v>
      </c>
      <c r="D59" s="3083">
        <f>EDATE(C59,-1)</f>
        <v>42948</v>
      </c>
      <c r="E59" s="3083">
        <f>EDATE(D59,-1)</f>
        <v>42917</v>
      </c>
      <c r="F59" s="3083">
        <f t="shared" ref="F59:O59" si="16">EDATE(E59,-1)</f>
        <v>42887</v>
      </c>
      <c r="G59" s="3083">
        <f t="shared" si="16"/>
        <v>42856</v>
      </c>
      <c r="H59" s="3083">
        <f t="shared" si="16"/>
        <v>42826</v>
      </c>
      <c r="I59" s="3083">
        <f t="shared" si="16"/>
        <v>42795</v>
      </c>
      <c r="J59" s="3083">
        <f t="shared" si="16"/>
        <v>42767</v>
      </c>
      <c r="K59" s="3083">
        <f t="shared" si="16"/>
        <v>42736</v>
      </c>
      <c r="L59" s="3083">
        <f t="shared" si="16"/>
        <v>42705</v>
      </c>
      <c r="M59" s="3083">
        <f t="shared" si="16"/>
        <v>42675</v>
      </c>
      <c r="N59" s="3083">
        <f t="shared" si="16"/>
        <v>42644</v>
      </c>
      <c r="O59" s="3083">
        <f t="shared" si="16"/>
        <v>42614</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3062</v>
      </c>
      <c r="C83" s="213" t="s">
        <v>3055</v>
      </c>
      <c r="D83" s="213" t="s">
        <v>3056</v>
      </c>
      <c r="E83" s="213" t="s">
        <v>3057</v>
      </c>
      <c r="F83" s="213" t="s">
        <v>3058</v>
      </c>
      <c r="G83" s="213" t="s">
        <v>3059</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3037</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3096</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3098</v>
      </c>
      <c r="D2" s="2369"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144934.76999999999</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10" t="s">
        <v>1426</v>
      </c>
      <c r="D4" s="3711"/>
      <c r="E4" s="3712" t="s">
        <v>1427</v>
      </c>
      <c r="F4" s="3713"/>
      <c r="G4" s="3710" t="s">
        <v>1428</v>
      </c>
      <c r="H4" s="3711"/>
      <c r="I4" s="3710" t="s">
        <v>1429</v>
      </c>
      <c r="J4" s="3711"/>
      <c r="K4" s="187" t="s">
        <v>1430</v>
      </c>
      <c r="L4" s="2322"/>
      <c r="M4" s="2323"/>
      <c r="N4" s="2323"/>
      <c r="O4" s="2323"/>
      <c r="P4" s="3714" t="s">
        <v>1425</v>
      </c>
      <c r="Q4" s="3715"/>
      <c r="R4" s="3703" t="s">
        <v>1427</v>
      </c>
      <c r="S4" s="3704"/>
      <c r="T4" s="3703" t="s">
        <v>1428</v>
      </c>
      <c r="U4" s="3704"/>
      <c r="V4" s="3722" t="s">
        <v>1429</v>
      </c>
      <c r="W4" s="3722"/>
      <c r="X4" s="1344"/>
      <c r="Y4" s="3703" t="s">
        <v>1425</v>
      </c>
      <c r="Z4" s="3704"/>
      <c r="AA4" s="3698" t="s">
        <v>1427</v>
      </c>
      <c r="AB4" s="3699" t="s">
        <v>1428</v>
      </c>
      <c r="AC4" s="3698" t="s">
        <v>1429</v>
      </c>
    </row>
    <row r="5" spans="1:29">
      <c r="A5" s="146"/>
      <c r="B5" s="147"/>
      <c r="C5" s="3661" t="s">
        <v>1431</v>
      </c>
      <c r="D5" s="3662"/>
      <c r="E5" s="3659" t="s">
        <v>1432</v>
      </c>
      <c r="F5" s="3660"/>
      <c r="G5" s="3661" t="s">
        <v>1433</v>
      </c>
      <c r="H5" s="3662"/>
      <c r="I5" s="3661" t="s">
        <v>1434</v>
      </c>
      <c r="J5" s="3662"/>
      <c r="K5" s="187"/>
      <c r="L5" s="2322"/>
      <c r="M5" s="2323"/>
      <c r="N5" s="2323"/>
      <c r="O5" s="2323"/>
      <c r="P5" s="3716"/>
      <c r="Q5" s="3717"/>
      <c r="R5" s="3705"/>
      <c r="S5" s="3706"/>
      <c r="T5" s="3705"/>
      <c r="U5" s="3706"/>
      <c r="V5" s="3722"/>
      <c r="W5" s="3722"/>
      <c r="X5" s="1344"/>
      <c r="Y5" s="3705"/>
      <c r="Z5" s="3706"/>
      <c r="AA5" s="3699"/>
      <c r="AB5" s="3699"/>
      <c r="AC5" s="3699"/>
    </row>
    <row r="6" spans="1:29" ht="14.25" thickBot="1">
      <c r="A6" s="148"/>
      <c r="B6" s="149"/>
      <c r="C6" s="3663" t="s">
        <v>1435</v>
      </c>
      <c r="D6" s="3664"/>
      <c r="E6" s="3707" t="s">
        <v>1435</v>
      </c>
      <c r="F6" s="3708"/>
      <c r="G6" s="3663" t="s">
        <v>1435</v>
      </c>
      <c r="H6" s="3664"/>
      <c r="I6" s="3663" t="s">
        <v>1435</v>
      </c>
      <c r="J6" s="3664"/>
      <c r="K6" s="187" t="s">
        <v>1436</v>
      </c>
      <c r="L6" s="2322"/>
      <c r="M6" s="2323"/>
      <c r="N6" s="2323"/>
      <c r="O6" s="2323"/>
      <c r="P6" s="3718"/>
      <c r="Q6" s="3719"/>
      <c r="R6" s="3705"/>
      <c r="S6" s="3706"/>
      <c r="T6" s="3720"/>
      <c r="U6" s="3721"/>
      <c r="V6" s="3722"/>
      <c r="W6" s="3722"/>
      <c r="X6" s="1344"/>
      <c r="Y6" s="3720"/>
      <c r="Z6" s="3721"/>
      <c r="AA6" s="3700"/>
      <c r="AB6" s="3700"/>
      <c r="AC6" s="3700"/>
    </row>
    <row r="7" spans="1:29" s="40" customFormat="1" ht="15" thickBot="1">
      <c r="A7" s="1018" t="s">
        <v>1437</v>
      </c>
      <c r="B7" s="1019"/>
      <c r="C7" s="757">
        <f>'数据-取费表'!B2</f>
        <v>43006</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01" t="s">
        <v>1437</v>
      </c>
      <c r="Q7" s="3723"/>
      <c r="R7" s="1346" t="s">
        <v>70</v>
      </c>
      <c r="S7" s="1347">
        <f t="shared" ref="S7:S15" si="0">F7</f>
        <v>0</v>
      </c>
      <c r="T7" s="1346" t="s">
        <v>70</v>
      </c>
      <c r="U7" s="1347">
        <f t="shared" ref="U7:U15" si="1">H7</f>
        <v>0</v>
      </c>
      <c r="V7" s="1346" t="s">
        <v>70</v>
      </c>
      <c r="W7" s="1347">
        <f t="shared" ref="W7:W15" si="2">J7</f>
        <v>0</v>
      </c>
      <c r="X7" s="293"/>
      <c r="Y7" s="3701" t="s">
        <v>1437</v>
      </c>
      <c r="Z7" s="3702"/>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01" t="s">
        <v>1258</v>
      </c>
      <c r="Q8" s="3702"/>
      <c r="R8" s="1346" t="s">
        <v>70</v>
      </c>
      <c r="S8" s="1347">
        <f t="shared" si="0"/>
        <v>100</v>
      </c>
      <c r="T8" s="1346" t="s">
        <v>70</v>
      </c>
      <c r="U8" s="1347">
        <f t="shared" si="1"/>
        <v>98</v>
      </c>
      <c r="V8" s="1346" t="s">
        <v>70</v>
      </c>
      <c r="W8" s="1347">
        <f t="shared" si="2"/>
        <v>100</v>
      </c>
      <c r="X8" s="293"/>
      <c r="Y8" s="3701" t="s">
        <v>1258</v>
      </c>
      <c r="Z8" s="3702"/>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27" t="s">
        <v>72</v>
      </c>
      <c r="Q9" s="7" t="str">
        <f t="shared" ref="Q9:Q15" si="6">B9</f>
        <v>用途</v>
      </c>
      <c r="R9" s="1346" t="s">
        <v>70</v>
      </c>
      <c r="S9" s="1347">
        <f t="shared" si="0"/>
        <v>100</v>
      </c>
      <c r="T9" s="1346" t="s">
        <v>70</v>
      </c>
      <c r="U9" s="1347">
        <f t="shared" si="1"/>
        <v>100</v>
      </c>
      <c r="V9" s="1346" t="s">
        <v>70</v>
      </c>
      <c r="W9" s="1347">
        <f t="shared" si="2"/>
        <v>105</v>
      </c>
      <c r="X9" s="293"/>
      <c r="Y9" s="3521"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27"/>
      <c r="Q10" s="7" t="str">
        <f t="shared" si="6"/>
        <v>土地使用年限（年）</v>
      </c>
      <c r="R10" s="1346" t="s">
        <v>70</v>
      </c>
      <c r="S10" s="1347">
        <f t="shared" si="0"/>
        <v>98</v>
      </c>
      <c r="T10" s="1346" t="s">
        <v>70</v>
      </c>
      <c r="U10" s="1347">
        <f t="shared" si="1"/>
        <v>96</v>
      </c>
      <c r="V10" s="1346" t="s">
        <v>70</v>
      </c>
      <c r="W10" s="1347">
        <f t="shared" si="2"/>
        <v>94</v>
      </c>
      <c r="X10" s="293"/>
      <c r="Y10" s="3521"/>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27"/>
      <c r="Q11" s="7" t="str">
        <f t="shared" si="6"/>
        <v>容积率</v>
      </c>
      <c r="R11" s="1346" t="s">
        <v>70</v>
      </c>
      <c r="S11" s="1347">
        <f t="shared" si="0"/>
        <v>97</v>
      </c>
      <c r="T11" s="1346" t="s">
        <v>70</v>
      </c>
      <c r="U11" s="1347">
        <f t="shared" si="1"/>
        <v>94</v>
      </c>
      <c r="V11" s="1346" t="s">
        <v>70</v>
      </c>
      <c r="W11" s="1347">
        <f t="shared" si="2"/>
        <v>91</v>
      </c>
      <c r="X11" s="293"/>
      <c r="Y11" s="3521"/>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27"/>
      <c r="Q12" s="7">
        <f t="shared" si="6"/>
        <v>111</v>
      </c>
      <c r="R12" s="1346" t="s">
        <v>70</v>
      </c>
      <c r="S12" s="1347">
        <f t="shared" si="0"/>
        <v>100</v>
      </c>
      <c r="T12" s="1346" t="s">
        <v>70</v>
      </c>
      <c r="U12" s="1347">
        <f t="shared" si="1"/>
        <v>100</v>
      </c>
      <c r="V12" s="1346" t="s">
        <v>70</v>
      </c>
      <c r="W12" s="1347">
        <f t="shared" si="2"/>
        <v>100</v>
      </c>
      <c r="X12" s="293"/>
      <c r="Y12" s="3521"/>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27"/>
      <c r="Q13" s="7">
        <f t="shared" si="6"/>
        <v>111</v>
      </c>
      <c r="R13" s="1346" t="s">
        <v>70</v>
      </c>
      <c r="S13" s="1347">
        <f t="shared" si="0"/>
        <v>100</v>
      </c>
      <c r="T13" s="1346" t="s">
        <v>70</v>
      </c>
      <c r="U13" s="1347">
        <f t="shared" si="1"/>
        <v>100</v>
      </c>
      <c r="V13" s="1346" t="s">
        <v>70</v>
      </c>
      <c r="W13" s="1347">
        <f t="shared" si="2"/>
        <v>100</v>
      </c>
      <c r="X13" s="293"/>
      <c r="Y13" s="3521"/>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27"/>
      <c r="Q14" s="7">
        <f t="shared" si="6"/>
        <v>111</v>
      </c>
      <c r="R14" s="1346" t="s">
        <v>70</v>
      </c>
      <c r="S14" s="1347">
        <f t="shared" si="0"/>
        <v>100</v>
      </c>
      <c r="T14" s="1346" t="s">
        <v>70</v>
      </c>
      <c r="U14" s="1347">
        <f t="shared" si="1"/>
        <v>100</v>
      </c>
      <c r="V14" s="1346" t="s">
        <v>70</v>
      </c>
      <c r="W14" s="1347">
        <f t="shared" si="2"/>
        <v>100</v>
      </c>
      <c r="X14" s="293"/>
      <c r="Y14" s="3521"/>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29" t="s">
        <v>74</v>
      </c>
      <c r="Q15" s="1355" t="str">
        <f t="shared" si="6"/>
        <v>产业集聚程度</v>
      </c>
      <c r="R15" s="1356" t="s">
        <v>70</v>
      </c>
      <c r="S15" s="1357">
        <f t="shared" si="0"/>
        <v>100</v>
      </c>
      <c r="T15" s="1356" t="s">
        <v>70</v>
      </c>
      <c r="U15" s="1357">
        <f t="shared" si="1"/>
        <v>100</v>
      </c>
      <c r="V15" s="1356" t="s">
        <v>70</v>
      </c>
      <c r="W15" s="1357">
        <f t="shared" si="2"/>
        <v>100</v>
      </c>
      <c r="X15" s="1344"/>
      <c r="Y15" s="3729" t="s">
        <v>74</v>
      </c>
      <c r="Z15" s="1358" t="str">
        <f t="shared" si="7"/>
        <v>产业集聚程度</v>
      </c>
      <c r="AA15" s="1359">
        <f t="shared" si="3"/>
        <v>1</v>
      </c>
      <c r="AB15" s="1359">
        <f t="shared" si="4"/>
        <v>1</v>
      </c>
      <c r="AC15" s="1359">
        <f t="shared" si="5"/>
        <v>1</v>
      </c>
    </row>
    <row r="16" spans="1:29" ht="14.25">
      <c r="A16" s="151"/>
      <c r="B16" s="156"/>
      <c r="C16" s="97" t="s">
        <v>123</v>
      </c>
      <c r="D16" s="796"/>
      <c r="E16" s="97" t="s">
        <v>2795</v>
      </c>
      <c r="F16" s="797"/>
      <c r="G16" s="97" t="s">
        <v>123</v>
      </c>
      <c r="H16" s="798"/>
      <c r="I16" s="97" t="s">
        <v>123</v>
      </c>
      <c r="J16" s="796"/>
      <c r="K16" s="189"/>
      <c r="L16" s="2328"/>
      <c r="M16" s="2323"/>
      <c r="N16" s="2323"/>
      <c r="O16" s="2367"/>
      <c r="P16" s="3730"/>
      <c r="Q16" s="1355"/>
      <c r="R16" s="1356"/>
      <c r="S16" s="1357"/>
      <c r="T16" s="1356"/>
      <c r="U16" s="1357"/>
      <c r="V16" s="1356"/>
      <c r="W16" s="1357"/>
      <c r="X16" s="1344"/>
      <c r="Y16" s="3730"/>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30"/>
      <c r="Q17" s="1355" t="str">
        <f>B17</f>
        <v>交通便捷度</v>
      </c>
      <c r="R17" s="1356" t="s">
        <v>70</v>
      </c>
      <c r="S17" s="1357">
        <f>F17</f>
        <v>97</v>
      </c>
      <c r="T17" s="1356" t="s">
        <v>70</v>
      </c>
      <c r="U17" s="1357">
        <f>H17</f>
        <v>106</v>
      </c>
      <c r="V17" s="1356" t="s">
        <v>70</v>
      </c>
      <c r="W17" s="1357">
        <f>J17</f>
        <v>97</v>
      </c>
      <c r="X17" s="1344"/>
      <c r="Y17" s="3730"/>
      <c r="Z17" s="1358" t="str">
        <f>Q17</f>
        <v>交通便捷度</v>
      </c>
      <c r="AA17" s="1359">
        <f t="shared" si="3"/>
        <v>1.0309278350515463</v>
      </c>
      <c r="AB17" s="1359">
        <f t="shared" si="4"/>
        <v>0.94339622641509435</v>
      </c>
      <c r="AC17" s="1359">
        <f t="shared" si="5"/>
        <v>1.0309278350515463</v>
      </c>
    </row>
    <row r="18" spans="1:29" ht="14.25">
      <c r="A18" s="151"/>
      <c r="B18" s="1045"/>
      <c r="C18" s="102" t="s">
        <v>2796</v>
      </c>
      <c r="D18" s="798"/>
      <c r="E18" s="103" t="s">
        <v>153</v>
      </c>
      <c r="F18" s="801"/>
      <c r="G18" s="104" t="s">
        <v>122</v>
      </c>
      <c r="H18" s="796"/>
      <c r="I18" s="103" t="s">
        <v>153</v>
      </c>
      <c r="J18" s="796"/>
      <c r="K18" s="189"/>
      <c r="L18" s="2328"/>
      <c r="M18" s="2323"/>
      <c r="N18" s="2323"/>
      <c r="O18" s="2367"/>
      <c r="P18" s="3730"/>
      <c r="Q18" s="1355"/>
      <c r="R18" s="1356"/>
      <c r="S18" s="1357"/>
      <c r="T18" s="1356"/>
      <c r="U18" s="1357"/>
      <c r="V18" s="1356"/>
      <c r="W18" s="1357"/>
      <c r="X18" s="1344"/>
      <c r="Y18" s="3730"/>
      <c r="Z18" s="1358"/>
      <c r="AA18" s="1359">
        <v>1</v>
      </c>
      <c r="AB18" s="1359">
        <v>1</v>
      </c>
      <c r="AC18" s="1359">
        <v>1</v>
      </c>
    </row>
    <row r="19" spans="1:29" ht="40.5">
      <c r="A19" s="151"/>
      <c r="B19" s="1360"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30"/>
      <c r="Q19" s="1355" t="str">
        <f>B19</f>
        <v>公共配套设施</v>
      </c>
      <c r="R19" s="1356" t="s">
        <v>70</v>
      </c>
      <c r="S19" s="1357">
        <f>F19</f>
        <v>101</v>
      </c>
      <c r="T19" s="1356" t="s">
        <v>70</v>
      </c>
      <c r="U19" s="1357">
        <f>H19</f>
        <v>103</v>
      </c>
      <c r="V19" s="1356" t="s">
        <v>70</v>
      </c>
      <c r="W19" s="1357">
        <f>J19</f>
        <v>100</v>
      </c>
      <c r="X19" s="1344"/>
      <c r="Y19" s="3730"/>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30"/>
      <c r="Q20" s="1355"/>
      <c r="R20" s="1356"/>
      <c r="S20" s="1357"/>
      <c r="T20" s="1356"/>
      <c r="U20" s="1357"/>
      <c r="V20" s="1356"/>
      <c r="W20" s="1357"/>
      <c r="X20" s="1344"/>
      <c r="Y20" s="3730"/>
      <c r="Z20" s="1358"/>
      <c r="AA20" s="1359">
        <v>1</v>
      </c>
      <c r="AB20" s="1359">
        <v>1</v>
      </c>
      <c r="AC20" s="1359">
        <v>1</v>
      </c>
    </row>
    <row r="21" spans="1:29" ht="40.5">
      <c r="A21" s="151"/>
      <c r="B21" s="1416"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30"/>
      <c r="Q21" s="2782" t="str">
        <f>B21</f>
        <v>基础设施水平</v>
      </c>
      <c r="R21" s="1356" t="s">
        <v>70</v>
      </c>
      <c r="S21" s="1357">
        <f>F21</f>
        <v>98</v>
      </c>
      <c r="T21" s="1356" t="s">
        <v>70</v>
      </c>
      <c r="U21" s="1357">
        <f>H21</f>
        <v>96</v>
      </c>
      <c r="V21" s="1356" t="s">
        <v>70</v>
      </c>
      <c r="W21" s="1357">
        <f>J21</f>
        <v>94</v>
      </c>
      <c r="X21" s="2784"/>
      <c r="Y21" s="3730"/>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30"/>
      <c r="Q22" s="2782"/>
      <c r="R22" s="1356"/>
      <c r="S22" s="1357"/>
      <c r="T22" s="1356"/>
      <c r="U22" s="1357"/>
      <c r="V22" s="1356"/>
      <c r="W22" s="1357"/>
      <c r="X22" s="2784"/>
      <c r="Y22" s="3730"/>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30"/>
      <c r="Q23" s="1355" t="str">
        <f>B23</f>
        <v>环境质量</v>
      </c>
      <c r="R23" s="1356" t="s">
        <v>70</v>
      </c>
      <c r="S23" s="1357">
        <f>F23</f>
        <v>96</v>
      </c>
      <c r="T23" s="1356" t="s">
        <v>70</v>
      </c>
      <c r="U23" s="1357">
        <f>H23</f>
        <v>98</v>
      </c>
      <c r="V23" s="1356" t="s">
        <v>70</v>
      </c>
      <c r="W23" s="1357">
        <f>J23</f>
        <v>94</v>
      </c>
      <c r="X23" s="1344"/>
      <c r="Y23" s="3730"/>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30"/>
      <c r="Q24" s="1355"/>
      <c r="R24" s="1356"/>
      <c r="S24" s="1357"/>
      <c r="T24" s="1356"/>
      <c r="U24" s="1357"/>
      <c r="V24" s="1356"/>
      <c r="W24" s="1357"/>
      <c r="X24" s="1344"/>
      <c r="Y24" s="3730"/>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30"/>
      <c r="Q25" s="1355">
        <f>B25</f>
        <v>111</v>
      </c>
      <c r="R25" s="1356" t="s">
        <v>70</v>
      </c>
      <c r="S25" s="1357">
        <f>F25</f>
        <v>100</v>
      </c>
      <c r="T25" s="1356" t="s">
        <v>70</v>
      </c>
      <c r="U25" s="1357">
        <f>H25</f>
        <v>100</v>
      </c>
      <c r="V25" s="1356" t="s">
        <v>70</v>
      </c>
      <c r="W25" s="1357">
        <f>J25</f>
        <v>100</v>
      </c>
      <c r="X25" s="1344"/>
      <c r="Y25" s="3730"/>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30"/>
      <c r="Q26" s="1355">
        <f t="shared" ref="Q26:Q40" si="11">B26</f>
        <v>111</v>
      </c>
      <c r="R26" s="1356" t="s">
        <v>70</v>
      </c>
      <c r="S26" s="1357">
        <f>F26</f>
        <v>100</v>
      </c>
      <c r="T26" s="1356" t="s">
        <v>70</v>
      </c>
      <c r="U26" s="1357">
        <f>H26</f>
        <v>100</v>
      </c>
      <c r="V26" s="1356" t="s">
        <v>70</v>
      </c>
      <c r="W26" s="1357">
        <f>J26</f>
        <v>100</v>
      </c>
      <c r="X26" s="1344"/>
      <c r="Y26" s="3730"/>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30"/>
      <c r="Q27" s="7">
        <f t="shared" si="11"/>
        <v>111</v>
      </c>
      <c r="R27" s="1346" t="s">
        <v>70</v>
      </c>
      <c r="S27" s="1347">
        <f>F27</f>
        <v>100</v>
      </c>
      <c r="T27" s="1346" t="s">
        <v>70</v>
      </c>
      <c r="U27" s="1347">
        <f>H27</f>
        <v>100</v>
      </c>
      <c r="V27" s="1346" t="s">
        <v>70</v>
      </c>
      <c r="W27" s="1347">
        <f>J27</f>
        <v>100</v>
      </c>
      <c r="X27" s="293"/>
      <c r="Y27" s="3730"/>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30"/>
      <c r="Q28" s="1355">
        <f t="shared" si="11"/>
        <v>111</v>
      </c>
      <c r="R28" s="1356" t="s">
        <v>70</v>
      </c>
      <c r="S28" s="1357">
        <f t="shared" ref="S28:S40" si="12">F28</f>
        <v>100</v>
      </c>
      <c r="T28" s="1356" t="s">
        <v>70</v>
      </c>
      <c r="U28" s="1357">
        <f t="shared" ref="U28:U40" si="13">H28</f>
        <v>100</v>
      </c>
      <c r="V28" s="1356" t="s">
        <v>70</v>
      </c>
      <c r="W28" s="1357">
        <f t="shared" ref="W28:W40" si="14">J28</f>
        <v>100</v>
      </c>
      <c r="X28" s="1344"/>
      <c r="Y28" s="3730"/>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76" t="s">
        <v>1441</v>
      </c>
      <c r="Q29" s="1355" t="str">
        <f t="shared" si="11"/>
        <v>建筑类型</v>
      </c>
      <c r="R29" s="1356" t="s">
        <v>70</v>
      </c>
      <c r="S29" s="1357">
        <f t="shared" si="12"/>
        <v>97</v>
      </c>
      <c r="T29" s="1356" t="s">
        <v>70</v>
      </c>
      <c r="U29" s="1357">
        <f t="shared" si="13"/>
        <v>100</v>
      </c>
      <c r="V29" s="1356" t="s">
        <v>70</v>
      </c>
      <c r="W29" s="1357">
        <f t="shared" si="14"/>
        <v>97</v>
      </c>
      <c r="X29" s="1344"/>
      <c r="Y29" s="3734"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34"/>
      <c r="Q30" s="1363" t="str">
        <f t="shared" si="11"/>
        <v>项目建筑规模</v>
      </c>
      <c r="R30" s="1364" t="s">
        <v>70</v>
      </c>
      <c r="S30" s="1365">
        <f t="shared" si="12"/>
        <v>92</v>
      </c>
      <c r="T30" s="1364" t="s">
        <v>70</v>
      </c>
      <c r="U30" s="1365">
        <f t="shared" si="13"/>
        <v>94</v>
      </c>
      <c r="V30" s="1364" t="s">
        <v>70</v>
      </c>
      <c r="W30" s="1365">
        <f t="shared" si="14"/>
        <v>96</v>
      </c>
      <c r="X30" s="1366"/>
      <c r="Y30" s="3734"/>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34"/>
      <c r="Q31" s="1355" t="str">
        <f t="shared" si="11"/>
        <v>建筑结构</v>
      </c>
      <c r="R31" s="1356" t="s">
        <v>70</v>
      </c>
      <c r="S31" s="1357">
        <f t="shared" si="12"/>
        <v>97</v>
      </c>
      <c r="T31" s="1356" t="s">
        <v>70</v>
      </c>
      <c r="U31" s="1357">
        <f t="shared" si="13"/>
        <v>94</v>
      </c>
      <c r="V31" s="1356" t="s">
        <v>70</v>
      </c>
      <c r="W31" s="1357">
        <f t="shared" si="14"/>
        <v>100</v>
      </c>
      <c r="X31" s="1344"/>
      <c r="Y31" s="3734"/>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34"/>
      <c r="Q32" s="1355" t="str">
        <f t="shared" si="11"/>
        <v>公共部分装修</v>
      </c>
      <c r="R32" s="1356" t="s">
        <v>70</v>
      </c>
      <c r="S32" s="1357">
        <f t="shared" si="12"/>
        <v>94</v>
      </c>
      <c r="T32" s="1356" t="s">
        <v>70</v>
      </c>
      <c r="U32" s="1357">
        <f t="shared" si="13"/>
        <v>97</v>
      </c>
      <c r="V32" s="1356" t="s">
        <v>70</v>
      </c>
      <c r="W32" s="1357">
        <f t="shared" si="14"/>
        <v>103</v>
      </c>
      <c r="X32" s="1344"/>
      <c r="Y32" s="3734"/>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34"/>
      <c r="Q33" s="1355" t="str">
        <f t="shared" si="11"/>
        <v>成新度</v>
      </c>
      <c r="R33" s="1356" t="s">
        <v>70</v>
      </c>
      <c r="S33" s="1357">
        <f t="shared" si="12"/>
        <v>98</v>
      </c>
      <c r="T33" s="1356" t="s">
        <v>70</v>
      </c>
      <c r="U33" s="1357">
        <f t="shared" si="13"/>
        <v>100</v>
      </c>
      <c r="V33" s="1356" t="s">
        <v>70</v>
      </c>
      <c r="W33" s="1357">
        <f t="shared" si="14"/>
        <v>96</v>
      </c>
      <c r="X33" s="1344"/>
      <c r="Y33" s="3734"/>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34"/>
      <c r="Q34" s="7" t="str">
        <f t="shared" si="11"/>
        <v>物业管理</v>
      </c>
      <c r="R34" s="1346" t="s">
        <v>70</v>
      </c>
      <c r="S34" s="1347">
        <f t="shared" si="12"/>
        <v>97</v>
      </c>
      <c r="T34" s="1346" t="s">
        <v>70</v>
      </c>
      <c r="U34" s="1347">
        <f t="shared" si="13"/>
        <v>100</v>
      </c>
      <c r="V34" s="1346" t="s">
        <v>70</v>
      </c>
      <c r="W34" s="1347">
        <f t="shared" si="14"/>
        <v>97</v>
      </c>
      <c r="X34" s="293"/>
      <c r="Y34" s="3734"/>
      <c r="Z34" s="294" t="str">
        <f t="shared" si="15"/>
        <v>物业管理</v>
      </c>
      <c r="AA34" s="1348">
        <f t="shared" si="3"/>
        <v>1.0309278350515463</v>
      </c>
      <c r="AB34" s="1348">
        <f t="shared" si="4"/>
        <v>1</v>
      </c>
      <c r="AC34" s="1348">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34" t="s">
        <v>75</v>
      </c>
      <c r="Q35" s="1355" t="str">
        <f t="shared" si="11"/>
        <v>市政基础设施</v>
      </c>
      <c r="R35" s="1356" t="s">
        <v>70</v>
      </c>
      <c r="S35" s="1357">
        <f t="shared" si="12"/>
        <v>98</v>
      </c>
      <c r="T35" s="1356" t="s">
        <v>70</v>
      </c>
      <c r="U35" s="1357">
        <f t="shared" si="13"/>
        <v>96</v>
      </c>
      <c r="V35" s="1356" t="s">
        <v>70</v>
      </c>
      <c r="W35" s="1357">
        <f t="shared" si="14"/>
        <v>102</v>
      </c>
      <c r="X35" s="1344"/>
      <c r="Y35" s="3734"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34"/>
      <c r="Q36" s="1355" t="str">
        <f t="shared" si="11"/>
        <v>内部装修</v>
      </c>
      <c r="R36" s="1356" t="s">
        <v>70</v>
      </c>
      <c r="S36" s="1357">
        <f t="shared" si="12"/>
        <v>101</v>
      </c>
      <c r="T36" s="1356" t="s">
        <v>70</v>
      </c>
      <c r="U36" s="1357">
        <f t="shared" si="13"/>
        <v>99</v>
      </c>
      <c r="V36" s="1356" t="s">
        <v>70</v>
      </c>
      <c r="W36" s="1357">
        <f t="shared" si="14"/>
        <v>98</v>
      </c>
      <c r="X36" s="1344"/>
      <c r="Y36" s="3734"/>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34"/>
      <c r="Q37" s="1355" t="str">
        <f t="shared" si="11"/>
        <v>内部装修状况</v>
      </c>
      <c r="R37" s="1356" t="s">
        <v>70</v>
      </c>
      <c r="S37" s="1357">
        <f t="shared" si="12"/>
        <v>98.5</v>
      </c>
      <c r="T37" s="1356" t="s">
        <v>70</v>
      </c>
      <c r="U37" s="1357">
        <f t="shared" si="13"/>
        <v>97</v>
      </c>
      <c r="V37" s="1356" t="s">
        <v>70</v>
      </c>
      <c r="W37" s="1357">
        <f t="shared" si="14"/>
        <v>95.5</v>
      </c>
      <c r="X37" s="1344"/>
      <c r="Y37" s="3734"/>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34"/>
      <c r="Q38" s="1363">
        <f t="shared" si="11"/>
        <v>111</v>
      </c>
      <c r="R38" s="1364" t="s">
        <v>70</v>
      </c>
      <c r="S38" s="1365">
        <f t="shared" si="12"/>
        <v>95</v>
      </c>
      <c r="T38" s="1364" t="s">
        <v>70</v>
      </c>
      <c r="U38" s="1365">
        <f t="shared" si="13"/>
        <v>90</v>
      </c>
      <c r="V38" s="1364" t="s">
        <v>70</v>
      </c>
      <c r="W38" s="1365">
        <f t="shared" si="14"/>
        <v>100</v>
      </c>
      <c r="X38" s="1366"/>
      <c r="Y38" s="3734"/>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34"/>
      <c r="Q39" s="1355">
        <f t="shared" si="11"/>
        <v>111</v>
      </c>
      <c r="R39" s="1356" t="s">
        <v>70</v>
      </c>
      <c r="S39" s="1357">
        <f t="shared" si="12"/>
        <v>95</v>
      </c>
      <c r="T39" s="1356" t="s">
        <v>70</v>
      </c>
      <c r="U39" s="1357">
        <f t="shared" si="13"/>
        <v>90</v>
      </c>
      <c r="V39" s="1356" t="s">
        <v>70</v>
      </c>
      <c r="W39" s="1357">
        <f t="shared" si="14"/>
        <v>100</v>
      </c>
      <c r="X39" s="1344"/>
      <c r="Y39" s="3734"/>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35"/>
      <c r="Q40" s="1355">
        <f t="shared" si="11"/>
        <v>111</v>
      </c>
      <c r="R40" s="1356" t="s">
        <v>70</v>
      </c>
      <c r="S40" s="1357">
        <f t="shared" si="12"/>
        <v>98</v>
      </c>
      <c r="T40" s="1356" t="s">
        <v>70</v>
      </c>
      <c r="U40" s="1357">
        <f t="shared" si="13"/>
        <v>96</v>
      </c>
      <c r="V40" s="1356" t="s">
        <v>70</v>
      </c>
      <c r="W40" s="1357">
        <f t="shared" si="14"/>
        <v>100</v>
      </c>
      <c r="X40" s="1344"/>
      <c r="Y40" s="3735"/>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27" t="str">
        <f>A41</f>
        <v>成交单价（元/平方米）</v>
      </c>
      <c r="Q41" s="3727"/>
      <c r="R41" s="3728">
        <f>E41</f>
        <v>30000</v>
      </c>
      <c r="S41" s="3728"/>
      <c r="T41" s="3728">
        <f>G41</f>
        <v>35000</v>
      </c>
      <c r="U41" s="3728"/>
      <c r="V41" s="3728">
        <f>I41</f>
        <v>32000</v>
      </c>
      <c r="W41" s="3728"/>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24" t="str">
        <f>A43</f>
        <v>估价对象XX用房的比较价值（楼面单价，元/平方米）</v>
      </c>
      <c r="Q43" s="3725"/>
      <c r="R43" s="3726" t="e">
        <f>IF(F1="售价",ROUND(AVERAGE(R42:V42),0),ROUND(AVERAGE(R42:V42),1))</f>
        <v>#DIV/0!</v>
      </c>
      <c r="S43" s="3726"/>
      <c r="T43" s="3726"/>
      <c r="U43" s="3726"/>
      <c r="V43" s="3726"/>
      <c r="W43" s="3726"/>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3196</v>
      </c>
      <c r="B52" s="853"/>
      <c r="C52" s="3082" t="str">
        <f>YEAR(C7)&amp;"-"&amp;MONTH(C7)</f>
        <v>2017-9</v>
      </c>
      <c r="D52" s="3083">
        <f>EDATE(C52,-1)</f>
        <v>42948</v>
      </c>
      <c r="E52" s="3083">
        <f t="shared" ref="E52:O52" si="16">EDATE(D52,-1)</f>
        <v>42917</v>
      </c>
      <c r="F52" s="3083">
        <f t="shared" si="16"/>
        <v>42887</v>
      </c>
      <c r="G52" s="3083">
        <f t="shared" si="16"/>
        <v>42856</v>
      </c>
      <c r="H52" s="3083">
        <f t="shared" si="16"/>
        <v>42826</v>
      </c>
      <c r="I52" s="3083">
        <f t="shared" si="16"/>
        <v>42795</v>
      </c>
      <c r="J52" s="3083">
        <f t="shared" si="16"/>
        <v>42767</v>
      </c>
      <c r="K52" s="3083">
        <f t="shared" si="16"/>
        <v>42736</v>
      </c>
      <c r="L52" s="3083">
        <f t="shared" si="16"/>
        <v>42705</v>
      </c>
      <c r="M52" s="3083">
        <f t="shared" si="16"/>
        <v>42675</v>
      </c>
      <c r="N52" s="3083">
        <f t="shared" si="16"/>
        <v>42644</v>
      </c>
      <c r="O52" s="3083">
        <f t="shared" si="16"/>
        <v>42614</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3035</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3063</v>
      </c>
      <c r="C76" s="213" t="s">
        <v>3055</v>
      </c>
      <c r="D76" s="213" t="s">
        <v>3056</v>
      </c>
      <c r="E76" s="213" t="s">
        <v>3057</v>
      </c>
      <c r="F76" s="213" t="s">
        <v>3058</v>
      </c>
      <c r="G76" s="213" t="s">
        <v>3059</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3096</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66" t="s">
        <v>639</v>
      </c>
      <c r="D4" s="3667"/>
      <c r="E4" s="3668" t="s">
        <v>640</v>
      </c>
      <c r="F4" s="3669"/>
      <c r="G4" s="3666" t="s">
        <v>641</v>
      </c>
      <c r="H4" s="3667"/>
      <c r="I4" s="3666" t="s">
        <v>642</v>
      </c>
      <c r="J4" s="3667"/>
      <c r="K4" s="957" t="s">
        <v>643</v>
      </c>
      <c r="L4" s="2375"/>
      <c r="M4" s="2376"/>
      <c r="N4" s="2376"/>
      <c r="O4" s="2376"/>
      <c r="P4" s="3670" t="s">
        <v>644</v>
      </c>
      <c r="Q4" s="3671"/>
      <c r="R4" s="3655" t="s">
        <v>640</v>
      </c>
      <c r="S4" s="3656"/>
      <c r="T4" s="3655" t="s">
        <v>641</v>
      </c>
      <c r="U4" s="3656"/>
      <c r="V4" s="3678" t="s">
        <v>642</v>
      </c>
      <c r="W4" s="3678"/>
      <c r="X4" s="2869"/>
      <c r="Y4" s="3655" t="s">
        <v>644</v>
      </c>
      <c r="Z4" s="3656"/>
      <c r="AA4" s="3650" t="s">
        <v>640</v>
      </c>
      <c r="AB4" s="3651" t="s">
        <v>641</v>
      </c>
      <c r="AC4" s="3650" t="s">
        <v>642</v>
      </c>
    </row>
    <row r="5" spans="1:29" ht="15">
      <c r="A5" s="751"/>
      <c r="B5" s="752"/>
      <c r="C5" s="3779" t="s">
        <v>562</v>
      </c>
      <c r="D5" s="3780"/>
      <c r="E5" s="3777" t="s">
        <v>563</v>
      </c>
      <c r="F5" s="3778"/>
      <c r="G5" s="3779" t="s">
        <v>564</v>
      </c>
      <c r="H5" s="3780"/>
      <c r="I5" s="3779" t="s">
        <v>565</v>
      </c>
      <c r="J5" s="3780"/>
      <c r="K5" s="957"/>
      <c r="L5" s="2375"/>
      <c r="M5" s="2376"/>
      <c r="N5" s="2376"/>
      <c r="O5" s="2376"/>
      <c r="P5" s="3672"/>
      <c r="Q5" s="3673"/>
      <c r="R5" s="3657"/>
      <c r="S5" s="3658"/>
      <c r="T5" s="3657"/>
      <c r="U5" s="3658"/>
      <c r="V5" s="3678"/>
      <c r="W5" s="3678"/>
      <c r="X5" s="2869"/>
      <c r="Y5" s="3657"/>
      <c r="Z5" s="3658"/>
      <c r="AA5" s="3651"/>
      <c r="AB5" s="3651"/>
      <c r="AC5" s="3651"/>
    </row>
    <row r="6" spans="1:29" ht="15.75" thickBot="1">
      <c r="A6" s="753"/>
      <c r="B6" s="754"/>
      <c r="C6" s="3781" t="s">
        <v>566</v>
      </c>
      <c r="D6" s="3782"/>
      <c r="E6" s="3783" t="s">
        <v>566</v>
      </c>
      <c r="F6" s="3784"/>
      <c r="G6" s="3781" t="s">
        <v>566</v>
      </c>
      <c r="H6" s="3782"/>
      <c r="I6" s="3781" t="s">
        <v>566</v>
      </c>
      <c r="J6" s="3782"/>
      <c r="K6" s="957" t="s">
        <v>567</v>
      </c>
      <c r="L6" s="2375"/>
      <c r="M6" s="2376"/>
      <c r="N6" s="2376"/>
      <c r="O6" s="2376"/>
      <c r="P6" s="3674"/>
      <c r="Q6" s="3675"/>
      <c r="R6" s="3657"/>
      <c r="S6" s="3658"/>
      <c r="T6" s="3676"/>
      <c r="U6" s="3677"/>
      <c r="V6" s="3678"/>
      <c r="W6" s="3678"/>
      <c r="X6" s="2869"/>
      <c r="Y6" s="3676"/>
      <c r="Z6" s="3677"/>
      <c r="AA6" s="3652"/>
      <c r="AB6" s="3652"/>
      <c r="AC6" s="3652"/>
    </row>
    <row r="7" spans="1:29" s="412" customFormat="1" ht="15.75" thickBot="1">
      <c r="A7" s="755" t="s">
        <v>568</v>
      </c>
      <c r="B7" s="756"/>
      <c r="C7" s="757">
        <f>'数据-取费表'!B2</f>
        <v>43006</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53" t="s">
        <v>569</v>
      </c>
      <c r="Q7" s="3679"/>
      <c r="R7" s="1323" t="s">
        <v>70</v>
      </c>
      <c r="S7" s="1324">
        <f t="shared" ref="S7:S14" si="0">F7</f>
        <v>0</v>
      </c>
      <c r="T7" s="1323" t="s">
        <v>70</v>
      </c>
      <c r="U7" s="1324">
        <f t="shared" ref="U7:U14" si="1">H7</f>
        <v>0</v>
      </c>
      <c r="V7" s="1323" t="s">
        <v>70</v>
      </c>
      <c r="W7" s="1324">
        <f t="shared" ref="W7:W14" si="2">J7</f>
        <v>0</v>
      </c>
      <c r="X7" s="1325"/>
      <c r="Y7" s="3653" t="s">
        <v>569</v>
      </c>
      <c r="Z7" s="3654"/>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53" t="s">
        <v>612</v>
      </c>
      <c r="Q8" s="3654"/>
      <c r="R8" s="1323" t="s">
        <v>70</v>
      </c>
      <c r="S8" s="1324">
        <f t="shared" si="0"/>
        <v>100</v>
      </c>
      <c r="T8" s="1323" t="s">
        <v>70</v>
      </c>
      <c r="U8" s="1324">
        <f t="shared" si="1"/>
        <v>100</v>
      </c>
      <c r="V8" s="1323" t="s">
        <v>70</v>
      </c>
      <c r="W8" s="1324">
        <f t="shared" si="2"/>
        <v>100</v>
      </c>
      <c r="X8" s="1325"/>
      <c r="Y8" s="3653" t="s">
        <v>612</v>
      </c>
      <c r="Z8" s="3654"/>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65" t="s">
        <v>572</v>
      </c>
      <c r="Q9" s="2868" t="str">
        <f t="shared" ref="Q9:Q14" si="6">B9</f>
        <v>用途</v>
      </c>
      <c r="R9" s="1323" t="s">
        <v>70</v>
      </c>
      <c r="S9" s="1324">
        <f t="shared" si="0"/>
        <v>100</v>
      </c>
      <c r="T9" s="1323" t="s">
        <v>70</v>
      </c>
      <c r="U9" s="1324">
        <f t="shared" si="1"/>
        <v>100</v>
      </c>
      <c r="V9" s="1323" t="s">
        <v>70</v>
      </c>
      <c r="W9" s="1324">
        <f t="shared" si="2"/>
        <v>100</v>
      </c>
      <c r="X9" s="1325"/>
      <c r="Y9" s="3620"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65"/>
      <c r="Q10" s="2868" t="str">
        <f t="shared" si="6"/>
        <v>土地使用年限（年）</v>
      </c>
      <c r="R10" s="1323" t="s">
        <v>70</v>
      </c>
      <c r="S10" s="1324">
        <f t="shared" si="0"/>
        <v>97</v>
      </c>
      <c r="T10" s="1323" t="s">
        <v>70</v>
      </c>
      <c r="U10" s="1324">
        <f t="shared" si="1"/>
        <v>94</v>
      </c>
      <c r="V10" s="1323" t="s">
        <v>70</v>
      </c>
      <c r="W10" s="1324">
        <f t="shared" si="2"/>
        <v>91</v>
      </c>
      <c r="X10" s="1325"/>
      <c r="Y10" s="3620"/>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65"/>
      <c r="Q11" s="2868">
        <f t="shared" si="6"/>
        <v>111</v>
      </c>
      <c r="R11" s="1323" t="s">
        <v>70</v>
      </c>
      <c r="S11" s="1324">
        <f t="shared" si="0"/>
        <v>99</v>
      </c>
      <c r="T11" s="1323" t="s">
        <v>70</v>
      </c>
      <c r="U11" s="1324">
        <f t="shared" si="1"/>
        <v>98</v>
      </c>
      <c r="V11" s="1323" t="s">
        <v>70</v>
      </c>
      <c r="W11" s="1324">
        <f t="shared" si="2"/>
        <v>97</v>
      </c>
      <c r="X11" s="1325"/>
      <c r="Y11" s="3620"/>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65"/>
      <c r="Q12" s="2868">
        <f t="shared" si="6"/>
        <v>111</v>
      </c>
      <c r="R12" s="1323" t="s">
        <v>70</v>
      </c>
      <c r="S12" s="1324">
        <f t="shared" si="0"/>
        <v>98</v>
      </c>
      <c r="T12" s="1323" t="s">
        <v>70</v>
      </c>
      <c r="U12" s="1324">
        <f t="shared" si="1"/>
        <v>96</v>
      </c>
      <c r="V12" s="1323" t="s">
        <v>70</v>
      </c>
      <c r="W12" s="1324">
        <f t="shared" si="2"/>
        <v>94</v>
      </c>
      <c r="X12" s="1325"/>
      <c r="Y12" s="3620"/>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65"/>
      <c r="Q13" s="2868">
        <f t="shared" si="6"/>
        <v>111</v>
      </c>
      <c r="R13" s="1323" t="s">
        <v>70</v>
      </c>
      <c r="S13" s="1324">
        <f t="shared" si="0"/>
        <v>97</v>
      </c>
      <c r="T13" s="1323" t="s">
        <v>70</v>
      </c>
      <c r="U13" s="1324">
        <f t="shared" si="1"/>
        <v>94</v>
      </c>
      <c r="V13" s="1323" t="s">
        <v>70</v>
      </c>
      <c r="W13" s="1324">
        <f t="shared" si="2"/>
        <v>91</v>
      </c>
      <c r="X13" s="1325"/>
      <c r="Y13" s="3620"/>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80" t="s">
        <v>577</v>
      </c>
      <c r="Q14" s="2870" t="str">
        <f t="shared" si="6"/>
        <v>交通便捷度</v>
      </c>
      <c r="R14" s="1328" t="s">
        <v>70</v>
      </c>
      <c r="S14" s="1329">
        <f t="shared" si="0"/>
        <v>100</v>
      </c>
      <c r="T14" s="1328" t="s">
        <v>70</v>
      </c>
      <c r="U14" s="1329">
        <f t="shared" si="1"/>
        <v>100</v>
      </c>
      <c r="V14" s="1328" t="s">
        <v>70</v>
      </c>
      <c r="W14" s="1329">
        <f t="shared" si="2"/>
        <v>100</v>
      </c>
      <c r="X14" s="2869"/>
      <c r="Y14" s="3680"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81"/>
      <c r="Q15" s="2870"/>
      <c r="R15" s="1328"/>
      <c r="S15" s="1329"/>
      <c r="T15" s="1328"/>
      <c r="U15" s="1329"/>
      <c r="V15" s="1328"/>
      <c r="W15" s="1329"/>
      <c r="X15" s="2869"/>
      <c r="Y15" s="3681"/>
      <c r="Z15" s="2871"/>
      <c r="AA15" s="1331">
        <v>1</v>
      </c>
      <c r="AB15" s="1331">
        <v>1</v>
      </c>
      <c r="AC15" s="1331">
        <v>1</v>
      </c>
    </row>
    <row r="16" spans="1:29" ht="40.5">
      <c r="A16" s="751"/>
      <c r="B16" s="1038" t="s">
        <v>3064</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81"/>
      <c r="Q16" s="2870" t="str">
        <f>B16</f>
        <v>公共配套设施</v>
      </c>
      <c r="R16" s="1328" t="s">
        <v>70</v>
      </c>
      <c r="S16" s="1329">
        <f>F16</f>
        <v>100</v>
      </c>
      <c r="T16" s="1328" t="s">
        <v>70</v>
      </c>
      <c r="U16" s="1329">
        <f>H16</f>
        <v>100</v>
      </c>
      <c r="V16" s="1328" t="s">
        <v>70</v>
      </c>
      <c r="W16" s="1329">
        <f>J16</f>
        <v>100</v>
      </c>
      <c r="X16" s="2869"/>
      <c r="Y16" s="3681"/>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81"/>
      <c r="Q17" s="2870"/>
      <c r="R17" s="1328"/>
      <c r="S17" s="1329"/>
      <c r="T17" s="1328"/>
      <c r="U17" s="1329"/>
      <c r="V17" s="1328"/>
      <c r="W17" s="1329"/>
      <c r="X17" s="2869"/>
      <c r="Y17" s="3681"/>
      <c r="Z17" s="2871"/>
      <c r="AA17" s="1331">
        <v>1</v>
      </c>
      <c r="AB17" s="1331">
        <v>1</v>
      </c>
      <c r="AC17" s="1331">
        <v>1</v>
      </c>
    </row>
    <row r="18" spans="1:29" ht="40.5">
      <c r="A18" s="751"/>
      <c r="B18" s="1040" t="s">
        <v>3063</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81"/>
      <c r="Q18" s="2870" t="str">
        <f>B18</f>
        <v>基础设施水平</v>
      </c>
      <c r="R18" s="1328" t="s">
        <v>70</v>
      </c>
      <c r="S18" s="1329">
        <f>F18</f>
        <v>99</v>
      </c>
      <c r="T18" s="1328" t="s">
        <v>70</v>
      </c>
      <c r="U18" s="1329">
        <f>H18</f>
        <v>98</v>
      </c>
      <c r="V18" s="1328" t="s">
        <v>70</v>
      </c>
      <c r="W18" s="1329">
        <f>J18</f>
        <v>97</v>
      </c>
      <c r="X18" s="2869"/>
      <c r="Y18" s="3681"/>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81"/>
      <c r="Q19" s="2870"/>
      <c r="R19" s="1328"/>
      <c r="S19" s="1329"/>
      <c r="T19" s="1328"/>
      <c r="U19" s="1329"/>
      <c r="V19" s="1328"/>
      <c r="W19" s="1329"/>
      <c r="X19" s="2869"/>
      <c r="Y19" s="3681"/>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81"/>
      <c r="Q20" s="2870" t="str">
        <f>B20</f>
        <v>自然及人文环境</v>
      </c>
      <c r="R20" s="1328" t="s">
        <v>70</v>
      </c>
      <c r="S20" s="1329">
        <f>F20</f>
        <v>100</v>
      </c>
      <c r="T20" s="1328" t="s">
        <v>70</v>
      </c>
      <c r="U20" s="1329">
        <f>H20</f>
        <v>100</v>
      </c>
      <c r="V20" s="1328" t="s">
        <v>70</v>
      </c>
      <c r="W20" s="1329">
        <f>J20</f>
        <v>100</v>
      </c>
      <c r="X20" s="2869"/>
      <c r="Y20" s="3681"/>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81"/>
      <c r="Q21" s="2870"/>
      <c r="R21" s="1328"/>
      <c r="S21" s="1329"/>
      <c r="T21" s="1328"/>
      <c r="U21" s="1329"/>
      <c r="V21" s="1328"/>
      <c r="W21" s="1329"/>
      <c r="X21" s="2869"/>
      <c r="Y21" s="3681"/>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81"/>
      <c r="Q22" s="2870" t="str">
        <f>B22</f>
        <v>楼层</v>
      </c>
      <c r="R22" s="1328" t="s">
        <v>70</v>
      </c>
      <c r="S22" s="1329">
        <f>F22</f>
        <v>98</v>
      </c>
      <c r="T22" s="1328" t="s">
        <v>70</v>
      </c>
      <c r="U22" s="1329">
        <f>H22</f>
        <v>98</v>
      </c>
      <c r="V22" s="1328" t="s">
        <v>70</v>
      </c>
      <c r="W22" s="1329">
        <f>J22</f>
        <v>100</v>
      </c>
      <c r="X22" s="2869"/>
      <c r="Y22" s="3681"/>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81"/>
      <c r="Q23" s="2870">
        <f>B23</f>
        <v>111</v>
      </c>
      <c r="R23" s="1328" t="s">
        <v>70</v>
      </c>
      <c r="S23" s="1329">
        <f>F23</f>
        <v>99</v>
      </c>
      <c r="T23" s="1328" t="s">
        <v>70</v>
      </c>
      <c r="U23" s="1329">
        <f>H23</f>
        <v>98</v>
      </c>
      <c r="V23" s="1328" t="s">
        <v>70</v>
      </c>
      <c r="W23" s="1329">
        <f>J23</f>
        <v>97</v>
      </c>
      <c r="X23" s="2869"/>
      <c r="Y23" s="3681"/>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81"/>
      <c r="Q24" s="2870">
        <f t="shared" ref="Q24:Q36" si="11">B24</f>
        <v>111</v>
      </c>
      <c r="R24" s="1328" t="s">
        <v>70</v>
      </c>
      <c r="S24" s="1329">
        <f>F24</f>
        <v>98</v>
      </c>
      <c r="T24" s="1328" t="s">
        <v>70</v>
      </c>
      <c r="U24" s="1329">
        <f>H24</f>
        <v>96</v>
      </c>
      <c r="V24" s="1328" t="s">
        <v>70</v>
      </c>
      <c r="W24" s="1329">
        <f>J24</f>
        <v>94</v>
      </c>
      <c r="X24" s="2869"/>
      <c r="Y24" s="3681"/>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81"/>
      <c r="Q25" s="2868">
        <f t="shared" si="11"/>
        <v>111</v>
      </c>
      <c r="R25" s="1323" t="s">
        <v>70</v>
      </c>
      <c r="S25" s="1324">
        <f>F25</f>
        <v>97</v>
      </c>
      <c r="T25" s="1323" t="s">
        <v>70</v>
      </c>
      <c r="U25" s="1324">
        <f>H25</f>
        <v>94</v>
      </c>
      <c r="V25" s="1323" t="s">
        <v>70</v>
      </c>
      <c r="W25" s="1324">
        <f>J25</f>
        <v>91</v>
      </c>
      <c r="X25" s="1325"/>
      <c r="Y25" s="3681"/>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82"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83"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83"/>
      <c r="Q27" s="1332" t="str">
        <f t="shared" si="11"/>
        <v>项目停车位配比</v>
      </c>
      <c r="R27" s="1333" t="s">
        <v>70</v>
      </c>
      <c r="S27" s="1334">
        <f t="shared" si="12"/>
        <v>102</v>
      </c>
      <c r="T27" s="1333" t="s">
        <v>70</v>
      </c>
      <c r="U27" s="1334">
        <f t="shared" si="13"/>
        <v>104</v>
      </c>
      <c r="V27" s="1333" t="s">
        <v>70</v>
      </c>
      <c r="W27" s="1334">
        <f t="shared" si="14"/>
        <v>106</v>
      </c>
      <c r="X27" s="1335"/>
      <c r="Y27" s="3683"/>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83"/>
      <c r="Q28" s="2870" t="str">
        <f t="shared" si="11"/>
        <v>公共部分装修</v>
      </c>
      <c r="R28" s="1328" t="s">
        <v>70</v>
      </c>
      <c r="S28" s="1329">
        <f t="shared" si="12"/>
        <v>100</v>
      </c>
      <c r="T28" s="1328" t="s">
        <v>70</v>
      </c>
      <c r="U28" s="1329">
        <f t="shared" si="13"/>
        <v>97</v>
      </c>
      <c r="V28" s="1328" t="s">
        <v>70</v>
      </c>
      <c r="W28" s="1329">
        <f t="shared" si="14"/>
        <v>100</v>
      </c>
      <c r="X28" s="2869"/>
      <c r="Y28" s="3683"/>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83"/>
      <c r="Q29" s="2870" t="str">
        <f t="shared" si="11"/>
        <v>成新率</v>
      </c>
      <c r="R29" s="1328" t="s">
        <v>70</v>
      </c>
      <c r="S29" s="1329">
        <f t="shared" si="12"/>
        <v>98</v>
      </c>
      <c r="T29" s="1328" t="s">
        <v>70</v>
      </c>
      <c r="U29" s="1329">
        <f t="shared" si="13"/>
        <v>100</v>
      </c>
      <c r="V29" s="1328" t="s">
        <v>70</v>
      </c>
      <c r="W29" s="1329">
        <f t="shared" si="14"/>
        <v>96</v>
      </c>
      <c r="X29" s="2869"/>
      <c r="Y29" s="3683"/>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83"/>
      <c r="Q30" s="2870" t="str">
        <f t="shared" si="11"/>
        <v>物业等级</v>
      </c>
      <c r="R30" s="1328" t="s">
        <v>70</v>
      </c>
      <c r="S30" s="1329">
        <f t="shared" si="12"/>
        <v>103</v>
      </c>
      <c r="T30" s="1328" t="s">
        <v>70</v>
      </c>
      <c r="U30" s="1329">
        <f t="shared" si="13"/>
        <v>103</v>
      </c>
      <c r="V30" s="1328" t="s">
        <v>70</v>
      </c>
      <c r="W30" s="1329">
        <f t="shared" si="14"/>
        <v>103</v>
      </c>
      <c r="X30" s="2869"/>
      <c r="Y30" s="3683"/>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83"/>
      <c r="Q31" s="2868" t="str">
        <f t="shared" si="11"/>
        <v>停车位面积</v>
      </c>
      <c r="R31" s="1323" t="s">
        <v>70</v>
      </c>
      <c r="S31" s="1324">
        <f t="shared" si="12"/>
        <v>98</v>
      </c>
      <c r="T31" s="1323" t="s">
        <v>70</v>
      </c>
      <c r="U31" s="1324">
        <f t="shared" si="13"/>
        <v>102</v>
      </c>
      <c r="V31" s="1323" t="s">
        <v>70</v>
      </c>
      <c r="W31" s="1324">
        <f t="shared" si="14"/>
        <v>100</v>
      </c>
      <c r="X31" s="1325"/>
      <c r="Y31" s="3683"/>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83" t="s">
        <v>582</v>
      </c>
      <c r="Q32" s="2870" t="str">
        <f t="shared" si="11"/>
        <v>车位类型</v>
      </c>
      <c r="R32" s="1328" t="s">
        <v>70</v>
      </c>
      <c r="S32" s="1329">
        <f t="shared" si="12"/>
        <v>100</v>
      </c>
      <c r="T32" s="1328" t="s">
        <v>70</v>
      </c>
      <c r="U32" s="1329">
        <f t="shared" si="13"/>
        <v>100</v>
      </c>
      <c r="V32" s="1328" t="s">
        <v>70</v>
      </c>
      <c r="W32" s="1329">
        <f t="shared" si="14"/>
        <v>95</v>
      </c>
      <c r="X32" s="2869"/>
      <c r="Y32" s="3683"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83"/>
      <c r="Q33" s="2870" t="str">
        <f t="shared" si="11"/>
        <v>是否直接入户</v>
      </c>
      <c r="R33" s="1328" t="s">
        <v>70</v>
      </c>
      <c r="S33" s="1329">
        <f t="shared" si="12"/>
        <v>99</v>
      </c>
      <c r="T33" s="1328" t="s">
        <v>70</v>
      </c>
      <c r="U33" s="1329">
        <f t="shared" si="13"/>
        <v>100</v>
      </c>
      <c r="V33" s="1328" t="s">
        <v>70</v>
      </c>
      <c r="W33" s="1329">
        <f t="shared" si="14"/>
        <v>99</v>
      </c>
      <c r="X33" s="2869"/>
      <c r="Y33" s="3683"/>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83"/>
      <c r="Q34" s="2870">
        <f t="shared" si="11"/>
        <v>111</v>
      </c>
      <c r="R34" s="1328" t="s">
        <v>70</v>
      </c>
      <c r="S34" s="1329">
        <f t="shared" si="12"/>
        <v>99</v>
      </c>
      <c r="T34" s="1328" t="s">
        <v>70</v>
      </c>
      <c r="U34" s="1329">
        <f t="shared" si="13"/>
        <v>98</v>
      </c>
      <c r="V34" s="1328" t="s">
        <v>70</v>
      </c>
      <c r="W34" s="1329">
        <f t="shared" si="14"/>
        <v>97</v>
      </c>
      <c r="X34" s="2869"/>
      <c r="Y34" s="3683"/>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83"/>
      <c r="Q35" s="1332">
        <f t="shared" si="11"/>
        <v>111</v>
      </c>
      <c r="R35" s="1333" t="s">
        <v>70</v>
      </c>
      <c r="S35" s="1334">
        <f t="shared" si="12"/>
        <v>98</v>
      </c>
      <c r="T35" s="1333" t="s">
        <v>70</v>
      </c>
      <c r="U35" s="1334">
        <f t="shared" si="13"/>
        <v>96</v>
      </c>
      <c r="V35" s="1333" t="s">
        <v>70</v>
      </c>
      <c r="W35" s="1334">
        <f t="shared" si="14"/>
        <v>94</v>
      </c>
      <c r="X35" s="1335"/>
      <c r="Y35" s="3683"/>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83"/>
      <c r="Q36" s="2870">
        <f t="shared" si="11"/>
        <v>111</v>
      </c>
      <c r="R36" s="1328" t="s">
        <v>70</v>
      </c>
      <c r="S36" s="1329">
        <f t="shared" si="12"/>
        <v>97</v>
      </c>
      <c r="T36" s="1328" t="s">
        <v>70</v>
      </c>
      <c r="U36" s="1329">
        <f t="shared" si="13"/>
        <v>94</v>
      </c>
      <c r="V36" s="1328" t="s">
        <v>70</v>
      </c>
      <c r="W36" s="1329">
        <f t="shared" si="14"/>
        <v>91</v>
      </c>
      <c r="X36" s="2869"/>
      <c r="Y36" s="3683"/>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65" t="str">
        <f>A37</f>
        <v>成交单价</v>
      </c>
      <c r="Q37" s="3665"/>
      <c r="R37" s="3785">
        <f>E37</f>
        <v>100000</v>
      </c>
      <c r="S37" s="3785"/>
      <c r="T37" s="3785">
        <f>G37</f>
        <v>120000</v>
      </c>
      <c r="U37" s="3785"/>
      <c r="V37" s="3785">
        <f>I37</f>
        <v>115000</v>
      </c>
      <c r="W37" s="3785"/>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65" t="str">
        <f>A38</f>
        <v>比较价值（元/平方米）</v>
      </c>
      <c r="Q38" s="3665"/>
      <c r="R38" s="3785" t="e">
        <f>IF(F1="售价",ROUND(PRODUCT(R37,AA7:AA36),0),ROUND(PRODUCT(R37,AA7:AA36),1))</f>
        <v>#DIV/0!</v>
      </c>
      <c r="S38" s="3785"/>
      <c r="T38" s="3785" t="e">
        <f>IF(F1="售价",ROUND(PRODUCT(T37,AB7:AB36),0),ROUND(PRODUCT(T37,AB7:AB36),1))</f>
        <v>#DIV/0!</v>
      </c>
      <c r="U38" s="3785"/>
      <c r="V38" s="3785" t="e">
        <f>IF(F1="售价",ROUND(PRODUCT(V37,AC7:AC36),0),ROUND(PRODUCT(V37,AC7:AC36),1))</f>
        <v>#DIV/0!</v>
      </c>
      <c r="W38" s="3785"/>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85" t="str">
        <f>A39</f>
        <v>估价对象XX用房的比较价值（楼面单价，元/平方米）</v>
      </c>
      <c r="Q39" s="3686"/>
      <c r="R39" s="3786" t="e">
        <f>IF(F1="售价",ROUND(AVERAGE(R38:V38),0),ROUND(AVERAGE(R38:V38),1))</f>
        <v>#DIV/0!</v>
      </c>
      <c r="S39" s="3786"/>
      <c r="T39" s="3786"/>
      <c r="U39" s="3786"/>
      <c r="V39" s="3786"/>
      <c r="W39" s="3786"/>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3196</v>
      </c>
      <c r="B48" s="853"/>
      <c r="C48" s="3082" t="str">
        <f>YEAR(C7)&amp;"-"&amp;MONTH(C7)</f>
        <v>2017-9</v>
      </c>
      <c r="D48" s="3083">
        <f>EDATE(C48,-1)</f>
        <v>42948</v>
      </c>
      <c r="E48" s="3083">
        <f t="shared" ref="E48:O48" si="16">EDATE(D48,-1)</f>
        <v>42917</v>
      </c>
      <c r="F48" s="3083">
        <f t="shared" si="16"/>
        <v>42887</v>
      </c>
      <c r="G48" s="3083">
        <f t="shared" si="16"/>
        <v>42856</v>
      </c>
      <c r="H48" s="3083">
        <f t="shared" si="16"/>
        <v>42826</v>
      </c>
      <c r="I48" s="3083">
        <f t="shared" si="16"/>
        <v>42795</v>
      </c>
      <c r="J48" s="3083">
        <f t="shared" si="16"/>
        <v>42767</v>
      </c>
      <c r="K48" s="3083">
        <f t="shared" si="16"/>
        <v>42736</v>
      </c>
      <c r="L48" s="3083">
        <f t="shared" si="16"/>
        <v>42705</v>
      </c>
      <c r="M48" s="3083">
        <f t="shared" si="16"/>
        <v>42675</v>
      </c>
      <c r="N48" s="3083">
        <f t="shared" si="16"/>
        <v>42644</v>
      </c>
      <c r="O48" s="3083">
        <f t="shared" si="16"/>
        <v>42614</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3035</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3065</v>
      </c>
      <c r="C67" s="213" t="s">
        <v>3055</v>
      </c>
      <c r="D67" s="213" t="s">
        <v>3056</v>
      </c>
      <c r="E67" s="213" t="s">
        <v>3057</v>
      </c>
      <c r="F67" s="213" t="s">
        <v>3058</v>
      </c>
      <c r="G67" s="213" t="s">
        <v>3059</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5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8"/>
      <c r="C2" s="3458"/>
      <c r="D2" s="3458"/>
      <c r="E2" s="3458"/>
    </row>
    <row r="3" spans="1:5" ht="18.75">
      <c r="A3" s="3459" t="s">
        <v>2390</v>
      </c>
      <c r="B3" s="3459"/>
      <c r="C3" s="3459"/>
      <c r="D3" s="3459"/>
      <c r="E3" s="3459"/>
    </row>
    <row r="4" spans="1:5" ht="19.5" thickBot="1">
      <c r="A4" s="1999"/>
      <c r="B4" s="3457" t="s">
        <v>2395</v>
      </c>
      <c r="C4" s="3457"/>
      <c r="D4" s="3457"/>
      <c r="E4" s="1999"/>
    </row>
    <row r="5" spans="1:5" ht="16.5" thickTop="1">
      <c r="A5" s="1987"/>
      <c r="B5" s="3455" t="s">
        <v>2391</v>
      </c>
      <c r="C5" s="1989" t="s">
        <v>2396</v>
      </c>
      <c r="D5" s="1990">
        <f ca="1">结果表!H101</f>
        <v>236159</v>
      </c>
      <c r="E5" s="1987"/>
    </row>
    <row r="6" spans="1:5" ht="15.75">
      <c r="A6" s="1987"/>
      <c r="B6" s="3455"/>
      <c r="C6" s="1989" t="s">
        <v>3278</v>
      </c>
      <c r="D6" s="1990" t="str">
        <f ca="1">NUMBERSTRING(INT(D5*10000),2)&amp;"元整"</f>
        <v>贰拾叁亿陆仟壹佰伍拾玖万元整</v>
      </c>
      <c r="E6" s="1987"/>
    </row>
    <row r="7" spans="1:5" ht="15.75">
      <c r="A7" s="1987"/>
      <c r="B7" s="3460"/>
      <c r="C7" s="1991" t="s">
        <v>2397</v>
      </c>
      <c r="D7" s="1992">
        <f ca="1">结果表!H102</f>
        <v>16294</v>
      </c>
      <c r="E7" s="1987"/>
    </row>
    <row r="8" spans="1:5" ht="15.75">
      <c r="A8" s="1987"/>
      <c r="B8" s="3461" t="str">
        <f>结果表!E103</f>
        <v>2.估价师知悉的法定优先受偿款</v>
      </c>
      <c r="C8" s="1993" t="s">
        <v>2398</v>
      </c>
      <c r="D8" s="1992">
        <f>结果表!H103</f>
        <v>17165</v>
      </c>
      <c r="E8" s="1987"/>
    </row>
    <row r="9" spans="1:5" ht="15.75">
      <c r="A9" s="1987"/>
      <c r="B9" s="3463"/>
      <c r="C9" s="1989" t="s">
        <v>3278</v>
      </c>
      <c r="D9" s="1990" t="str">
        <f>NUMBERSTRING(INT(D8*10000),2)&amp;"元整"</f>
        <v>壹亿柒仟壹佰陆拾伍万元整</v>
      </c>
      <c r="E9" s="1987"/>
    </row>
    <row r="10" spans="1:5" ht="15">
      <c r="A10" s="1987"/>
      <c r="B10" s="1994" t="s">
        <v>2392</v>
      </c>
      <c r="C10" s="1995" t="s">
        <v>2398</v>
      </c>
      <c r="D10" s="1996">
        <f>结果表!H104</f>
        <v>0</v>
      </c>
      <c r="E10" s="1987"/>
    </row>
    <row r="11" spans="1:5" ht="15">
      <c r="A11" s="1987"/>
      <c r="B11" s="1994" t="s">
        <v>2393</v>
      </c>
      <c r="C11" s="1995" t="s">
        <v>2398</v>
      </c>
      <c r="D11" s="1996">
        <f>结果表!H105</f>
        <v>3785</v>
      </c>
      <c r="E11" s="1987"/>
    </row>
    <row r="12" spans="1:5" ht="15">
      <c r="A12" s="1987"/>
      <c r="B12" s="1994" t="s">
        <v>2394</v>
      </c>
      <c r="C12" s="1995" t="s">
        <v>2398</v>
      </c>
      <c r="D12" s="1996">
        <f>结果表!H106</f>
        <v>13380</v>
      </c>
      <c r="E12" s="1987"/>
    </row>
    <row r="13" spans="1:5" ht="15.75">
      <c r="A13" s="1987"/>
      <c r="B13" s="3454" t="str">
        <f>结果表!E107</f>
        <v>3.房地产抵押价值</v>
      </c>
      <c r="C13" s="1997" t="s">
        <v>2396</v>
      </c>
      <c r="D13" s="2000">
        <f ca="1">结果表!H107</f>
        <v>218994</v>
      </c>
      <c r="E13" s="1987"/>
    </row>
    <row r="14" spans="1:5" ht="15.75">
      <c r="A14" s="1987"/>
      <c r="B14" s="3455"/>
      <c r="C14" s="1989" t="s">
        <v>3278</v>
      </c>
      <c r="D14" s="1990" t="str">
        <f ca="1">NUMBERSTRING(INT(D13*10000),2)&amp;"元整"</f>
        <v>贰拾壹亿捌仟玖佰玖拾肆万元整</v>
      </c>
      <c r="E14" s="1987"/>
    </row>
    <row r="15" spans="1:5" ht="15">
      <c r="A15" s="1987"/>
      <c r="B15" s="3460"/>
      <c r="C15" s="1991" t="s">
        <v>2397</v>
      </c>
      <c r="D15" s="2102">
        <f ca="1">结果表!H108</f>
        <v>15110</v>
      </c>
      <c r="E15" s="1987"/>
    </row>
    <row r="16" spans="1:5" ht="14.25">
      <c r="A16" s="1987"/>
      <c r="B16" s="3461" t="str">
        <f>结果表!E109</f>
        <v>4.抵押担保权已注销时的房地产抵押价值</v>
      </c>
      <c r="C16" s="1997" t="s">
        <v>2396</v>
      </c>
      <c r="D16" s="2103">
        <f ca="1">结果表!H109</f>
        <v>218994</v>
      </c>
      <c r="E16" s="1987"/>
    </row>
    <row r="17" spans="1:5" ht="15.75">
      <c r="A17" s="1987"/>
      <c r="B17" s="3462"/>
      <c r="C17" s="1989" t="s">
        <v>3278</v>
      </c>
      <c r="D17" s="1990" t="str">
        <f ca="1">NUMBERSTRING(INT(D16*10000),2)&amp;"元整"</f>
        <v>贰拾壹亿捌仟玖佰玖拾肆万元整</v>
      </c>
      <c r="E17" s="1987"/>
    </row>
    <row r="18" spans="1:5" ht="15">
      <c r="A18" s="1987"/>
      <c r="B18" s="3463"/>
      <c r="C18" s="1991" t="s">
        <v>2397</v>
      </c>
      <c r="D18" s="2102">
        <f ca="1">结果表!H110</f>
        <v>15110</v>
      </c>
      <c r="E18" s="1987"/>
    </row>
    <row r="19" spans="1:5" ht="15.75">
      <c r="A19" s="1987"/>
      <c r="B19" s="3454" t="str">
        <f>结果表!E111</f>
        <v>5.抵押净值</v>
      </c>
      <c r="C19" s="1997" t="s">
        <v>2396</v>
      </c>
      <c r="D19" s="1992">
        <f ca="1">结果表!H111</f>
        <v>203630</v>
      </c>
      <c r="E19" s="1987"/>
    </row>
    <row r="20" spans="1:5" ht="15.75">
      <c r="A20" s="1987"/>
      <c r="B20" s="3455"/>
      <c r="C20" s="1989" t="s">
        <v>3278</v>
      </c>
      <c r="D20" s="1990" t="str">
        <f ca="1">NUMBERSTRING(INT(D19*10000),2)&amp;"元整"</f>
        <v>贰拾亿叁仟陆佰叁拾万元整</v>
      </c>
      <c r="E20" s="1987"/>
    </row>
    <row r="21" spans="1:5" ht="15.75" thickBot="1">
      <c r="A21" s="1987"/>
      <c r="B21" s="3456"/>
      <c r="C21" s="2104" t="s">
        <v>2397</v>
      </c>
      <c r="D21" s="2105">
        <f ca="1">结果表!H112</f>
        <v>14050</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3096</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66" t="s">
        <v>639</v>
      </c>
      <c r="D4" s="3667"/>
      <c r="E4" s="3668" t="s">
        <v>640</v>
      </c>
      <c r="F4" s="3669"/>
      <c r="G4" s="3666" t="s">
        <v>641</v>
      </c>
      <c r="H4" s="3667"/>
      <c r="I4" s="3666" t="s">
        <v>642</v>
      </c>
      <c r="J4" s="3667"/>
      <c r="K4" s="957" t="s">
        <v>643</v>
      </c>
      <c r="L4" s="2375"/>
      <c r="M4" s="2376"/>
      <c r="N4" s="2376"/>
      <c r="O4" s="2376"/>
      <c r="P4" s="3670" t="s">
        <v>644</v>
      </c>
      <c r="Q4" s="3671"/>
      <c r="R4" s="3655" t="s">
        <v>640</v>
      </c>
      <c r="S4" s="3656"/>
      <c r="T4" s="3655" t="s">
        <v>641</v>
      </c>
      <c r="U4" s="3656"/>
      <c r="V4" s="3678" t="s">
        <v>642</v>
      </c>
      <c r="W4" s="3678"/>
      <c r="X4" s="1322"/>
      <c r="Y4" s="3655" t="s">
        <v>644</v>
      </c>
      <c r="Z4" s="3656"/>
      <c r="AA4" s="3650" t="s">
        <v>640</v>
      </c>
      <c r="AB4" s="3651" t="s">
        <v>641</v>
      </c>
      <c r="AC4" s="3650" t="s">
        <v>642</v>
      </c>
    </row>
    <row r="5" spans="1:29" ht="15">
      <c r="A5" s="751"/>
      <c r="B5" s="752"/>
      <c r="C5" s="3661" t="s">
        <v>1444</v>
      </c>
      <c r="D5" s="3662"/>
      <c r="E5" s="3659" t="s">
        <v>1445</v>
      </c>
      <c r="F5" s="3660"/>
      <c r="G5" s="3661" t="s">
        <v>66</v>
      </c>
      <c r="H5" s="3662"/>
      <c r="I5" s="3661" t="s">
        <v>1446</v>
      </c>
      <c r="J5" s="3662"/>
      <c r="K5" s="957"/>
      <c r="L5" s="2375"/>
      <c r="M5" s="2376"/>
      <c r="N5" s="2376"/>
      <c r="O5" s="2376"/>
      <c r="P5" s="3672"/>
      <c r="Q5" s="3673"/>
      <c r="R5" s="3657"/>
      <c r="S5" s="3658"/>
      <c r="T5" s="3657"/>
      <c r="U5" s="3658"/>
      <c r="V5" s="3678"/>
      <c r="W5" s="3678"/>
      <c r="X5" s="1322"/>
      <c r="Y5" s="3657"/>
      <c r="Z5" s="3658"/>
      <c r="AA5" s="3651"/>
      <c r="AB5" s="3651"/>
      <c r="AC5" s="3651"/>
    </row>
    <row r="6" spans="1:29" ht="15.75" thickBot="1">
      <c r="A6" s="753"/>
      <c r="B6" s="754"/>
      <c r="C6" s="3663" t="s">
        <v>1447</v>
      </c>
      <c r="D6" s="3664"/>
      <c r="E6" s="3707" t="s">
        <v>1447</v>
      </c>
      <c r="F6" s="3708"/>
      <c r="G6" s="3663" t="s">
        <v>1447</v>
      </c>
      <c r="H6" s="3664"/>
      <c r="I6" s="3663" t="s">
        <v>1447</v>
      </c>
      <c r="J6" s="3664"/>
      <c r="K6" s="957" t="s">
        <v>567</v>
      </c>
      <c r="L6" s="2375"/>
      <c r="M6" s="2376"/>
      <c r="N6" s="2376"/>
      <c r="O6" s="2376"/>
      <c r="P6" s="3674"/>
      <c r="Q6" s="3675"/>
      <c r="R6" s="3657"/>
      <c r="S6" s="3658"/>
      <c r="T6" s="3676"/>
      <c r="U6" s="3677"/>
      <c r="V6" s="3678"/>
      <c r="W6" s="3678"/>
      <c r="X6" s="1322"/>
      <c r="Y6" s="3676"/>
      <c r="Z6" s="3677"/>
      <c r="AA6" s="3652"/>
      <c r="AB6" s="3652"/>
      <c r="AC6" s="3652"/>
    </row>
    <row r="7" spans="1:29" s="412" customFormat="1" ht="15.75" thickBot="1">
      <c r="A7" s="755" t="s">
        <v>568</v>
      </c>
      <c r="B7" s="756"/>
      <c r="C7" s="757">
        <f>'数据-取费表'!B2</f>
        <v>43006</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53" t="s">
        <v>569</v>
      </c>
      <c r="Q7" s="3679"/>
      <c r="R7" s="1323" t="s">
        <v>70</v>
      </c>
      <c r="S7" s="1324">
        <f t="shared" ref="S7:S14" si="0">F7</f>
        <v>0</v>
      </c>
      <c r="T7" s="1323" t="s">
        <v>70</v>
      </c>
      <c r="U7" s="1324">
        <f t="shared" ref="U7:U14" si="1">H7</f>
        <v>0</v>
      </c>
      <c r="V7" s="1323" t="s">
        <v>70</v>
      </c>
      <c r="W7" s="1324">
        <f t="shared" ref="W7:W14" si="2">J7</f>
        <v>0</v>
      </c>
      <c r="X7" s="1325"/>
      <c r="Y7" s="3653" t="s">
        <v>569</v>
      </c>
      <c r="Z7" s="3654"/>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53" t="s">
        <v>612</v>
      </c>
      <c r="Q8" s="3654"/>
      <c r="R8" s="1323" t="s">
        <v>70</v>
      </c>
      <c r="S8" s="1324">
        <f t="shared" si="0"/>
        <v>95</v>
      </c>
      <c r="T8" s="1323" t="s">
        <v>70</v>
      </c>
      <c r="U8" s="1324">
        <f t="shared" si="1"/>
        <v>100</v>
      </c>
      <c r="V8" s="1323" t="s">
        <v>70</v>
      </c>
      <c r="W8" s="1324">
        <f t="shared" si="2"/>
        <v>100</v>
      </c>
      <c r="X8" s="1325"/>
      <c r="Y8" s="3653" t="s">
        <v>612</v>
      </c>
      <c r="Z8" s="3654"/>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65" t="s">
        <v>572</v>
      </c>
      <c r="Q9" s="302" t="str">
        <f t="shared" ref="Q9:Q14" si="6">B9</f>
        <v>用途</v>
      </c>
      <c r="R9" s="1323" t="s">
        <v>70</v>
      </c>
      <c r="S9" s="1324">
        <f t="shared" si="0"/>
        <v>100</v>
      </c>
      <c r="T9" s="1323" t="s">
        <v>70</v>
      </c>
      <c r="U9" s="1324">
        <f t="shared" si="1"/>
        <v>100</v>
      </c>
      <c r="V9" s="1323" t="s">
        <v>70</v>
      </c>
      <c r="W9" s="1324">
        <f t="shared" si="2"/>
        <v>100</v>
      </c>
      <c r="X9" s="1325"/>
      <c r="Y9" s="3620"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65"/>
      <c r="Q10" s="302" t="str">
        <f t="shared" si="6"/>
        <v>土地使用年限（年）</v>
      </c>
      <c r="R10" s="1323" t="s">
        <v>70</v>
      </c>
      <c r="S10" s="1324">
        <f t="shared" si="0"/>
        <v>97</v>
      </c>
      <c r="T10" s="1323" t="s">
        <v>70</v>
      </c>
      <c r="U10" s="1324">
        <f t="shared" si="1"/>
        <v>94</v>
      </c>
      <c r="V10" s="1323" t="s">
        <v>70</v>
      </c>
      <c r="W10" s="1324">
        <f t="shared" si="2"/>
        <v>91</v>
      </c>
      <c r="X10" s="1325"/>
      <c r="Y10" s="3620"/>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65"/>
      <c r="Q11" s="302">
        <f t="shared" si="6"/>
        <v>111</v>
      </c>
      <c r="R11" s="1323" t="s">
        <v>70</v>
      </c>
      <c r="S11" s="1324">
        <f t="shared" si="0"/>
        <v>99</v>
      </c>
      <c r="T11" s="1323" t="s">
        <v>70</v>
      </c>
      <c r="U11" s="1324">
        <f t="shared" si="1"/>
        <v>98</v>
      </c>
      <c r="V11" s="1323" t="s">
        <v>70</v>
      </c>
      <c r="W11" s="1324">
        <f t="shared" si="2"/>
        <v>97</v>
      </c>
      <c r="X11" s="1325"/>
      <c r="Y11" s="3620"/>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65"/>
      <c r="Q12" s="302">
        <f t="shared" si="6"/>
        <v>111</v>
      </c>
      <c r="R12" s="1323" t="s">
        <v>70</v>
      </c>
      <c r="S12" s="1324">
        <f t="shared" si="0"/>
        <v>98</v>
      </c>
      <c r="T12" s="1323" t="s">
        <v>70</v>
      </c>
      <c r="U12" s="1324">
        <f t="shared" si="1"/>
        <v>96</v>
      </c>
      <c r="V12" s="1323" t="s">
        <v>70</v>
      </c>
      <c r="W12" s="1324">
        <f t="shared" si="2"/>
        <v>94</v>
      </c>
      <c r="X12" s="1325"/>
      <c r="Y12" s="3620"/>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65"/>
      <c r="Q13" s="302">
        <f t="shared" si="6"/>
        <v>111</v>
      </c>
      <c r="R13" s="1323" t="s">
        <v>70</v>
      </c>
      <c r="S13" s="1324">
        <f t="shared" si="0"/>
        <v>97</v>
      </c>
      <c r="T13" s="1323" t="s">
        <v>70</v>
      </c>
      <c r="U13" s="1324">
        <f t="shared" si="1"/>
        <v>94</v>
      </c>
      <c r="V13" s="1323" t="s">
        <v>70</v>
      </c>
      <c r="W13" s="1324">
        <f t="shared" si="2"/>
        <v>91</v>
      </c>
      <c r="X13" s="1325"/>
      <c r="Y13" s="3620"/>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80" t="s">
        <v>577</v>
      </c>
      <c r="Q14" s="1327" t="str">
        <f t="shared" si="6"/>
        <v>交通便捷度</v>
      </c>
      <c r="R14" s="1328" t="s">
        <v>70</v>
      </c>
      <c r="S14" s="1329">
        <f t="shared" si="0"/>
        <v>102</v>
      </c>
      <c r="T14" s="1328" t="s">
        <v>70</v>
      </c>
      <c r="U14" s="1329">
        <f t="shared" si="1"/>
        <v>98</v>
      </c>
      <c r="V14" s="1328" t="s">
        <v>70</v>
      </c>
      <c r="W14" s="1329">
        <f t="shared" si="2"/>
        <v>96</v>
      </c>
      <c r="X14" s="1322"/>
      <c r="Y14" s="3680"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2797</v>
      </c>
      <c r="D15" s="796"/>
      <c r="E15" s="795" t="s">
        <v>579</v>
      </c>
      <c r="F15" s="797"/>
      <c r="G15" s="795" t="s">
        <v>617</v>
      </c>
      <c r="H15" s="798"/>
      <c r="I15" s="795" t="s">
        <v>618</v>
      </c>
      <c r="J15" s="796"/>
      <c r="K15" s="962"/>
      <c r="L15" s="2385"/>
      <c r="M15" s="2376"/>
      <c r="N15" s="2376"/>
      <c r="O15" s="2384"/>
      <c r="P15" s="3681"/>
      <c r="Q15" s="1327"/>
      <c r="R15" s="1328"/>
      <c r="S15" s="1329"/>
      <c r="T15" s="1328"/>
      <c r="U15" s="1329"/>
      <c r="V15" s="1328"/>
      <c r="W15" s="1329"/>
      <c r="X15" s="1322"/>
      <c r="Y15" s="3681"/>
      <c r="Z15" s="1330"/>
      <c r="AA15" s="1331">
        <v>1</v>
      </c>
      <c r="AB15" s="1331">
        <v>1</v>
      </c>
      <c r="AC15" s="1331">
        <v>1</v>
      </c>
    </row>
    <row r="16" spans="1:29" ht="40.5">
      <c r="A16" s="776"/>
      <c r="B16" s="1360" t="s">
        <v>3064</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81"/>
      <c r="Q16" s="1327" t="str">
        <f>B16</f>
        <v>公共配套设施</v>
      </c>
      <c r="R16" s="1328" t="s">
        <v>70</v>
      </c>
      <c r="S16" s="1329">
        <f>F16</f>
        <v>98</v>
      </c>
      <c r="T16" s="1328" t="s">
        <v>70</v>
      </c>
      <c r="U16" s="1329">
        <f>H16</f>
        <v>96</v>
      </c>
      <c r="V16" s="1328" t="s">
        <v>70</v>
      </c>
      <c r="W16" s="1329">
        <f>J16</f>
        <v>102</v>
      </c>
      <c r="X16" s="1322"/>
      <c r="Y16" s="3681"/>
      <c r="Z16" s="1330" t="str">
        <f>Q16</f>
        <v>公共配套设施</v>
      </c>
      <c r="AA16" s="1331">
        <f t="shared" si="3"/>
        <v>1.0204081632653061</v>
      </c>
      <c r="AB16" s="1331">
        <f t="shared" si="4"/>
        <v>1.0416666666666667</v>
      </c>
      <c r="AC16" s="1331">
        <f t="shared" si="5"/>
        <v>0.98039215686274506</v>
      </c>
    </row>
    <row r="17" spans="1:29" ht="15">
      <c r="A17" s="776"/>
      <c r="B17" s="804"/>
      <c r="C17" s="102" t="s">
        <v>2798</v>
      </c>
      <c r="D17" s="796"/>
      <c r="E17" s="795" t="s">
        <v>578</v>
      </c>
      <c r="F17" s="797"/>
      <c r="G17" s="795" t="s">
        <v>617</v>
      </c>
      <c r="H17" s="796"/>
      <c r="I17" s="795" t="s">
        <v>580</v>
      </c>
      <c r="J17" s="796"/>
      <c r="K17" s="962"/>
      <c r="L17" s="2385"/>
      <c r="M17" s="2376"/>
      <c r="N17" s="2376"/>
      <c r="O17" s="2384"/>
      <c r="P17" s="3681"/>
      <c r="Q17" s="1327"/>
      <c r="R17" s="1328"/>
      <c r="S17" s="1329"/>
      <c r="T17" s="1328"/>
      <c r="U17" s="1329"/>
      <c r="V17" s="1328"/>
      <c r="W17" s="1329"/>
      <c r="X17" s="1322"/>
      <c r="Y17" s="3681"/>
      <c r="Z17" s="1330"/>
      <c r="AA17" s="1331">
        <v>1</v>
      </c>
      <c r="AB17" s="1331">
        <v>1</v>
      </c>
      <c r="AC17" s="1331">
        <v>1</v>
      </c>
    </row>
    <row r="18" spans="1:29" ht="40.5">
      <c r="A18" s="776"/>
      <c r="B18" s="1416" t="s">
        <v>3066</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81"/>
      <c r="Q18" s="2785" t="str">
        <f>B18</f>
        <v>基础设施水平</v>
      </c>
      <c r="R18" s="1328" t="s">
        <v>70</v>
      </c>
      <c r="S18" s="1329">
        <f>F18</f>
        <v>98.5</v>
      </c>
      <c r="T18" s="1328" t="s">
        <v>70</v>
      </c>
      <c r="U18" s="1329">
        <f>H18</f>
        <v>97</v>
      </c>
      <c r="V18" s="1328" t="s">
        <v>70</v>
      </c>
      <c r="W18" s="1329">
        <f>J18</f>
        <v>95.5</v>
      </c>
      <c r="X18" s="2787"/>
      <c r="Y18" s="3681"/>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81"/>
      <c r="Q19" s="2785"/>
      <c r="R19" s="1328"/>
      <c r="S19" s="1329"/>
      <c r="T19" s="1328"/>
      <c r="U19" s="1329"/>
      <c r="V19" s="1328"/>
      <c r="W19" s="1329"/>
      <c r="X19" s="2787"/>
      <c r="Y19" s="3681"/>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81"/>
      <c r="Q20" s="1327" t="str">
        <f>B20</f>
        <v>自然及人文环境</v>
      </c>
      <c r="R20" s="1328" t="s">
        <v>70</v>
      </c>
      <c r="S20" s="1329">
        <f>F20</f>
        <v>97</v>
      </c>
      <c r="T20" s="1328" t="s">
        <v>70</v>
      </c>
      <c r="U20" s="1329">
        <f>H20</f>
        <v>103</v>
      </c>
      <c r="V20" s="1328" t="s">
        <v>70</v>
      </c>
      <c r="W20" s="1329">
        <f>J20</f>
        <v>106</v>
      </c>
      <c r="X20" s="1322"/>
      <c r="Y20" s="3681"/>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81"/>
      <c r="Q21" s="1327"/>
      <c r="R21" s="1328"/>
      <c r="S21" s="1329"/>
      <c r="T21" s="1328"/>
      <c r="U21" s="1329"/>
      <c r="V21" s="1328"/>
      <c r="W21" s="1329"/>
      <c r="X21" s="1322"/>
      <c r="Y21" s="3681"/>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81"/>
      <c r="Q22" s="1327" t="str">
        <f>B22</f>
        <v>楼层</v>
      </c>
      <c r="R22" s="1328" t="s">
        <v>70</v>
      </c>
      <c r="S22" s="1329">
        <f>F22</f>
        <v>98</v>
      </c>
      <c r="T22" s="1328" t="s">
        <v>70</v>
      </c>
      <c r="U22" s="1329">
        <f>H22</f>
        <v>98</v>
      </c>
      <c r="V22" s="1328" t="s">
        <v>70</v>
      </c>
      <c r="W22" s="1329">
        <f>J22</f>
        <v>100</v>
      </c>
      <c r="X22" s="1322"/>
      <c r="Y22" s="3681"/>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81"/>
      <c r="Q23" s="1327">
        <f>B23</f>
        <v>111</v>
      </c>
      <c r="R23" s="1328" t="s">
        <v>70</v>
      </c>
      <c r="S23" s="1329">
        <f>F23</f>
        <v>99</v>
      </c>
      <c r="T23" s="1328" t="s">
        <v>70</v>
      </c>
      <c r="U23" s="1329">
        <f>H23</f>
        <v>98</v>
      </c>
      <c r="V23" s="1328" t="s">
        <v>70</v>
      </c>
      <c r="W23" s="1329">
        <f>J23</f>
        <v>97</v>
      </c>
      <c r="X23" s="1322"/>
      <c r="Y23" s="3681"/>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81"/>
      <c r="Q24" s="1327">
        <f t="shared" ref="Q24:Q34" si="11">B24</f>
        <v>111</v>
      </c>
      <c r="R24" s="1328" t="s">
        <v>70</v>
      </c>
      <c r="S24" s="1329">
        <f>F24</f>
        <v>98</v>
      </c>
      <c r="T24" s="1328" t="s">
        <v>70</v>
      </c>
      <c r="U24" s="1329">
        <f>H24</f>
        <v>96</v>
      </c>
      <c r="V24" s="1328" t="s">
        <v>70</v>
      </c>
      <c r="W24" s="1329">
        <f>J24</f>
        <v>94</v>
      </c>
      <c r="X24" s="1322"/>
      <c r="Y24" s="3681"/>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81"/>
      <c r="Q25" s="302">
        <f t="shared" si="11"/>
        <v>111</v>
      </c>
      <c r="R25" s="1323" t="s">
        <v>70</v>
      </c>
      <c r="S25" s="1324">
        <f>F25</f>
        <v>97</v>
      </c>
      <c r="T25" s="1323" t="s">
        <v>70</v>
      </c>
      <c r="U25" s="1324">
        <f>H25</f>
        <v>94</v>
      </c>
      <c r="V25" s="1323" t="s">
        <v>70</v>
      </c>
      <c r="W25" s="1324">
        <f>J25</f>
        <v>91</v>
      </c>
      <c r="X25" s="1325"/>
      <c r="Y25" s="3681"/>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82"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83"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83"/>
      <c r="Q27" s="1332" t="str">
        <f t="shared" si="11"/>
        <v>成新率</v>
      </c>
      <c r="R27" s="1333" t="s">
        <v>70</v>
      </c>
      <c r="S27" s="1334">
        <f t="shared" si="12"/>
        <v>102</v>
      </c>
      <c r="T27" s="1333" t="s">
        <v>70</v>
      </c>
      <c r="U27" s="1334">
        <f t="shared" si="13"/>
        <v>102</v>
      </c>
      <c r="V27" s="1333" t="s">
        <v>70</v>
      </c>
      <c r="W27" s="1334">
        <f t="shared" si="14"/>
        <v>100</v>
      </c>
      <c r="X27" s="1335"/>
      <c r="Y27" s="3683"/>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83"/>
      <c r="Q28" s="1327" t="str">
        <f t="shared" si="11"/>
        <v>物业等级</v>
      </c>
      <c r="R28" s="1328" t="s">
        <v>70</v>
      </c>
      <c r="S28" s="1329">
        <f t="shared" si="12"/>
        <v>94</v>
      </c>
      <c r="T28" s="1328" t="s">
        <v>70</v>
      </c>
      <c r="U28" s="1329">
        <f t="shared" si="13"/>
        <v>97</v>
      </c>
      <c r="V28" s="1328" t="s">
        <v>70</v>
      </c>
      <c r="W28" s="1329">
        <f t="shared" si="14"/>
        <v>100</v>
      </c>
      <c r="X28" s="1322"/>
      <c r="Y28" s="3683"/>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83"/>
      <c r="Q29" s="1327" t="str">
        <f t="shared" si="11"/>
        <v>有无电梯</v>
      </c>
      <c r="R29" s="1328" t="s">
        <v>70</v>
      </c>
      <c r="S29" s="1329">
        <f t="shared" si="12"/>
        <v>98</v>
      </c>
      <c r="T29" s="1328" t="s">
        <v>70</v>
      </c>
      <c r="U29" s="1329">
        <f t="shared" si="13"/>
        <v>100</v>
      </c>
      <c r="V29" s="1328" t="s">
        <v>70</v>
      </c>
      <c r="W29" s="1329">
        <f t="shared" si="14"/>
        <v>98</v>
      </c>
      <c r="X29" s="1322"/>
      <c r="Y29" s="3683"/>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83"/>
      <c r="Q30" s="1327" t="str">
        <f t="shared" si="11"/>
        <v>建筑面积</v>
      </c>
      <c r="R30" s="1328" t="s">
        <v>70</v>
      </c>
      <c r="S30" s="1329">
        <f t="shared" si="12"/>
        <v>96</v>
      </c>
      <c r="T30" s="1328" t="s">
        <v>70</v>
      </c>
      <c r="U30" s="1329">
        <f t="shared" si="13"/>
        <v>98</v>
      </c>
      <c r="V30" s="1328" t="s">
        <v>70</v>
      </c>
      <c r="W30" s="1329">
        <f t="shared" si="14"/>
        <v>102</v>
      </c>
      <c r="X30" s="1322"/>
      <c r="Y30" s="3683"/>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83"/>
      <c r="Q31" s="302" t="str">
        <f t="shared" si="11"/>
        <v>是否封闭</v>
      </c>
      <c r="R31" s="1323" t="s">
        <v>70</v>
      </c>
      <c r="S31" s="1324">
        <f t="shared" si="12"/>
        <v>102</v>
      </c>
      <c r="T31" s="1323" t="s">
        <v>70</v>
      </c>
      <c r="U31" s="1324">
        <f t="shared" si="13"/>
        <v>102</v>
      </c>
      <c r="V31" s="1323" t="s">
        <v>70</v>
      </c>
      <c r="W31" s="1324">
        <f t="shared" si="14"/>
        <v>100</v>
      </c>
      <c r="X31" s="1325"/>
      <c r="Y31" s="3683"/>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83" t="s">
        <v>582</v>
      </c>
      <c r="Q32" s="1327">
        <f t="shared" si="11"/>
        <v>111</v>
      </c>
      <c r="R32" s="1328" t="s">
        <v>70</v>
      </c>
      <c r="S32" s="1329">
        <f t="shared" si="12"/>
        <v>99</v>
      </c>
      <c r="T32" s="1328" t="s">
        <v>70</v>
      </c>
      <c r="U32" s="1329">
        <f t="shared" si="13"/>
        <v>98</v>
      </c>
      <c r="V32" s="1328" t="s">
        <v>70</v>
      </c>
      <c r="W32" s="1329">
        <f t="shared" si="14"/>
        <v>97</v>
      </c>
      <c r="X32" s="1322"/>
      <c r="Y32" s="3683"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83"/>
      <c r="Q33" s="1327">
        <f t="shared" si="11"/>
        <v>111</v>
      </c>
      <c r="R33" s="1328" t="s">
        <v>70</v>
      </c>
      <c r="S33" s="1329">
        <f t="shared" si="12"/>
        <v>98</v>
      </c>
      <c r="T33" s="1328" t="s">
        <v>70</v>
      </c>
      <c r="U33" s="1329">
        <f t="shared" si="13"/>
        <v>96</v>
      </c>
      <c r="V33" s="1328" t="s">
        <v>70</v>
      </c>
      <c r="W33" s="1329">
        <f t="shared" si="14"/>
        <v>94</v>
      </c>
      <c r="X33" s="1322"/>
      <c r="Y33" s="3683"/>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83"/>
      <c r="Q34" s="1327">
        <f t="shared" si="11"/>
        <v>111</v>
      </c>
      <c r="R34" s="1328" t="s">
        <v>70</v>
      </c>
      <c r="S34" s="1329">
        <f t="shared" si="12"/>
        <v>97</v>
      </c>
      <c r="T34" s="1328" t="s">
        <v>70</v>
      </c>
      <c r="U34" s="1329">
        <f t="shared" si="13"/>
        <v>94</v>
      </c>
      <c r="V34" s="1328" t="s">
        <v>70</v>
      </c>
      <c r="W34" s="1329">
        <f t="shared" si="14"/>
        <v>91</v>
      </c>
      <c r="X34" s="1322"/>
      <c r="Y34" s="3683"/>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65" t="str">
        <f>A35</f>
        <v>成交单价（元/平方米）</v>
      </c>
      <c r="Q35" s="3665"/>
      <c r="R35" s="3785">
        <f>E35</f>
        <v>30000</v>
      </c>
      <c r="S35" s="3785"/>
      <c r="T35" s="3785">
        <f>G35</f>
        <v>35000</v>
      </c>
      <c r="U35" s="3785"/>
      <c r="V35" s="3785">
        <f>I35</f>
        <v>32000</v>
      </c>
      <c r="W35" s="3785"/>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65" t="str">
        <f>A36</f>
        <v>比较价值（元/平方米）</v>
      </c>
      <c r="Q36" s="3665"/>
      <c r="R36" s="3785" t="e">
        <f>IF(F1="售价",ROUND(PRODUCT(R35,AA7:AA34),0),ROUND(PRODUCT(R35,AA7:AA34),1))</f>
        <v>#DIV/0!</v>
      </c>
      <c r="S36" s="3785"/>
      <c r="T36" s="3785" t="e">
        <f>IF(F1="售价",ROUND(PRODUCT(T35,AB7:AB34),0),ROUND(PRODUCT(T35,AB7:AB34),1))</f>
        <v>#DIV/0!</v>
      </c>
      <c r="U36" s="3785"/>
      <c r="V36" s="3785" t="e">
        <f>IF(F1="售价",ROUND(PRODUCT(V35,AC7:AC34),0),ROUND(PRODUCT(V35,AC7:AC34),1))</f>
        <v>#DIV/0!</v>
      </c>
      <c r="W36" s="3785"/>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85" t="str">
        <f>A37</f>
        <v>估价对象XX用房的比较价值（楼面单价，元/平方米）</v>
      </c>
      <c r="Q37" s="3686"/>
      <c r="R37" s="3786" t="e">
        <f>IF(F1="售价",ROUND(AVERAGE(R36:V36),0),ROUND(AVERAGE(R36:V36),1))</f>
        <v>#DIV/0!</v>
      </c>
      <c r="S37" s="3786"/>
      <c r="T37" s="3786"/>
      <c r="U37" s="3786"/>
      <c r="V37" s="3786"/>
      <c r="W37" s="3786"/>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2017-9</v>
      </c>
      <c r="D46" s="3083">
        <f>EDATE(C46,-1)</f>
        <v>42948</v>
      </c>
      <c r="E46" s="3083">
        <f t="shared" ref="E46:O46" si="16">EDATE(D46,-1)</f>
        <v>42917</v>
      </c>
      <c r="F46" s="3083">
        <f t="shared" si="16"/>
        <v>42887</v>
      </c>
      <c r="G46" s="3083">
        <f t="shared" si="16"/>
        <v>42856</v>
      </c>
      <c r="H46" s="3083">
        <f t="shared" si="16"/>
        <v>42826</v>
      </c>
      <c r="I46" s="3083">
        <f t="shared" si="16"/>
        <v>42795</v>
      </c>
      <c r="J46" s="3083">
        <f t="shared" si="16"/>
        <v>42767</v>
      </c>
      <c r="K46" s="3083">
        <f t="shared" si="16"/>
        <v>42736</v>
      </c>
      <c r="L46" s="3083">
        <f t="shared" si="16"/>
        <v>42705</v>
      </c>
      <c r="M46" s="3083">
        <f t="shared" si="16"/>
        <v>42675</v>
      </c>
      <c r="N46" s="3083">
        <f t="shared" si="16"/>
        <v>42644</v>
      </c>
      <c r="O46" s="3083">
        <f t="shared" si="16"/>
        <v>42614</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3065</v>
      </c>
      <c r="C65" s="213" t="s">
        <v>3055</v>
      </c>
      <c r="D65" s="213" t="s">
        <v>3056</v>
      </c>
      <c r="E65" s="213" t="s">
        <v>3057</v>
      </c>
      <c r="F65" s="213" t="s">
        <v>3058</v>
      </c>
      <c r="G65" s="213" t="s">
        <v>3059</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66" t="s">
        <v>556</v>
      </c>
      <c r="D4" s="3667"/>
      <c r="E4" s="3668" t="s">
        <v>557</v>
      </c>
      <c r="F4" s="3669"/>
      <c r="G4" s="3666" t="s">
        <v>558</v>
      </c>
      <c r="H4" s="3667"/>
      <c r="I4" s="3666" t="s">
        <v>559</v>
      </c>
      <c r="J4" s="3667"/>
      <c r="K4" s="957" t="s">
        <v>560</v>
      </c>
      <c r="L4" s="2375"/>
      <c r="M4" s="2376"/>
      <c r="N4" s="2376"/>
      <c r="O4" s="2376"/>
      <c r="P4" s="3670" t="s">
        <v>561</v>
      </c>
      <c r="Q4" s="3671"/>
      <c r="R4" s="3655" t="s">
        <v>557</v>
      </c>
      <c r="S4" s="3656"/>
      <c r="T4" s="3655" t="s">
        <v>558</v>
      </c>
      <c r="U4" s="3656"/>
      <c r="V4" s="3678" t="s">
        <v>559</v>
      </c>
      <c r="W4" s="3678"/>
      <c r="X4" s="1322"/>
      <c r="Y4" s="3655" t="s">
        <v>561</v>
      </c>
      <c r="Z4" s="3656"/>
      <c r="AA4" s="3650" t="s">
        <v>557</v>
      </c>
      <c r="AB4" s="3651" t="s">
        <v>558</v>
      </c>
      <c r="AC4" s="3650" t="s">
        <v>559</v>
      </c>
    </row>
    <row r="5" spans="1:29" ht="15">
      <c r="A5" s="751"/>
      <c r="B5" s="752"/>
      <c r="C5" s="3661" t="s">
        <v>1444</v>
      </c>
      <c r="D5" s="3662"/>
      <c r="E5" s="3659" t="s">
        <v>1445</v>
      </c>
      <c r="F5" s="3660"/>
      <c r="G5" s="3661" t="s">
        <v>1458</v>
      </c>
      <c r="H5" s="3662"/>
      <c r="I5" s="3661" t="s">
        <v>1446</v>
      </c>
      <c r="J5" s="3662"/>
      <c r="K5" s="957"/>
      <c r="L5" s="2375"/>
      <c r="M5" s="2376"/>
      <c r="N5" s="2376"/>
      <c r="O5" s="2376"/>
      <c r="P5" s="3672"/>
      <c r="Q5" s="3673"/>
      <c r="R5" s="3657"/>
      <c r="S5" s="3658"/>
      <c r="T5" s="3657"/>
      <c r="U5" s="3658"/>
      <c r="V5" s="3678"/>
      <c r="W5" s="3678"/>
      <c r="X5" s="1322"/>
      <c r="Y5" s="3657"/>
      <c r="Z5" s="3658"/>
      <c r="AA5" s="3651"/>
      <c r="AB5" s="3651"/>
      <c r="AC5" s="3651"/>
    </row>
    <row r="6" spans="1:29" ht="15.75" thickBot="1">
      <c r="A6" s="753"/>
      <c r="B6" s="754"/>
      <c r="C6" s="3663" t="s">
        <v>1447</v>
      </c>
      <c r="D6" s="3664"/>
      <c r="E6" s="3707" t="s">
        <v>1447</v>
      </c>
      <c r="F6" s="3708"/>
      <c r="G6" s="3663" t="s">
        <v>1447</v>
      </c>
      <c r="H6" s="3664"/>
      <c r="I6" s="3663" t="s">
        <v>1447</v>
      </c>
      <c r="J6" s="3664"/>
      <c r="K6" s="957" t="s">
        <v>567</v>
      </c>
      <c r="L6" s="2375"/>
      <c r="M6" s="2376"/>
      <c r="N6" s="2376"/>
      <c r="O6" s="2376"/>
      <c r="P6" s="3674"/>
      <c r="Q6" s="3675"/>
      <c r="R6" s="3657"/>
      <c r="S6" s="3658"/>
      <c r="T6" s="3676"/>
      <c r="U6" s="3677"/>
      <c r="V6" s="3678"/>
      <c r="W6" s="3678"/>
      <c r="X6" s="1322"/>
      <c r="Y6" s="3676"/>
      <c r="Z6" s="3677"/>
      <c r="AA6" s="3652"/>
      <c r="AB6" s="3652"/>
      <c r="AC6" s="3652"/>
    </row>
    <row r="7" spans="1:29" s="412" customFormat="1" ht="15.75" thickBot="1">
      <c r="A7" s="755" t="s">
        <v>568</v>
      </c>
      <c r="B7" s="756"/>
      <c r="C7" s="757">
        <f>'数据-取费表'!B2</f>
        <v>43006</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53" t="s">
        <v>569</v>
      </c>
      <c r="Q7" s="3679"/>
      <c r="R7" s="1323" t="s">
        <v>70</v>
      </c>
      <c r="S7" s="1324">
        <f t="shared" ref="S7:S15" si="0">F7</f>
        <v>95</v>
      </c>
      <c r="T7" s="1323" t="s">
        <v>70</v>
      </c>
      <c r="U7" s="1324">
        <f t="shared" ref="U7:U15" si="1">H7</f>
        <v>0</v>
      </c>
      <c r="V7" s="1323" t="s">
        <v>70</v>
      </c>
      <c r="W7" s="1324">
        <f t="shared" ref="W7:W15" si="2">J7</f>
        <v>94.5</v>
      </c>
      <c r="X7" s="1325"/>
      <c r="Y7" s="3653" t="s">
        <v>569</v>
      </c>
      <c r="Z7" s="3654"/>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53" t="s">
        <v>612</v>
      </c>
      <c r="Q8" s="3654"/>
      <c r="R8" s="1323" t="s">
        <v>70</v>
      </c>
      <c r="S8" s="1324">
        <f t="shared" si="0"/>
        <v>100</v>
      </c>
      <c r="T8" s="1323" t="s">
        <v>70</v>
      </c>
      <c r="U8" s="1324">
        <f t="shared" si="1"/>
        <v>96</v>
      </c>
      <c r="V8" s="1323" t="s">
        <v>70</v>
      </c>
      <c r="W8" s="1324">
        <f t="shared" si="2"/>
        <v>100</v>
      </c>
      <c r="X8" s="1325"/>
      <c r="Y8" s="3653" t="s">
        <v>612</v>
      </c>
      <c r="Z8" s="3654"/>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65" t="s">
        <v>572</v>
      </c>
      <c r="Q9" s="302" t="str">
        <f t="shared" ref="Q9:Q15" si="6">B9</f>
        <v>用途</v>
      </c>
      <c r="R9" s="1323" t="s">
        <v>70</v>
      </c>
      <c r="S9" s="1324">
        <f t="shared" si="0"/>
        <v>105</v>
      </c>
      <c r="T9" s="1323" t="s">
        <v>70</v>
      </c>
      <c r="U9" s="1324">
        <f t="shared" si="1"/>
        <v>100</v>
      </c>
      <c r="V9" s="1323" t="s">
        <v>70</v>
      </c>
      <c r="W9" s="1324">
        <f t="shared" si="2"/>
        <v>100</v>
      </c>
      <c r="X9" s="1325"/>
      <c r="Y9" s="3620"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65"/>
      <c r="Q10" s="302" t="str">
        <f t="shared" si="6"/>
        <v>土地使用年限（年）</v>
      </c>
      <c r="R10" s="1323" t="s">
        <v>70</v>
      </c>
      <c r="S10" s="1324">
        <f t="shared" si="0"/>
        <v>101</v>
      </c>
      <c r="T10" s="1323" t="s">
        <v>70</v>
      </c>
      <c r="U10" s="1324">
        <f t="shared" si="1"/>
        <v>101</v>
      </c>
      <c r="V10" s="1323" t="s">
        <v>70</v>
      </c>
      <c r="W10" s="1324">
        <f t="shared" si="2"/>
        <v>101</v>
      </c>
      <c r="X10" s="1325"/>
      <c r="Y10" s="3620"/>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65"/>
      <c r="Q11" s="302" t="str">
        <f t="shared" si="6"/>
        <v>容积率</v>
      </c>
      <c r="R11" s="1323" t="s">
        <v>70</v>
      </c>
      <c r="S11" s="1324">
        <f t="shared" si="0"/>
        <v>103</v>
      </c>
      <c r="T11" s="1323" t="s">
        <v>70</v>
      </c>
      <c r="U11" s="1324">
        <f t="shared" si="1"/>
        <v>103</v>
      </c>
      <c r="V11" s="1323" t="s">
        <v>70</v>
      </c>
      <c r="W11" s="1324">
        <f t="shared" si="2"/>
        <v>109</v>
      </c>
      <c r="X11" s="1325"/>
      <c r="Y11" s="3620"/>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65"/>
      <c r="Q12" s="302">
        <f t="shared" si="6"/>
        <v>111</v>
      </c>
      <c r="R12" s="1323" t="s">
        <v>70</v>
      </c>
      <c r="S12" s="1324">
        <f t="shared" si="0"/>
        <v>99</v>
      </c>
      <c r="T12" s="1323" t="s">
        <v>70</v>
      </c>
      <c r="U12" s="1324">
        <f t="shared" si="1"/>
        <v>98</v>
      </c>
      <c r="V12" s="1323" t="s">
        <v>70</v>
      </c>
      <c r="W12" s="1324">
        <f t="shared" si="2"/>
        <v>97</v>
      </c>
      <c r="X12" s="1325"/>
      <c r="Y12" s="3620"/>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65"/>
      <c r="Q13" s="302">
        <f t="shared" si="6"/>
        <v>111</v>
      </c>
      <c r="R13" s="1323" t="s">
        <v>70</v>
      </c>
      <c r="S13" s="1324">
        <f t="shared" si="0"/>
        <v>98</v>
      </c>
      <c r="T13" s="1323" t="s">
        <v>70</v>
      </c>
      <c r="U13" s="1324">
        <f t="shared" si="1"/>
        <v>96</v>
      </c>
      <c r="V13" s="1323" t="s">
        <v>70</v>
      </c>
      <c r="W13" s="1324">
        <f t="shared" si="2"/>
        <v>94</v>
      </c>
      <c r="X13" s="1325"/>
      <c r="Y13" s="3620"/>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65"/>
      <c r="Q14" s="302">
        <f t="shared" si="6"/>
        <v>111</v>
      </c>
      <c r="R14" s="1323" t="s">
        <v>70</v>
      </c>
      <c r="S14" s="1324">
        <f t="shared" si="0"/>
        <v>97</v>
      </c>
      <c r="T14" s="1323" t="s">
        <v>70</v>
      </c>
      <c r="U14" s="1324">
        <f t="shared" si="1"/>
        <v>94</v>
      </c>
      <c r="V14" s="1323" t="s">
        <v>70</v>
      </c>
      <c r="W14" s="1324">
        <f t="shared" si="2"/>
        <v>91</v>
      </c>
      <c r="X14" s="1325"/>
      <c r="Y14" s="3620"/>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80" t="s">
        <v>577</v>
      </c>
      <c r="Q15" s="1327" t="str">
        <f t="shared" si="6"/>
        <v>产业集聚程度</v>
      </c>
      <c r="R15" s="1328" t="s">
        <v>70</v>
      </c>
      <c r="S15" s="1329">
        <f t="shared" si="0"/>
        <v>100</v>
      </c>
      <c r="T15" s="1328" t="s">
        <v>70</v>
      </c>
      <c r="U15" s="1329">
        <f t="shared" si="1"/>
        <v>100</v>
      </c>
      <c r="V15" s="1328" t="s">
        <v>70</v>
      </c>
      <c r="W15" s="1329">
        <f t="shared" si="2"/>
        <v>100</v>
      </c>
      <c r="X15" s="1322"/>
      <c r="Y15" s="3680"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81"/>
      <c r="Q16" s="1327"/>
      <c r="R16" s="1328"/>
      <c r="S16" s="1329"/>
      <c r="T16" s="1328"/>
      <c r="U16" s="1329"/>
      <c r="V16" s="1328"/>
      <c r="W16" s="1329"/>
      <c r="X16" s="1322"/>
      <c r="Y16" s="3681"/>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81"/>
      <c r="Q17" s="1327" t="str">
        <f>B17</f>
        <v>交通便捷度</v>
      </c>
      <c r="R17" s="1328" t="s">
        <v>70</v>
      </c>
      <c r="S17" s="1329">
        <f>F17</f>
        <v>96</v>
      </c>
      <c r="T17" s="1328" t="s">
        <v>70</v>
      </c>
      <c r="U17" s="1329">
        <f>H17</f>
        <v>102</v>
      </c>
      <c r="V17" s="1328" t="s">
        <v>70</v>
      </c>
      <c r="W17" s="1329">
        <f>J17</f>
        <v>98</v>
      </c>
      <c r="X17" s="1322"/>
      <c r="Y17" s="3681"/>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81"/>
      <c r="Q18" s="1327"/>
      <c r="R18" s="1328"/>
      <c r="S18" s="1329"/>
      <c r="T18" s="1328"/>
      <c r="U18" s="1329"/>
      <c r="V18" s="1328"/>
      <c r="W18" s="1329"/>
      <c r="X18" s="1322"/>
      <c r="Y18" s="3681"/>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81"/>
      <c r="Q19" s="1327" t="str">
        <f t="shared" ref="Q19:Q33" si="8">B19</f>
        <v>区域土地利用方向</v>
      </c>
      <c r="R19" s="1328" t="s">
        <v>70</v>
      </c>
      <c r="S19" s="1329">
        <f>F19</f>
        <v>102</v>
      </c>
      <c r="T19" s="1328" t="s">
        <v>70</v>
      </c>
      <c r="U19" s="1329">
        <f>H19</f>
        <v>98</v>
      </c>
      <c r="V19" s="1328" t="s">
        <v>70</v>
      </c>
      <c r="W19" s="1329">
        <f>J19</f>
        <v>96</v>
      </c>
      <c r="X19" s="1322"/>
      <c r="Y19" s="3681"/>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81"/>
      <c r="Q20" s="1495"/>
      <c r="R20" s="1328"/>
      <c r="S20" s="1329"/>
      <c r="T20" s="1328"/>
      <c r="U20" s="1329"/>
      <c r="V20" s="1328"/>
      <c r="W20" s="1329"/>
      <c r="X20" s="1494"/>
      <c r="Y20" s="3681"/>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81"/>
      <c r="Q21" s="1327" t="str">
        <f t="shared" si="8"/>
        <v>环境状况</v>
      </c>
      <c r="R21" s="1328" t="s">
        <v>70</v>
      </c>
      <c r="S21" s="1329">
        <f>F21</f>
        <v>96</v>
      </c>
      <c r="T21" s="1328" t="s">
        <v>70</v>
      </c>
      <c r="U21" s="1329">
        <f>H21</f>
        <v>102</v>
      </c>
      <c r="V21" s="1328" t="s">
        <v>70</v>
      </c>
      <c r="W21" s="1329">
        <f>J21</f>
        <v>98</v>
      </c>
      <c r="X21" s="1322"/>
      <c r="Y21" s="3681"/>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81"/>
      <c r="Q22" s="1327"/>
      <c r="R22" s="1328"/>
      <c r="S22" s="1329"/>
      <c r="T22" s="1328"/>
      <c r="U22" s="1329"/>
      <c r="V22" s="1328"/>
      <c r="W22" s="1329"/>
      <c r="X22" s="1322"/>
      <c r="Y22" s="3681"/>
      <c r="Z22" s="1330"/>
      <c r="AA22" s="1331">
        <v>1</v>
      </c>
      <c r="AB22" s="1331">
        <v>1</v>
      </c>
      <c r="AC22" s="1331">
        <v>1</v>
      </c>
    </row>
    <row r="23" spans="1:29" s="412" customFormat="1" ht="40.5">
      <c r="A23" s="996"/>
      <c r="B23" s="1040"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81"/>
      <c r="Q23" s="302" t="str">
        <f t="shared" si="8"/>
        <v>公共配套设施</v>
      </c>
      <c r="R23" s="1323" t="s">
        <v>70</v>
      </c>
      <c r="S23" s="1324">
        <f>F23</f>
        <v>96</v>
      </c>
      <c r="T23" s="1323" t="s">
        <v>70</v>
      </c>
      <c r="U23" s="1324">
        <f>H23</f>
        <v>98</v>
      </c>
      <c r="V23" s="1323" t="s">
        <v>70</v>
      </c>
      <c r="W23" s="1324">
        <f>J23</f>
        <v>102</v>
      </c>
      <c r="X23" s="1325"/>
      <c r="Y23" s="3681"/>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81"/>
      <c r="Q24" s="302"/>
      <c r="R24" s="1323"/>
      <c r="S24" s="1324"/>
      <c r="T24" s="1323"/>
      <c r="U24" s="1324"/>
      <c r="V24" s="1323"/>
      <c r="W24" s="1324"/>
      <c r="X24" s="1325"/>
      <c r="Y24" s="3681"/>
      <c r="Z24" s="350"/>
      <c r="AA24" s="1326">
        <v>1</v>
      </c>
      <c r="AB24" s="1326">
        <v>1</v>
      </c>
      <c r="AC24" s="1326">
        <v>1</v>
      </c>
    </row>
    <row r="25" spans="1:29" s="412" customFormat="1" ht="40.5">
      <c r="A25" s="996"/>
      <c r="B25" s="1040"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81"/>
      <c r="Q25" s="2780" t="str">
        <f t="shared" ref="Q25" si="9">B25</f>
        <v>基础设施水平</v>
      </c>
      <c r="R25" s="1323" t="s">
        <v>70</v>
      </c>
      <c r="S25" s="1324">
        <f>F25</f>
        <v>99</v>
      </c>
      <c r="T25" s="1323" t="s">
        <v>70</v>
      </c>
      <c r="U25" s="1324">
        <f>H25</f>
        <v>98</v>
      </c>
      <c r="V25" s="1323" t="s">
        <v>70</v>
      </c>
      <c r="W25" s="1324">
        <f>J25</f>
        <v>97</v>
      </c>
      <c r="X25" s="1325"/>
      <c r="Y25" s="3681"/>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81"/>
      <c r="Q26" s="2780"/>
      <c r="R26" s="1323"/>
      <c r="S26" s="1324"/>
      <c r="T26" s="1323"/>
      <c r="U26" s="1324"/>
      <c r="V26" s="1323"/>
      <c r="W26" s="1324"/>
      <c r="X26" s="1325"/>
      <c r="Y26" s="3681"/>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81"/>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81"/>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81"/>
      <c r="Q28" s="1327" t="str">
        <f t="shared" si="8"/>
        <v>毗邻道路的类型与等级</v>
      </c>
      <c r="R28" s="1328" t="s">
        <v>70</v>
      </c>
      <c r="S28" s="1329">
        <f t="shared" si="10"/>
        <v>100</v>
      </c>
      <c r="T28" s="1328" t="s">
        <v>70</v>
      </c>
      <c r="U28" s="1329">
        <f t="shared" si="11"/>
        <v>100</v>
      </c>
      <c r="V28" s="1328" t="s">
        <v>70</v>
      </c>
      <c r="W28" s="1329">
        <f t="shared" si="12"/>
        <v>100</v>
      </c>
      <c r="X28" s="1322"/>
      <c r="Y28" s="3681"/>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81"/>
      <c r="Q29" s="1327"/>
      <c r="R29" s="1328"/>
      <c r="S29" s="1329"/>
      <c r="T29" s="1328"/>
      <c r="U29" s="1329"/>
      <c r="V29" s="1328"/>
      <c r="W29" s="1329"/>
      <c r="X29" s="1322"/>
      <c r="Y29" s="3681"/>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81"/>
      <c r="Q30" s="1327" t="str">
        <f t="shared" si="8"/>
        <v>土地级别</v>
      </c>
      <c r="R30" s="1328" t="s">
        <v>70</v>
      </c>
      <c r="S30" s="1329">
        <f t="shared" si="10"/>
        <v>100</v>
      </c>
      <c r="T30" s="1328" t="s">
        <v>70</v>
      </c>
      <c r="U30" s="1329">
        <f t="shared" si="11"/>
        <v>105</v>
      </c>
      <c r="V30" s="1328" t="s">
        <v>70</v>
      </c>
      <c r="W30" s="1329">
        <f t="shared" si="12"/>
        <v>105</v>
      </c>
      <c r="X30" s="1322"/>
      <c r="Y30" s="3681"/>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81"/>
      <c r="Q31" s="1327">
        <f t="shared" si="8"/>
        <v>111</v>
      </c>
      <c r="R31" s="1328" t="s">
        <v>70</v>
      </c>
      <c r="S31" s="1329">
        <f t="shared" si="10"/>
        <v>99</v>
      </c>
      <c r="T31" s="1328" t="s">
        <v>70</v>
      </c>
      <c r="U31" s="1329">
        <f t="shared" si="11"/>
        <v>98</v>
      </c>
      <c r="V31" s="1328" t="s">
        <v>70</v>
      </c>
      <c r="W31" s="1329">
        <f t="shared" si="12"/>
        <v>97</v>
      </c>
      <c r="X31" s="1322"/>
      <c r="Y31" s="3681"/>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82" t="s">
        <v>582</v>
      </c>
      <c r="Q32" s="1327">
        <f t="shared" si="8"/>
        <v>111</v>
      </c>
      <c r="R32" s="1328" t="s">
        <v>70</v>
      </c>
      <c r="S32" s="1329">
        <f t="shared" si="10"/>
        <v>98</v>
      </c>
      <c r="T32" s="1328" t="s">
        <v>70</v>
      </c>
      <c r="U32" s="1329">
        <f t="shared" si="11"/>
        <v>96</v>
      </c>
      <c r="V32" s="1328" t="s">
        <v>70</v>
      </c>
      <c r="W32" s="1329">
        <f t="shared" si="12"/>
        <v>94</v>
      </c>
      <c r="X32" s="1322"/>
      <c r="Y32" s="3683"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83"/>
      <c r="Q33" s="1327">
        <f t="shared" si="8"/>
        <v>111</v>
      </c>
      <c r="R33" s="1333" t="s">
        <v>70</v>
      </c>
      <c r="S33" s="1334">
        <f t="shared" si="10"/>
        <v>97</v>
      </c>
      <c r="T33" s="1333" t="s">
        <v>70</v>
      </c>
      <c r="U33" s="1334">
        <f t="shared" si="11"/>
        <v>94</v>
      </c>
      <c r="V33" s="1333" t="s">
        <v>70</v>
      </c>
      <c r="W33" s="1334">
        <f t="shared" si="12"/>
        <v>91</v>
      </c>
      <c r="X33" s="1335"/>
      <c r="Y33" s="3683"/>
      <c r="Z33" s="1336">
        <f t="shared" si="13"/>
        <v>111</v>
      </c>
      <c r="AA33" s="1331">
        <f t="shared" si="3"/>
        <v>1.0309278350515463</v>
      </c>
      <c r="AB33" s="1331">
        <f t="shared" si="4"/>
        <v>1.0638297872340425</v>
      </c>
      <c r="AC33" s="1331">
        <f t="shared" si="5"/>
        <v>1.098901098901099</v>
      </c>
    </row>
    <row r="34" spans="1:29" ht="15">
      <c r="A34" s="788" t="s">
        <v>3197</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83"/>
      <c r="Q34" s="1327" t="str">
        <f>B34</f>
        <v>宗地面积</v>
      </c>
      <c r="R34" s="1328" t="s">
        <v>70</v>
      </c>
      <c r="S34" s="1329">
        <f t="shared" si="10"/>
        <v>105</v>
      </c>
      <c r="T34" s="1328" t="s">
        <v>70</v>
      </c>
      <c r="U34" s="1329">
        <f t="shared" si="11"/>
        <v>105</v>
      </c>
      <c r="V34" s="1328" t="s">
        <v>70</v>
      </c>
      <c r="W34" s="1329">
        <f t="shared" si="12"/>
        <v>100</v>
      </c>
      <c r="X34" s="1322"/>
      <c r="Y34" s="3683"/>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83"/>
      <c r="Q35" s="1327" t="str">
        <f t="shared" ref="Q35:Q40" si="14">B35</f>
        <v>宗地形状</v>
      </c>
      <c r="R35" s="1328" t="s">
        <v>70</v>
      </c>
      <c r="S35" s="1329">
        <f t="shared" si="10"/>
        <v>100</v>
      </c>
      <c r="T35" s="1328" t="s">
        <v>70</v>
      </c>
      <c r="U35" s="1329">
        <f t="shared" si="11"/>
        <v>98</v>
      </c>
      <c r="V35" s="1328" t="s">
        <v>70</v>
      </c>
      <c r="W35" s="1329">
        <f t="shared" si="12"/>
        <v>100</v>
      </c>
      <c r="X35" s="1322"/>
      <c r="Y35" s="3683"/>
      <c r="Z35" s="1330" t="str">
        <f t="shared" si="13"/>
        <v>宗地形状</v>
      </c>
      <c r="AA35" s="1331">
        <f t="shared" si="3"/>
        <v>1</v>
      </c>
      <c r="AB35" s="1331">
        <f t="shared" si="4"/>
        <v>1.0204081632653061</v>
      </c>
      <c r="AC35" s="1331">
        <f t="shared" si="5"/>
        <v>1</v>
      </c>
    </row>
    <row r="36" spans="1:29" s="412" customFormat="1" ht="15">
      <c r="A36" s="820"/>
      <c r="B36" s="2645" t="s">
        <v>2897</v>
      </c>
      <c r="C36" s="1047" t="s">
        <v>2170</v>
      </c>
      <c r="D36" s="430">
        <v>100</v>
      </c>
      <c r="E36" s="1047" t="s">
        <v>2891</v>
      </c>
      <c r="F36" s="783">
        <f>SUMIF(112:112,E36,113:113)-SUMIF(112:112,C36,113:113)+100</f>
        <v>98</v>
      </c>
      <c r="G36" s="1047" t="s">
        <v>2891</v>
      </c>
      <c r="H36" s="783">
        <f>SUMIF(112:112,G36,113:113)-SUMIF(112:112,C36,113:113)+100</f>
        <v>98</v>
      </c>
      <c r="I36" s="1047" t="s">
        <v>2891</v>
      </c>
      <c r="J36" s="783">
        <f>SUMIF(112:112,I36,113:113)-SUMIF(112:112,C36,113:113)+100</f>
        <v>98</v>
      </c>
      <c r="K36" s="959">
        <v>2</v>
      </c>
      <c r="L36" s="2377"/>
      <c r="M36" s="2378"/>
      <c r="N36" s="2378"/>
      <c r="O36" s="2379"/>
      <c r="P36" s="3683"/>
      <c r="Q36" s="1327" t="str">
        <f t="shared" si="14"/>
        <v>宗地开发程度</v>
      </c>
      <c r="R36" s="1323" t="s">
        <v>70</v>
      </c>
      <c r="S36" s="1324">
        <f t="shared" si="10"/>
        <v>98</v>
      </c>
      <c r="T36" s="1323" t="s">
        <v>70</v>
      </c>
      <c r="U36" s="1324">
        <f t="shared" si="11"/>
        <v>98</v>
      </c>
      <c r="V36" s="1323" t="s">
        <v>70</v>
      </c>
      <c r="W36" s="1324">
        <f t="shared" si="12"/>
        <v>98</v>
      </c>
      <c r="X36" s="1325"/>
      <c r="Y36" s="3683"/>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83" t="s">
        <v>742</v>
      </c>
      <c r="Q37" s="1327" t="str">
        <f t="shared" si="14"/>
        <v>工程地质条件</v>
      </c>
      <c r="R37" s="1328" t="s">
        <v>70</v>
      </c>
      <c r="S37" s="1329">
        <f t="shared" si="10"/>
        <v>100</v>
      </c>
      <c r="T37" s="1328" t="s">
        <v>70</v>
      </c>
      <c r="U37" s="1329">
        <f t="shared" si="11"/>
        <v>97</v>
      </c>
      <c r="V37" s="1328" t="s">
        <v>70</v>
      </c>
      <c r="W37" s="1329">
        <f t="shared" si="12"/>
        <v>100</v>
      </c>
      <c r="X37" s="1322"/>
      <c r="Y37" s="3683"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83"/>
      <c r="Q38" s="1327">
        <f t="shared" si="14"/>
        <v>111</v>
      </c>
      <c r="R38" s="1328" t="s">
        <v>70</v>
      </c>
      <c r="S38" s="1329">
        <f t="shared" si="10"/>
        <v>99</v>
      </c>
      <c r="T38" s="1328" t="s">
        <v>70</v>
      </c>
      <c r="U38" s="1329">
        <f t="shared" si="11"/>
        <v>98</v>
      </c>
      <c r="V38" s="1328" t="s">
        <v>70</v>
      </c>
      <c r="W38" s="1329">
        <f t="shared" si="12"/>
        <v>97</v>
      </c>
      <c r="X38" s="1322"/>
      <c r="Y38" s="3683"/>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83"/>
      <c r="Q39" s="1327">
        <f t="shared" si="14"/>
        <v>111</v>
      </c>
      <c r="R39" s="1328" t="s">
        <v>70</v>
      </c>
      <c r="S39" s="1329">
        <f t="shared" si="10"/>
        <v>98</v>
      </c>
      <c r="T39" s="1328" t="s">
        <v>70</v>
      </c>
      <c r="U39" s="1329">
        <f t="shared" si="11"/>
        <v>96</v>
      </c>
      <c r="V39" s="1328" t="s">
        <v>70</v>
      </c>
      <c r="W39" s="1329">
        <f t="shared" si="12"/>
        <v>94</v>
      </c>
      <c r="X39" s="1322"/>
      <c r="Y39" s="3683"/>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83"/>
      <c r="Q40" s="1327">
        <f t="shared" si="14"/>
        <v>111</v>
      </c>
      <c r="R40" s="1333" t="s">
        <v>70</v>
      </c>
      <c r="S40" s="1334">
        <f t="shared" si="10"/>
        <v>97</v>
      </c>
      <c r="T40" s="1333" t="s">
        <v>70</v>
      </c>
      <c r="U40" s="1334">
        <f t="shared" si="11"/>
        <v>94</v>
      </c>
      <c r="V40" s="1333" t="s">
        <v>70</v>
      </c>
      <c r="W40" s="1334">
        <f t="shared" si="12"/>
        <v>91</v>
      </c>
      <c r="X40" s="1335"/>
      <c r="Y40" s="3683"/>
      <c r="Z40" s="1336">
        <f t="shared" si="13"/>
        <v>111</v>
      </c>
      <c r="AA40" s="1331">
        <f t="shared" si="3"/>
        <v>1.0309278350515463</v>
      </c>
      <c r="AB40" s="1331">
        <f t="shared" si="4"/>
        <v>1.0638297872340425</v>
      </c>
      <c r="AC40" s="1331">
        <f t="shared" si="5"/>
        <v>1.098901098901099</v>
      </c>
    </row>
    <row r="41" spans="1:29" ht="15">
      <c r="A41" s="826" t="s">
        <v>707</v>
      </c>
      <c r="B41" s="207" t="s">
        <v>2799</v>
      </c>
      <c r="C41" s="1096" t="s">
        <v>23</v>
      </c>
      <c r="D41" s="828"/>
      <c r="E41" s="829">
        <v>5000</v>
      </c>
      <c r="F41" s="830"/>
      <c r="G41" s="831">
        <v>4250</v>
      </c>
      <c r="H41" s="832"/>
      <c r="I41" s="829">
        <v>5100</v>
      </c>
      <c r="J41" s="832"/>
      <c r="K41" s="1404"/>
      <c r="L41" s="2388"/>
      <c r="M41" s="2376"/>
      <c r="N41" s="2376"/>
      <c r="O41" s="2389"/>
      <c r="P41" s="3665" t="str">
        <f>A41</f>
        <v>成交单价</v>
      </c>
      <c r="Q41" s="3665"/>
      <c r="R41" s="3678">
        <f>E41</f>
        <v>5000</v>
      </c>
      <c r="S41" s="3678"/>
      <c r="T41" s="3678">
        <f>G41</f>
        <v>4250</v>
      </c>
      <c r="U41" s="3678"/>
      <c r="V41" s="3678">
        <f>I41</f>
        <v>5100</v>
      </c>
      <c r="W41" s="3678"/>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65" t="str">
        <f>A42</f>
        <v>比较价值（元/平方米）</v>
      </c>
      <c r="Q42" s="3665"/>
      <c r="R42" s="3684">
        <f>ROUND(PRODUCT(R41,AA7:AA40),0)</f>
        <v>6288</v>
      </c>
      <c r="S42" s="3684"/>
      <c r="T42" s="3684" t="e">
        <f>ROUND(PRODUCT(T41,AB7:AB40),0)</f>
        <v>#DIV/0!</v>
      </c>
      <c r="U42" s="3684"/>
      <c r="V42" s="3684">
        <f>ROUND(PRODUCT(V41,AC7:AC40),0)</f>
        <v>9142</v>
      </c>
      <c r="W42" s="3684"/>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85" t="str">
        <f>A43</f>
        <v>估价对象XX用房的比较价值（楼面单价，元/平方米）</v>
      </c>
      <c r="Q43" s="3686"/>
      <c r="R43" s="3687" t="e">
        <f>ROUND(AVERAGE(R42:V42),0)</f>
        <v>#DIV/0!</v>
      </c>
      <c r="S43" s="3687"/>
      <c r="T43" s="3687"/>
      <c r="U43" s="3687"/>
      <c r="V43" s="3687"/>
      <c r="W43" s="3687"/>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88" t="s">
        <v>2684</v>
      </c>
      <c r="H50" s="3689"/>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144934.76999999999</v>
      </c>
      <c r="F51" s="1105" t="e">
        <f t="shared" ref="F51:F60" si="15">ROUND(B51*E51/10000,0)</f>
        <v>#DIV/0!</v>
      </c>
      <c r="G51" s="3690"/>
      <c r="H51" s="3691"/>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92"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92"/>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92"/>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92"/>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24804.11</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2017-9-1</v>
      </c>
      <c r="D63" s="1313">
        <f>EDATE(C63,-3)</f>
        <v>42887</v>
      </c>
      <c r="E63" s="1313">
        <f>EDATE(D63,-3)</f>
        <v>42795</v>
      </c>
      <c r="F63" s="1313">
        <f t="shared" ref="F63:O63" si="18">EDATE(E63,-3)</f>
        <v>42705</v>
      </c>
      <c r="G63" s="1313">
        <f t="shared" si="18"/>
        <v>42614</v>
      </c>
      <c r="H63" s="1313">
        <f t="shared" si="18"/>
        <v>42522</v>
      </c>
      <c r="I63" s="1313">
        <f t="shared" si="18"/>
        <v>42430</v>
      </c>
      <c r="J63" s="1313">
        <f t="shared" si="18"/>
        <v>42339</v>
      </c>
      <c r="K63" s="1313">
        <f t="shared" si="18"/>
        <v>42248</v>
      </c>
      <c r="L63" s="1313">
        <f t="shared" si="18"/>
        <v>42156</v>
      </c>
      <c r="M63" s="1313">
        <f t="shared" si="18"/>
        <v>42064</v>
      </c>
      <c r="N63" s="1313">
        <f t="shared" si="18"/>
        <v>41974</v>
      </c>
      <c r="O63" s="1313">
        <f t="shared" si="18"/>
        <v>41883</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3194</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3067</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3069</v>
      </c>
      <c r="C93" s="213" t="s">
        <v>3055</v>
      </c>
      <c r="D93" s="213" t="s">
        <v>3056</v>
      </c>
      <c r="E93" s="213" t="s">
        <v>3057</v>
      </c>
      <c r="F93" s="213" t="s">
        <v>3058</v>
      </c>
      <c r="G93" s="213" t="s">
        <v>3059</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2898</v>
      </c>
      <c r="C112" s="139" t="s">
        <v>2899</v>
      </c>
      <c r="D112" s="139" t="s">
        <v>2900</v>
      </c>
      <c r="E112" s="139" t="s">
        <v>2893</v>
      </c>
      <c r="F112" s="139" t="s">
        <v>2894</v>
      </c>
      <c r="G112" s="139" t="s">
        <v>2895</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2901</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3295</v>
      </c>
      <c r="S1" s="3113" t="s">
        <v>3296</v>
      </c>
      <c r="T1" s="3113" t="s">
        <v>3297</v>
      </c>
      <c r="U1" s="3113" t="s">
        <v>3298</v>
      </c>
      <c r="V1" s="3113" t="s">
        <v>3299</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2903</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800"/>
      <c r="B4" s="3801"/>
      <c r="C4" s="3801"/>
      <c r="D4" s="3802"/>
      <c r="E4" s="3802"/>
      <c r="F4" s="3802"/>
      <c r="G4" s="3802"/>
      <c r="H4" s="3802"/>
      <c r="I4" s="3802"/>
      <c r="J4" s="3803"/>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87"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3300</v>
      </c>
      <c r="X7" s="3124" t="str">
        <f>G2</f>
        <v>八级</v>
      </c>
      <c r="Y7" s="3124" t="s">
        <v>3301</v>
      </c>
      <c r="Z7" s="3125">
        <f>G3</f>
        <v>5.84</v>
      </c>
      <c r="AA7" s="3126"/>
      <c r="AB7" s="3126"/>
      <c r="AC7" s="3127"/>
      <c r="AD7" s="3128"/>
      <c r="AE7" s="3128"/>
      <c r="AF7" s="3128"/>
      <c r="AG7" s="3128"/>
      <c r="AH7" s="3128"/>
      <c r="AI7" s="3128"/>
      <c r="AJ7" s="3129"/>
    </row>
    <row r="8" spans="1:36" ht="24">
      <c r="A8" s="3788"/>
      <c r="B8" s="1653" t="s">
        <v>2151</v>
      </c>
      <c r="C8" s="1810" t="s">
        <v>2886</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97" t="s">
        <v>3302</v>
      </c>
      <c r="X8" s="3798"/>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88"/>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99" t="s">
        <v>3303</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88"/>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99"/>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88"/>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99" t="s">
        <v>3304</v>
      </c>
      <c r="X11" s="3135" t="s">
        <v>3301</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87"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99"/>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04"/>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99"/>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04"/>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05"/>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87"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88"/>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43006</v>
      </c>
      <c r="H19" s="3060" t="s">
        <v>3366</v>
      </c>
      <c r="I19" s="1718" t="str">
        <f>IF(H19="季度增幅（自定义）",SUMIF(N21:N24,E2,O21:O24),"")</f>
        <v/>
      </c>
      <c r="J19" s="1711"/>
      <c r="K19" s="2416"/>
      <c r="L19" s="3288" t="s">
        <v>3364</v>
      </c>
      <c r="M19" s="3290">
        <f>ROUND(SUMIF(地价!B2:F2,E2,地价!B19:F19),0)</f>
        <v>258</v>
      </c>
      <c r="N19" s="3286" t="s">
        <v>2219</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3365</v>
      </c>
      <c r="M20" s="3291">
        <f>ROUND(SUMPRODUCT((地价!A4:A19=YEAR(G19)&amp;"-"&amp;ROUNDUP(MONTH(G19)/3,0))*(地价!B2:F2=E2)*(地价!B4:F19)),0)</f>
        <v>0</v>
      </c>
      <c r="N20" s="3287" t="s">
        <v>3188</v>
      </c>
      <c r="O20" s="3061" t="s">
        <v>3189</v>
      </c>
      <c r="P20" s="3062" t="s">
        <v>3198</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2887</v>
      </c>
      <c r="C21" s="1779">
        <f>IF(B21="容积率修正",IF(G3&lt;=10,D22,J22),C23)</f>
        <v>1.0072000000000001</v>
      </c>
      <c r="D21" s="1780"/>
      <c r="E21" s="1780"/>
      <c r="F21" s="1780"/>
      <c r="G21" s="1780"/>
      <c r="H21" s="1780"/>
      <c r="I21" s="1780"/>
      <c r="J21" s="1781"/>
      <c r="K21" s="2416"/>
      <c r="N21" s="3063" t="s">
        <v>3190</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3191</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3192</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2884</v>
      </c>
      <c r="G47" s="1522" t="s">
        <v>2198</v>
      </c>
      <c r="H47" s="2640" t="s">
        <v>2885</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2881</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2882</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2885</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2881</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2882</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2885</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2882</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2883</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2885</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2882</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89" t="s">
        <v>2106</v>
      </c>
      <c r="B90" s="3789"/>
      <c r="C90" s="3789"/>
      <c r="D90" s="3789"/>
      <c r="E90" s="3789"/>
      <c r="F90" s="3789"/>
      <c r="G90" s="3789"/>
      <c r="H90" s="3789"/>
      <c r="I90" s="3789"/>
      <c r="J90" s="3789"/>
      <c r="K90" s="2643"/>
      <c r="L90" s="2643"/>
      <c r="M90" s="2643"/>
      <c r="N90" s="2643"/>
    </row>
    <row r="91" spans="1:37">
      <c r="A91" s="3791" t="s">
        <v>73</v>
      </c>
      <c r="B91" s="3791" t="s">
        <v>2107</v>
      </c>
      <c r="C91" s="1608" t="s">
        <v>2108</v>
      </c>
      <c r="D91" s="1609"/>
      <c r="E91" s="1609"/>
      <c r="F91" s="1609"/>
      <c r="G91" s="1609"/>
      <c r="H91" s="1609"/>
      <c r="I91" s="1609"/>
      <c r="J91" s="1610"/>
      <c r="K91" s="1598"/>
      <c r="L91" s="1598"/>
      <c r="M91" s="1598"/>
      <c r="N91" s="1598"/>
    </row>
    <row r="92" spans="1:37">
      <c r="A92" s="3791"/>
      <c r="B92" s="3791"/>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792"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93"/>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93"/>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93"/>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93"/>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93"/>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93"/>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794"/>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92"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793"/>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793"/>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793"/>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793"/>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793"/>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793"/>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793"/>
      <c r="B108" s="3795"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794"/>
      <c r="B109" s="3796"/>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90" t="s">
        <v>2114</v>
      </c>
      <c r="B110" s="3790"/>
      <c r="C110" s="3790"/>
      <c r="D110" s="3790"/>
      <c r="E110" s="3790"/>
      <c r="F110" s="3790"/>
      <c r="G110" s="3790"/>
      <c r="H110" s="3790"/>
      <c r="I110" s="3790"/>
      <c r="J110" s="3790"/>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791" t="s">
        <v>1543</v>
      </c>
      <c r="B18" s="1594" t="s">
        <v>1920</v>
      </c>
      <c r="C18" s="1595" t="s">
        <v>1921</v>
      </c>
      <c r="D18" s="1596"/>
      <c r="E18" s="1594">
        <v>1</v>
      </c>
      <c r="F18" s="1597" t="s">
        <v>1922</v>
      </c>
      <c r="G18" s="1598"/>
      <c r="H18" s="1590"/>
      <c r="I18" s="1590"/>
    </row>
    <row r="19" spans="1:9" s="1599" customFormat="1" ht="19.5" customHeight="1">
      <c r="A19" s="3791"/>
      <c r="B19" s="3791" t="s">
        <v>1923</v>
      </c>
      <c r="C19" s="1595" t="s">
        <v>1924</v>
      </c>
      <c r="D19" s="1596"/>
      <c r="E19" s="1594">
        <v>0.9</v>
      </c>
      <c r="F19" s="1597" t="s">
        <v>1925</v>
      </c>
      <c r="G19" s="1598"/>
      <c r="H19" s="1590"/>
      <c r="I19" s="1590"/>
    </row>
    <row r="20" spans="1:9" s="1599" customFormat="1" ht="19.5" customHeight="1">
      <c r="A20" s="3791"/>
      <c r="B20" s="3791"/>
      <c r="C20" s="1595" t="s">
        <v>1926</v>
      </c>
      <c r="D20" s="1596"/>
      <c r="E20" s="1594">
        <v>1.1000000000000001</v>
      </c>
      <c r="F20" s="1597" t="s">
        <v>1927</v>
      </c>
      <c r="G20" s="1598"/>
      <c r="H20" s="1590"/>
      <c r="I20" s="1590"/>
    </row>
    <row r="21" spans="1:9" s="1599" customFormat="1" ht="19.5" customHeight="1">
      <c r="A21" s="3791"/>
      <c r="B21" s="3791"/>
      <c r="C21" s="1595" t="s">
        <v>1928</v>
      </c>
      <c r="D21" s="1596"/>
      <c r="E21" s="1594">
        <v>0.8</v>
      </c>
      <c r="F21" s="1597" t="s">
        <v>1929</v>
      </c>
      <c r="G21" s="1598"/>
      <c r="H21" s="1590"/>
      <c r="I21" s="1590"/>
    </row>
    <row r="22" spans="1:9" s="1599" customFormat="1" ht="19.5" customHeight="1">
      <c r="A22" s="3791"/>
      <c r="B22" s="3791"/>
      <c r="C22" s="1595" t="s">
        <v>1930</v>
      </c>
      <c r="D22" s="1596"/>
      <c r="E22" s="1594">
        <v>0.5</v>
      </c>
      <c r="F22" s="1597"/>
      <c r="G22" s="1598"/>
      <c r="H22" s="1590"/>
      <c r="I22" s="1590"/>
    </row>
    <row r="23" spans="1:9" s="1599" customFormat="1" ht="19.5" customHeight="1">
      <c r="A23" s="3791" t="s">
        <v>1544</v>
      </c>
      <c r="B23" s="1594" t="s">
        <v>1920</v>
      </c>
      <c r="C23" s="1595" t="s">
        <v>1931</v>
      </c>
      <c r="D23" s="1596"/>
      <c r="E23" s="1594">
        <v>1</v>
      </c>
      <c r="F23" s="1597" t="s">
        <v>1932</v>
      </c>
      <c r="G23" s="1598"/>
      <c r="H23" s="1590"/>
      <c r="I23" s="1590"/>
    </row>
    <row r="24" spans="1:9" s="1599" customFormat="1" ht="19.5" customHeight="1">
      <c r="A24" s="3791"/>
      <c r="B24" s="3791" t="s">
        <v>1923</v>
      </c>
      <c r="C24" s="1595" t="s">
        <v>1933</v>
      </c>
      <c r="D24" s="1596"/>
      <c r="E24" s="1594">
        <v>0.5</v>
      </c>
      <c r="F24" s="1597"/>
      <c r="G24" s="1598"/>
      <c r="H24" s="1590"/>
      <c r="I24" s="1590"/>
    </row>
    <row r="25" spans="1:9" s="1599" customFormat="1" ht="19.5" customHeight="1">
      <c r="A25" s="3791"/>
      <c r="B25" s="3791"/>
      <c r="C25" s="1595" t="s">
        <v>1934</v>
      </c>
      <c r="D25" s="1596"/>
      <c r="E25" s="1594">
        <v>1.1000000000000001</v>
      </c>
      <c r="F25" s="1597"/>
      <c r="G25" s="1598"/>
      <c r="H25" s="1590"/>
      <c r="I25" s="1590"/>
    </row>
    <row r="26" spans="1:9" s="1599" customFormat="1" ht="19.5" customHeight="1">
      <c r="A26" s="3791"/>
      <c r="B26" s="3791"/>
      <c r="C26" s="1595" t="s">
        <v>1935</v>
      </c>
      <c r="D26" s="1596"/>
      <c r="E26" s="1594">
        <v>1.1000000000000001</v>
      </c>
      <c r="F26" s="1597"/>
      <c r="G26" s="1598"/>
      <c r="H26" s="1590"/>
      <c r="I26" s="1590"/>
    </row>
    <row r="27" spans="1:9" s="1599" customFormat="1" ht="19.5" customHeight="1">
      <c r="A27" s="3791"/>
      <c r="B27" s="3791"/>
      <c r="C27" s="1595" t="s">
        <v>1936</v>
      </c>
      <c r="D27" s="1596"/>
      <c r="E27" s="1594">
        <v>0.9</v>
      </c>
      <c r="F27" s="1597" t="s">
        <v>1937</v>
      </c>
      <c r="G27" s="1598"/>
      <c r="H27" s="1590"/>
      <c r="I27" s="1590"/>
    </row>
    <row r="28" spans="1:9" s="1599" customFormat="1" ht="19.5" customHeight="1">
      <c r="A28" s="3791"/>
      <c r="B28" s="3791"/>
      <c r="C28" s="1595" t="s">
        <v>1938</v>
      </c>
      <c r="D28" s="1596"/>
      <c r="E28" s="1594">
        <v>0.9</v>
      </c>
      <c r="F28" s="1597" t="s">
        <v>1939</v>
      </c>
      <c r="G28" s="1598"/>
      <c r="H28" s="1590"/>
      <c r="I28" s="1590"/>
    </row>
    <row r="29" spans="1:9" s="1599" customFormat="1" ht="19.5" customHeight="1">
      <c r="A29" s="3791"/>
      <c r="B29" s="3791"/>
      <c r="C29" s="1595" t="s">
        <v>1940</v>
      </c>
      <c r="D29" s="1596"/>
      <c r="E29" s="1594">
        <v>0.9</v>
      </c>
      <c r="F29" s="1597" t="s">
        <v>1941</v>
      </c>
      <c r="G29" s="1598"/>
      <c r="H29" s="1590"/>
      <c r="I29" s="1590"/>
    </row>
    <row r="30" spans="1:9" s="1599" customFormat="1" ht="19.5" customHeight="1">
      <c r="A30" s="3791"/>
      <c r="B30" s="3791"/>
      <c r="C30" s="1595" t="s">
        <v>1942</v>
      </c>
      <c r="D30" s="1596"/>
      <c r="E30" s="1594">
        <v>0.9</v>
      </c>
      <c r="F30" s="1597" t="s">
        <v>1943</v>
      </c>
      <c r="G30" s="1598"/>
      <c r="H30" s="1590"/>
      <c r="I30" s="1590"/>
    </row>
    <row r="31" spans="1:9" s="1599" customFormat="1" ht="19.5" customHeight="1">
      <c r="A31" s="3791"/>
      <c r="B31" s="3791"/>
      <c r="C31" s="1595" t="s">
        <v>1944</v>
      </c>
      <c r="D31" s="1596"/>
      <c r="E31" s="1594">
        <v>0.8</v>
      </c>
      <c r="F31" s="1597" t="s">
        <v>1945</v>
      </c>
      <c r="G31" s="1598"/>
      <c r="H31" s="1590"/>
      <c r="I31" s="1590"/>
    </row>
    <row r="32" spans="1:9" s="1599" customFormat="1" ht="19.5" customHeight="1">
      <c r="A32" s="3791"/>
      <c r="B32" s="3791"/>
      <c r="C32" s="1595" t="s">
        <v>1946</v>
      </c>
      <c r="D32" s="1596"/>
      <c r="E32" s="1594">
        <v>0.8</v>
      </c>
      <c r="F32" s="1597" t="s">
        <v>1947</v>
      </c>
      <c r="G32" s="1598"/>
      <c r="H32" s="1590"/>
      <c r="I32" s="1590"/>
    </row>
    <row r="33" spans="1:9" s="1599" customFormat="1" ht="19.5" customHeight="1">
      <c r="A33" s="3791" t="s">
        <v>1545</v>
      </c>
      <c r="B33" s="1594" t="s">
        <v>1920</v>
      </c>
      <c r="C33" s="1595" t="s">
        <v>1948</v>
      </c>
      <c r="D33" s="1596"/>
      <c r="E33" s="1594">
        <v>1</v>
      </c>
      <c r="F33" s="1597" t="s">
        <v>1949</v>
      </c>
      <c r="G33" s="1598"/>
      <c r="H33" s="1590"/>
      <c r="I33" s="1590"/>
    </row>
    <row r="34" spans="1:9" s="1599" customFormat="1" ht="19.5" customHeight="1">
      <c r="A34" s="3791"/>
      <c r="B34" s="1594" t="s">
        <v>1923</v>
      </c>
      <c r="C34" s="1595" t="s">
        <v>1950</v>
      </c>
      <c r="D34" s="1596"/>
      <c r="E34" s="1594">
        <v>1.5</v>
      </c>
      <c r="F34" s="1597" t="s">
        <v>1951</v>
      </c>
      <c r="G34" s="1598"/>
      <c r="H34" s="1590"/>
      <c r="I34" s="1590"/>
    </row>
    <row r="35" spans="1:9" s="1599" customFormat="1" ht="19.5" customHeight="1">
      <c r="A35" s="3791" t="s">
        <v>1546</v>
      </c>
      <c r="B35" s="1594" t="s">
        <v>1920</v>
      </c>
      <c r="C35" s="1595" t="s">
        <v>1952</v>
      </c>
      <c r="D35" s="1596"/>
      <c r="E35" s="1594">
        <v>1</v>
      </c>
      <c r="F35" s="1597" t="s">
        <v>1953</v>
      </c>
      <c r="G35" s="1598"/>
      <c r="H35" s="1590"/>
      <c r="I35" s="1590"/>
    </row>
    <row r="36" spans="1:9" s="1599" customFormat="1" ht="19.5" customHeight="1">
      <c r="A36" s="3791"/>
      <c r="B36" s="3791" t="s">
        <v>1923</v>
      </c>
      <c r="C36" s="1595" t="s">
        <v>1954</v>
      </c>
      <c r="D36" s="1596"/>
      <c r="E36" s="1594">
        <v>1</v>
      </c>
      <c r="F36" s="1597" t="s">
        <v>1955</v>
      </c>
      <c r="G36" s="1598"/>
      <c r="H36" s="1590"/>
      <c r="I36" s="1590"/>
    </row>
    <row r="37" spans="1:9" s="1599" customFormat="1" ht="19.5" customHeight="1">
      <c r="A37" s="3791"/>
      <c r="B37" s="3791"/>
      <c r="C37" s="1595" t="s">
        <v>1956</v>
      </c>
      <c r="D37" s="1596"/>
      <c r="E37" s="1594">
        <v>1.5</v>
      </c>
      <c r="F37" s="1597" t="s">
        <v>1957</v>
      </c>
      <c r="G37" s="1598"/>
      <c r="H37" s="1590"/>
      <c r="I37" s="1590"/>
    </row>
    <row r="38" spans="1:9" s="1599" customFormat="1" ht="19.5" customHeight="1">
      <c r="A38" s="3791"/>
      <c r="B38" s="3791"/>
      <c r="C38" s="1595" t="s">
        <v>1958</v>
      </c>
      <c r="D38" s="1596"/>
      <c r="E38" s="1594">
        <v>1</v>
      </c>
      <c r="F38" s="1597" t="s">
        <v>1959</v>
      </c>
      <c r="G38" s="1598"/>
      <c r="H38" s="1590"/>
      <c r="I38" s="1590"/>
    </row>
    <row r="39" spans="1:9" s="1599" customFormat="1" ht="19.5" customHeight="1">
      <c r="A39" s="3791"/>
      <c r="B39" s="3791"/>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791" t="s">
        <v>1974</v>
      </c>
      <c r="C61" s="1520" t="s">
        <v>1975</v>
      </c>
      <c r="D61" s="1520" t="s">
        <v>1976</v>
      </c>
      <c r="E61" s="1607">
        <v>0.5</v>
      </c>
      <c r="F61" s="1594">
        <v>80</v>
      </c>
    </row>
    <row r="62" spans="1:8" s="1590" customFormat="1" ht="24">
      <c r="A62" s="1594">
        <v>2</v>
      </c>
      <c r="B62" s="3791"/>
      <c r="C62" s="1520" t="s">
        <v>1977</v>
      </c>
      <c r="D62" s="1520" t="s">
        <v>1978</v>
      </c>
      <c r="E62" s="1607">
        <v>0.5</v>
      </c>
      <c r="F62" s="1594">
        <v>80</v>
      </c>
    </row>
    <row r="63" spans="1:8" s="1590" customFormat="1" ht="36">
      <c r="A63" s="1594">
        <v>3</v>
      </c>
      <c r="B63" s="3791"/>
      <c r="C63" s="1520" t="s">
        <v>1979</v>
      </c>
      <c r="D63" s="1520" t="s">
        <v>1980</v>
      </c>
      <c r="E63" s="1607">
        <v>0.5</v>
      </c>
      <c r="F63" s="1594">
        <v>80</v>
      </c>
    </row>
    <row r="64" spans="1:8" s="1590" customFormat="1" ht="36">
      <c r="A64" s="1594">
        <v>4</v>
      </c>
      <c r="B64" s="3791"/>
      <c r="C64" s="1520" t="s">
        <v>1981</v>
      </c>
      <c r="D64" s="1520" t="s">
        <v>1982</v>
      </c>
      <c r="E64" s="1607">
        <v>0.4</v>
      </c>
      <c r="F64" s="1594">
        <v>60</v>
      </c>
    </row>
    <row r="65" spans="1:6" s="1590" customFormat="1" ht="36">
      <c r="A65" s="1594">
        <v>5</v>
      </c>
      <c r="B65" s="3791"/>
      <c r="C65" s="1520" t="s">
        <v>1983</v>
      </c>
      <c r="D65" s="1520" t="s">
        <v>1984</v>
      </c>
      <c r="E65" s="1607">
        <v>0.2</v>
      </c>
      <c r="F65" s="1594">
        <v>30</v>
      </c>
    </row>
    <row r="66" spans="1:6" s="1590" customFormat="1" ht="36">
      <c r="A66" s="1594">
        <v>6</v>
      </c>
      <c r="B66" s="3791"/>
      <c r="C66" s="1520" t="s">
        <v>1985</v>
      </c>
      <c r="D66" s="1520" t="s">
        <v>1986</v>
      </c>
      <c r="E66" s="1607">
        <v>0.3</v>
      </c>
      <c r="F66" s="1594">
        <v>50</v>
      </c>
    </row>
    <row r="67" spans="1:6" s="1590" customFormat="1" ht="36">
      <c r="A67" s="1594">
        <v>7</v>
      </c>
      <c r="B67" s="3791"/>
      <c r="C67" s="1520" t="s">
        <v>1987</v>
      </c>
      <c r="D67" s="1520" t="s">
        <v>1988</v>
      </c>
      <c r="E67" s="1607">
        <v>0.2</v>
      </c>
      <c r="F67" s="1594">
        <v>30</v>
      </c>
    </row>
    <row r="68" spans="1:6" s="1590" customFormat="1" ht="36">
      <c r="A68" s="1594">
        <v>8</v>
      </c>
      <c r="B68" s="3791"/>
      <c r="C68" s="1520" t="s">
        <v>1989</v>
      </c>
      <c r="D68" s="1520" t="s">
        <v>1990</v>
      </c>
      <c r="E68" s="1607">
        <v>0.2</v>
      </c>
      <c r="F68" s="1594">
        <v>30</v>
      </c>
    </row>
    <row r="69" spans="1:6" s="1590" customFormat="1" ht="36">
      <c r="A69" s="1594">
        <v>9</v>
      </c>
      <c r="B69" s="3791"/>
      <c r="C69" s="1520" t="s">
        <v>1991</v>
      </c>
      <c r="D69" s="1520" t="s">
        <v>1992</v>
      </c>
      <c r="E69" s="1607">
        <v>0.2</v>
      </c>
      <c r="F69" s="1594">
        <v>30</v>
      </c>
    </row>
    <row r="70" spans="1:6" s="1590" customFormat="1" ht="48">
      <c r="A70" s="1594">
        <v>10</v>
      </c>
      <c r="B70" s="3791"/>
      <c r="C70" s="1520" t="s">
        <v>1993</v>
      </c>
      <c r="D70" s="1520" t="s">
        <v>1994</v>
      </c>
      <c r="E70" s="1607">
        <v>0.2</v>
      </c>
      <c r="F70" s="1594">
        <v>30</v>
      </c>
    </row>
    <row r="71" spans="1:6" s="1590" customFormat="1" ht="48">
      <c r="A71" s="1594">
        <v>11</v>
      </c>
      <c r="B71" s="3791"/>
      <c r="C71" s="1520" t="s">
        <v>1995</v>
      </c>
      <c r="D71" s="1520" t="s">
        <v>1996</v>
      </c>
      <c r="E71" s="1607">
        <v>0.2</v>
      </c>
      <c r="F71" s="1594">
        <v>30</v>
      </c>
    </row>
    <row r="72" spans="1:6" s="1590" customFormat="1" ht="36">
      <c r="A72" s="1594">
        <v>12</v>
      </c>
      <c r="B72" s="3791"/>
      <c r="C72" s="1520" t="s">
        <v>1997</v>
      </c>
      <c r="D72" s="1520" t="s">
        <v>1998</v>
      </c>
      <c r="E72" s="1607">
        <v>0.5</v>
      </c>
      <c r="F72" s="1594">
        <v>80</v>
      </c>
    </row>
    <row r="73" spans="1:6" s="1590" customFormat="1" ht="24">
      <c r="A73" s="1594">
        <v>13</v>
      </c>
      <c r="B73" s="3791"/>
      <c r="C73" s="1520" t="s">
        <v>1999</v>
      </c>
      <c r="D73" s="1520" t="s">
        <v>2000</v>
      </c>
      <c r="E73" s="1607">
        <v>0.4</v>
      </c>
      <c r="F73" s="1594">
        <v>60</v>
      </c>
    </row>
    <row r="74" spans="1:6" s="1590" customFormat="1" ht="24">
      <c r="A74" s="1594">
        <v>14</v>
      </c>
      <c r="B74" s="3791"/>
      <c r="C74" s="1520" t="s">
        <v>2001</v>
      </c>
      <c r="D74" s="1520" t="s">
        <v>2002</v>
      </c>
      <c r="E74" s="1607">
        <v>0.2</v>
      </c>
      <c r="F74" s="1594">
        <v>30</v>
      </c>
    </row>
    <row r="75" spans="1:6" s="1590" customFormat="1" ht="24">
      <c r="A75" s="1594">
        <v>15</v>
      </c>
      <c r="B75" s="3791"/>
      <c r="C75" s="1520" t="s">
        <v>2003</v>
      </c>
      <c r="D75" s="1520" t="s">
        <v>2004</v>
      </c>
      <c r="E75" s="1607">
        <v>0.2</v>
      </c>
      <c r="F75" s="1594">
        <v>30</v>
      </c>
    </row>
    <row r="76" spans="1:6" s="1590" customFormat="1" ht="24">
      <c r="A76" s="1594">
        <v>16</v>
      </c>
      <c r="B76" s="3791" t="s">
        <v>2005</v>
      </c>
      <c r="C76" s="1520" t="s">
        <v>2006</v>
      </c>
      <c r="D76" s="1520" t="s">
        <v>2007</v>
      </c>
      <c r="E76" s="1607">
        <v>0.5</v>
      </c>
      <c r="F76" s="1594">
        <v>80</v>
      </c>
    </row>
    <row r="77" spans="1:6" s="1590" customFormat="1" ht="24">
      <c r="A77" s="1594">
        <v>17</v>
      </c>
      <c r="B77" s="3791"/>
      <c r="C77" s="1520" t="s">
        <v>2008</v>
      </c>
      <c r="D77" s="1520" t="s">
        <v>2009</v>
      </c>
      <c r="E77" s="1607">
        <v>0.5</v>
      </c>
      <c r="F77" s="1594">
        <v>80</v>
      </c>
    </row>
    <row r="78" spans="1:6" s="1590" customFormat="1" ht="24">
      <c r="A78" s="1594">
        <v>18</v>
      </c>
      <c r="B78" s="3791"/>
      <c r="C78" s="1520" t="s">
        <v>2010</v>
      </c>
      <c r="D78" s="1520" t="s">
        <v>2011</v>
      </c>
      <c r="E78" s="1607">
        <v>0.2</v>
      </c>
      <c r="F78" s="1594">
        <v>30</v>
      </c>
    </row>
    <row r="79" spans="1:6" s="1590" customFormat="1" ht="24">
      <c r="A79" s="1594">
        <v>19</v>
      </c>
      <c r="B79" s="3791"/>
      <c r="C79" s="1520" t="s">
        <v>2012</v>
      </c>
      <c r="D79" s="1520" t="s">
        <v>2013</v>
      </c>
      <c r="E79" s="1607">
        <v>0.5</v>
      </c>
      <c r="F79" s="1594">
        <v>80</v>
      </c>
    </row>
    <row r="80" spans="1:6" s="1590" customFormat="1" ht="36">
      <c r="A80" s="1594">
        <v>20</v>
      </c>
      <c r="B80" s="3791"/>
      <c r="C80" s="1520" t="s">
        <v>2014</v>
      </c>
      <c r="D80" s="1520" t="s">
        <v>2015</v>
      </c>
      <c r="E80" s="1607">
        <v>0.2</v>
      </c>
      <c r="F80" s="1594">
        <v>30</v>
      </c>
    </row>
    <row r="81" spans="1:6" s="1590" customFormat="1" ht="36">
      <c r="A81" s="1594">
        <v>21</v>
      </c>
      <c r="B81" s="3791"/>
      <c r="C81" s="1520" t="s">
        <v>2016</v>
      </c>
      <c r="D81" s="1520" t="s">
        <v>2017</v>
      </c>
      <c r="E81" s="1607">
        <v>0.2</v>
      </c>
      <c r="F81" s="1594">
        <v>30</v>
      </c>
    </row>
    <row r="82" spans="1:6" s="1590" customFormat="1" ht="48">
      <c r="A82" s="1594">
        <v>22</v>
      </c>
      <c r="B82" s="3791"/>
      <c r="C82" s="1520" t="s">
        <v>2018</v>
      </c>
      <c r="D82" s="1520" t="s">
        <v>2019</v>
      </c>
      <c r="E82" s="1607">
        <v>0.2</v>
      </c>
      <c r="F82" s="1594">
        <v>30</v>
      </c>
    </row>
    <row r="83" spans="1:6" s="1590" customFormat="1" ht="48">
      <c r="A83" s="1594">
        <v>23</v>
      </c>
      <c r="B83" s="3791"/>
      <c r="C83" s="1520" t="s">
        <v>2020</v>
      </c>
      <c r="D83" s="1520" t="s">
        <v>2021</v>
      </c>
      <c r="E83" s="1607">
        <v>0.2</v>
      </c>
      <c r="F83" s="1594">
        <v>30</v>
      </c>
    </row>
    <row r="84" spans="1:6" s="1590" customFormat="1" ht="36">
      <c r="A84" s="1594">
        <v>24</v>
      </c>
      <c r="B84" s="3791"/>
      <c r="C84" s="1520" t="s">
        <v>2022</v>
      </c>
      <c r="D84" s="1520" t="s">
        <v>2023</v>
      </c>
      <c r="E84" s="1607">
        <v>0.2</v>
      </c>
      <c r="F84" s="1594">
        <v>30</v>
      </c>
    </row>
    <row r="85" spans="1:6" s="1590" customFormat="1" ht="36">
      <c r="A85" s="1594">
        <v>25</v>
      </c>
      <c r="B85" s="3791"/>
      <c r="C85" s="1520" t="s">
        <v>2024</v>
      </c>
      <c r="D85" s="1520" t="s">
        <v>2025</v>
      </c>
      <c r="E85" s="1607">
        <v>0.5</v>
      </c>
      <c r="F85" s="1594">
        <v>80</v>
      </c>
    </row>
    <row r="86" spans="1:6" s="1590" customFormat="1" ht="36">
      <c r="A86" s="1594">
        <v>26</v>
      </c>
      <c r="B86" s="3791"/>
      <c r="C86" s="1520" t="s">
        <v>2026</v>
      </c>
      <c r="D86" s="1520" t="s">
        <v>2027</v>
      </c>
      <c r="E86" s="1607">
        <v>0.2</v>
      </c>
      <c r="F86" s="1594">
        <v>30</v>
      </c>
    </row>
    <row r="87" spans="1:6" s="1590" customFormat="1" ht="36">
      <c r="A87" s="1594">
        <v>27</v>
      </c>
      <c r="B87" s="3791"/>
      <c r="C87" s="1520" t="s">
        <v>2028</v>
      </c>
      <c r="D87" s="1520" t="s">
        <v>2029</v>
      </c>
      <c r="E87" s="1607">
        <v>0.2</v>
      </c>
      <c r="F87" s="1594">
        <v>30</v>
      </c>
    </row>
    <row r="88" spans="1:6" s="1590" customFormat="1" ht="36">
      <c r="A88" s="1594">
        <v>28</v>
      </c>
      <c r="B88" s="3791"/>
      <c r="C88" s="1520" t="s">
        <v>2030</v>
      </c>
      <c r="D88" s="1520" t="s">
        <v>2031</v>
      </c>
      <c r="E88" s="1607">
        <v>0.2</v>
      </c>
      <c r="F88" s="1594">
        <v>30</v>
      </c>
    </row>
    <row r="89" spans="1:6" s="1590" customFormat="1" ht="24">
      <c r="A89" s="1594">
        <v>29</v>
      </c>
      <c r="B89" s="3791"/>
      <c r="C89" s="1520" t="s">
        <v>2032</v>
      </c>
      <c r="D89" s="1520" t="s">
        <v>2033</v>
      </c>
      <c r="E89" s="1607">
        <v>0.2</v>
      </c>
      <c r="F89" s="1594">
        <v>30</v>
      </c>
    </row>
    <row r="90" spans="1:6" s="1590" customFormat="1" ht="24">
      <c r="A90" s="1594">
        <v>30</v>
      </c>
      <c r="B90" s="3791"/>
      <c r="C90" s="1520" t="s">
        <v>2034</v>
      </c>
      <c r="D90" s="1520" t="s">
        <v>2035</v>
      </c>
      <c r="E90" s="1607">
        <v>0.2</v>
      </c>
      <c r="F90" s="1594">
        <v>30</v>
      </c>
    </row>
    <row r="91" spans="1:6" s="1590" customFormat="1" ht="36">
      <c r="A91" s="1594">
        <v>31</v>
      </c>
      <c r="B91" s="3791"/>
      <c r="C91" s="1520" t="s">
        <v>2036</v>
      </c>
      <c r="D91" s="1520" t="s">
        <v>2037</v>
      </c>
      <c r="E91" s="1607">
        <v>0.2</v>
      </c>
      <c r="F91" s="1594">
        <v>30</v>
      </c>
    </row>
    <row r="92" spans="1:6" s="1590" customFormat="1" ht="24">
      <c r="A92" s="1594">
        <v>32</v>
      </c>
      <c r="B92" s="3791" t="s">
        <v>2038</v>
      </c>
      <c r="C92" s="1594" t="s">
        <v>2039</v>
      </c>
      <c r="D92" s="1520" t="s">
        <v>2040</v>
      </c>
      <c r="E92" s="1607">
        <v>0.2</v>
      </c>
      <c r="F92" s="1594">
        <v>30</v>
      </c>
    </row>
    <row r="93" spans="1:6" s="1590" customFormat="1" ht="36">
      <c r="A93" s="1594">
        <v>33</v>
      </c>
      <c r="B93" s="3791"/>
      <c r="C93" s="1594" t="s">
        <v>2041</v>
      </c>
      <c r="D93" s="1520" t="s">
        <v>2042</v>
      </c>
      <c r="E93" s="1607">
        <v>0.2</v>
      </c>
      <c r="F93" s="1594">
        <v>30</v>
      </c>
    </row>
    <row r="94" spans="1:6" s="1590" customFormat="1" ht="48">
      <c r="A94" s="1594">
        <v>34</v>
      </c>
      <c r="B94" s="3791"/>
      <c r="C94" s="1594" t="s">
        <v>2043</v>
      </c>
      <c r="D94" s="1520" t="s">
        <v>2044</v>
      </c>
      <c r="E94" s="1607">
        <v>0.2</v>
      </c>
      <c r="F94" s="1594">
        <v>30</v>
      </c>
    </row>
    <row r="95" spans="1:6" s="1590" customFormat="1" ht="36">
      <c r="A95" s="1594">
        <v>35</v>
      </c>
      <c r="B95" s="3791"/>
      <c r="C95" s="1594" t="s">
        <v>2045</v>
      </c>
      <c r="D95" s="1520" t="s">
        <v>2046</v>
      </c>
      <c r="E95" s="1607">
        <v>0.2</v>
      </c>
      <c r="F95" s="1594">
        <v>30</v>
      </c>
    </row>
    <row r="96" spans="1:6" s="1590" customFormat="1" ht="48">
      <c r="A96" s="1594">
        <v>36</v>
      </c>
      <c r="B96" s="3791"/>
      <c r="C96" s="1520" t="s">
        <v>2047</v>
      </c>
      <c r="D96" s="1520" t="s">
        <v>2048</v>
      </c>
      <c r="E96" s="1607">
        <v>0.2</v>
      </c>
      <c r="F96" s="1594">
        <v>30</v>
      </c>
    </row>
    <row r="97" spans="1:6" s="1590" customFormat="1" ht="36">
      <c r="A97" s="1594">
        <v>37</v>
      </c>
      <c r="B97" s="3791"/>
      <c r="C97" s="1594" t="s">
        <v>2049</v>
      </c>
      <c r="D97" s="1520" t="s">
        <v>2050</v>
      </c>
      <c r="E97" s="1607">
        <v>0.2</v>
      </c>
      <c r="F97" s="1594">
        <v>30</v>
      </c>
    </row>
    <row r="98" spans="1:6" s="1590" customFormat="1" ht="36">
      <c r="A98" s="1594">
        <v>38</v>
      </c>
      <c r="B98" s="3791"/>
      <c r="C98" s="1594" t="s">
        <v>2051</v>
      </c>
      <c r="D98" s="1520" t="s">
        <v>2052</v>
      </c>
      <c r="E98" s="1607">
        <v>0.2</v>
      </c>
      <c r="F98" s="1594">
        <v>30</v>
      </c>
    </row>
    <row r="99" spans="1:6" s="1590" customFormat="1" ht="36">
      <c r="A99" s="1594">
        <v>39</v>
      </c>
      <c r="B99" s="3791" t="s">
        <v>2053</v>
      </c>
      <c r="C99" s="1594" t="s">
        <v>2054</v>
      </c>
      <c r="D99" s="1520" t="s">
        <v>2055</v>
      </c>
      <c r="E99" s="1607">
        <v>0.3</v>
      </c>
      <c r="F99" s="1594">
        <v>50</v>
      </c>
    </row>
    <row r="100" spans="1:6" s="1590" customFormat="1" ht="24">
      <c r="A100" s="1594">
        <v>40</v>
      </c>
      <c r="B100" s="3791"/>
      <c r="C100" s="1594" t="s">
        <v>2056</v>
      </c>
      <c r="D100" s="1520" t="s">
        <v>2057</v>
      </c>
      <c r="E100" s="1607">
        <v>0.2</v>
      </c>
      <c r="F100" s="1594">
        <v>30</v>
      </c>
    </row>
    <row r="101" spans="1:6" s="1590" customFormat="1" ht="36">
      <c r="A101" s="1594">
        <v>41</v>
      </c>
      <c r="B101" s="3791"/>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791" t="s">
        <v>2068</v>
      </c>
      <c r="C105" s="1594" t="s">
        <v>2069</v>
      </c>
      <c r="D105" s="1520" t="s">
        <v>2070</v>
      </c>
      <c r="E105" s="1607">
        <v>0.2</v>
      </c>
      <c r="F105" s="1594">
        <v>30</v>
      </c>
    </row>
    <row r="106" spans="1:6" s="1590" customFormat="1" ht="36">
      <c r="A106" s="1594">
        <v>46</v>
      </c>
      <c r="B106" s="3791"/>
      <c r="C106" s="1594" t="s">
        <v>2071</v>
      </c>
      <c r="D106" s="1520" t="s">
        <v>2072</v>
      </c>
      <c r="E106" s="1607">
        <v>0.2</v>
      </c>
      <c r="F106" s="1594">
        <v>30</v>
      </c>
    </row>
    <row r="107" spans="1:6" s="1590" customFormat="1" ht="36">
      <c r="A107" s="1594">
        <v>47</v>
      </c>
      <c r="B107" s="3791" t="s">
        <v>2073</v>
      </c>
      <c r="C107" s="1594" t="s">
        <v>2074</v>
      </c>
      <c r="D107" s="1520" t="s">
        <v>2075</v>
      </c>
      <c r="E107" s="1607">
        <v>0.3</v>
      </c>
      <c r="F107" s="1594">
        <v>50</v>
      </c>
    </row>
    <row r="108" spans="1:6" s="1590" customFormat="1" ht="36">
      <c r="A108" s="1594">
        <v>48</v>
      </c>
      <c r="B108" s="3791"/>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791" t="s">
        <v>2084</v>
      </c>
      <c r="C111" s="1594" t="s">
        <v>2085</v>
      </c>
      <c r="D111" s="1520" t="s">
        <v>2086</v>
      </c>
      <c r="E111" s="1607">
        <v>0.2</v>
      </c>
      <c r="F111" s="1594">
        <v>30</v>
      </c>
    </row>
    <row r="112" spans="1:6" s="1590" customFormat="1" ht="24">
      <c r="A112" s="1594">
        <v>52</v>
      </c>
      <c r="B112" s="3791"/>
      <c r="C112" s="1594" t="s">
        <v>2087</v>
      </c>
      <c r="D112" s="1520" t="s">
        <v>2088</v>
      </c>
      <c r="E112" s="1607">
        <v>0.2</v>
      </c>
      <c r="F112" s="1594">
        <v>30</v>
      </c>
    </row>
    <row r="113" spans="1:6" s="1590" customFormat="1" ht="24">
      <c r="A113" s="1594">
        <v>53</v>
      </c>
      <c r="B113" s="3791"/>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791" t="s">
        <v>2097</v>
      </c>
      <c r="C116" s="1594" t="s">
        <v>2098</v>
      </c>
      <c r="D116" s="1520" t="s">
        <v>2099</v>
      </c>
      <c r="E116" s="1607">
        <v>0.2</v>
      </c>
      <c r="F116" s="1594">
        <v>30</v>
      </c>
    </row>
    <row r="117" spans="1:6" ht="36">
      <c r="A117" s="1594">
        <v>57</v>
      </c>
      <c r="B117" s="3791"/>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11" t="s">
        <v>3115</v>
      </c>
      <c r="C1" s="3811"/>
      <c r="D1" s="3811"/>
      <c r="E1" s="3811"/>
      <c r="F1" s="3811"/>
      <c r="G1" s="3807" t="s">
        <v>3116</v>
      </c>
      <c r="H1" s="3807"/>
      <c r="I1" s="3807"/>
      <c r="J1" s="3807"/>
      <c r="K1" s="3807"/>
      <c r="L1" s="3807"/>
      <c r="N1" s="3807" t="s">
        <v>3117</v>
      </c>
      <c r="O1" s="3807"/>
      <c r="P1" s="3807"/>
      <c r="Q1" s="3807"/>
      <c r="R1" s="2940"/>
      <c r="S1" s="3807" t="s">
        <v>3118</v>
      </c>
      <c r="T1" s="3807"/>
      <c r="U1" s="3807"/>
      <c r="V1" s="3807"/>
      <c r="X1" s="3806" t="s">
        <v>3119</v>
      </c>
      <c r="Y1" s="3807"/>
      <c r="Z1" s="3807"/>
      <c r="AA1" s="3807"/>
      <c r="AB1" s="3807"/>
      <c r="AD1" s="3806" t="s">
        <v>3120</v>
      </c>
      <c r="AE1" s="3807"/>
      <c r="AF1" s="3807"/>
      <c r="AG1" s="3807"/>
      <c r="AH1" s="3807"/>
    </row>
    <row r="2" spans="1:34" s="2941" customFormat="1" ht="14.25" thickBot="1">
      <c r="B2" s="2942" t="s">
        <v>3121</v>
      </c>
      <c r="C2" s="2942" t="s">
        <v>3122</v>
      </c>
      <c r="D2" s="2943" t="s">
        <v>3123</v>
      </c>
      <c r="E2" s="2943" t="s">
        <v>3124</v>
      </c>
      <c r="F2" s="2942" t="s">
        <v>3125</v>
      </c>
      <c r="G2" s="2944"/>
      <c r="H2" s="2945"/>
      <c r="I2" s="2945"/>
      <c r="J2" s="2945"/>
      <c r="K2" s="2945"/>
      <c r="L2" s="2945"/>
      <c r="N2" s="2944"/>
      <c r="O2" s="2945"/>
      <c r="P2" s="2945"/>
      <c r="Q2" s="2945"/>
      <c r="R2" s="2946"/>
      <c r="S2" s="2944"/>
      <c r="T2" s="2945"/>
      <c r="U2" s="2945"/>
      <c r="V2" s="2945"/>
      <c r="X2" s="2942" t="s">
        <v>3121</v>
      </c>
      <c r="Y2" s="2942" t="s">
        <v>3122</v>
      </c>
      <c r="Z2" s="2943" t="s">
        <v>3123</v>
      </c>
      <c r="AA2" s="2943" t="s">
        <v>3124</v>
      </c>
      <c r="AB2" s="2942" t="s">
        <v>3125</v>
      </c>
      <c r="AD2" s="2942" t="s">
        <v>3121</v>
      </c>
      <c r="AE2" s="2942" t="s">
        <v>3122</v>
      </c>
      <c r="AF2" s="2943" t="s">
        <v>3123</v>
      </c>
      <c r="AG2" s="2943" t="s">
        <v>3124</v>
      </c>
      <c r="AH2" s="2942" t="s">
        <v>3125</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3126</v>
      </c>
      <c r="B4" s="2956"/>
      <c r="C4" s="2956"/>
      <c r="D4" s="2956"/>
      <c r="E4" s="2956"/>
      <c r="F4" s="2956"/>
      <c r="G4" s="3812">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3127</v>
      </c>
      <c r="B5" s="2956"/>
      <c r="C5" s="2956"/>
      <c r="D5" s="2956"/>
      <c r="E5" s="2956"/>
      <c r="F5" s="2956"/>
      <c r="G5" s="3809"/>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3128</v>
      </c>
      <c r="B6" s="2962">
        <f>B7*(1+N6)</f>
        <v>415.21602360000003</v>
      </c>
      <c r="C6" s="2962">
        <f>C7*(1+O6)</f>
        <v>312.63083488000001</v>
      </c>
      <c r="D6" s="2962">
        <f>C6</f>
        <v>312.63083488000001</v>
      </c>
      <c r="E6" s="3274">
        <f>E7*(1+P6)</f>
        <v>589.96402416000001</v>
      </c>
      <c r="F6" s="3274">
        <f>F7*(1+Q6)</f>
        <v>273.82351752000005</v>
      </c>
      <c r="G6" s="3809"/>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3130</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3129</v>
      </c>
      <c r="B7" s="2976">
        <f>B8*(1+N7)</f>
        <v>405.524</v>
      </c>
      <c r="C7" s="2976">
        <f>C8*(1+O7)</f>
        <v>307.79840000000002</v>
      </c>
      <c r="D7" s="2976">
        <f>C7</f>
        <v>307.79840000000002</v>
      </c>
      <c r="E7" s="2976">
        <f>E8*(1+P7)</f>
        <v>574.67759999999998</v>
      </c>
      <c r="F7" s="2976">
        <f>F8*(1+Q7)</f>
        <v>270.20280000000002</v>
      </c>
      <c r="G7" s="3810"/>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12">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09"/>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09"/>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0"/>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08">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09"/>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09"/>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0"/>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08">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09"/>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09"/>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0"/>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3131</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3132</v>
      </c>
      <c r="B20" s="2968">
        <v>299</v>
      </c>
      <c r="C20" s="2968">
        <v>252</v>
      </c>
      <c r="D20" s="2968">
        <f t="shared" si="9"/>
        <v>252</v>
      </c>
      <c r="E20" s="2968">
        <v>409</v>
      </c>
      <c r="F20" s="2969">
        <v>227</v>
      </c>
      <c r="G20" s="3813">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3133</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14"/>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3134</v>
      </c>
      <c r="B22" s="2976">
        <f t="shared" si="18"/>
        <v>288.2649053828776</v>
      </c>
      <c r="C22" s="2976">
        <f t="shared" si="18"/>
        <v>243.64564425013293</v>
      </c>
      <c r="D22" s="2976">
        <f t="shared" si="9"/>
        <v>243.64564425013293</v>
      </c>
      <c r="E22" s="2976">
        <f t="shared" si="19"/>
        <v>393.31080825986544</v>
      </c>
      <c r="F22" s="2976">
        <f t="shared" si="19"/>
        <v>223.07903790551154</v>
      </c>
      <c r="G22" s="3814"/>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3135</v>
      </c>
      <c r="B23" s="2976">
        <f t="shared" si="18"/>
        <v>282.50186729015837</v>
      </c>
      <c r="C23" s="2976">
        <f t="shared" si="18"/>
        <v>238.09796174155468</v>
      </c>
      <c r="D23" s="2976">
        <f t="shared" si="9"/>
        <v>238.09796174155468</v>
      </c>
      <c r="E23" s="2976">
        <f t="shared" si="19"/>
        <v>385.33438646014054</v>
      </c>
      <c r="F23" s="2976">
        <f t="shared" si="19"/>
        <v>221.55034055567739</v>
      </c>
      <c r="G23" s="3815"/>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3136</v>
      </c>
      <c r="B24" s="3010">
        <v>278</v>
      </c>
      <c r="C24" s="3010">
        <v>234</v>
      </c>
      <c r="D24" s="3010">
        <f t="shared" si="9"/>
        <v>234</v>
      </c>
      <c r="E24" s="3010">
        <v>379</v>
      </c>
      <c r="F24" s="3011">
        <v>220</v>
      </c>
      <c r="G24" s="3808">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3137</v>
      </c>
      <c r="B25" s="2976">
        <f>B24/(1+N24)</f>
        <v>275.49301357645425</v>
      </c>
      <c r="C25" s="2976">
        <f>C24/(1+O24)</f>
        <v>232.41954707985698</v>
      </c>
      <c r="D25" s="2976">
        <f t="shared" si="9"/>
        <v>232.41954707985698</v>
      </c>
      <c r="E25" s="2976">
        <f t="shared" ref="E25:F27" si="20">E24/(1+P24)</f>
        <v>375.32184591008121</v>
      </c>
      <c r="F25" s="2976">
        <f t="shared" si="20"/>
        <v>218.03766105054513</v>
      </c>
      <c r="G25" s="3809"/>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3138</v>
      </c>
      <c r="B26" s="2976">
        <f>B25/(1+N25)</f>
        <v>275.24529281292263</v>
      </c>
      <c r="C26" s="2976">
        <f>C25/(1+O25)</f>
        <v>231.74747938962707</v>
      </c>
      <c r="D26" s="2976">
        <f t="shared" si="9"/>
        <v>231.74747938962707</v>
      </c>
      <c r="E26" s="2976">
        <f t="shared" si="20"/>
        <v>375.35938184826603</v>
      </c>
      <c r="F26" s="2976">
        <f t="shared" si="20"/>
        <v>216.78033510692495</v>
      </c>
      <c r="G26" s="3809"/>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3139</v>
      </c>
      <c r="B27" s="2976">
        <f>B26/(1+N26)</f>
        <v>275.19025476197027</v>
      </c>
      <c r="C27" s="3012">
        <v>232</v>
      </c>
      <c r="D27" s="3012">
        <f t="shared" si="9"/>
        <v>232</v>
      </c>
      <c r="E27" s="2976">
        <f t="shared" si="20"/>
        <v>375.65990977608692</v>
      </c>
      <c r="F27" s="2976">
        <f t="shared" si="20"/>
        <v>214.12518283971252</v>
      </c>
      <c r="G27" s="3810"/>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3140</v>
      </c>
      <c r="B28" s="2968">
        <v>275</v>
      </c>
      <c r="C28" s="2968">
        <v>232</v>
      </c>
      <c r="D28" s="2968">
        <f t="shared" si="9"/>
        <v>232</v>
      </c>
      <c r="E28" s="2968">
        <v>376</v>
      </c>
      <c r="F28" s="2969">
        <v>213</v>
      </c>
      <c r="G28" s="3808">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3141</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09">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3142</v>
      </c>
      <c r="B30" s="2976">
        <f t="shared" si="21"/>
        <v>275.19335084830601</v>
      </c>
      <c r="C30" s="2976">
        <f t="shared" si="21"/>
        <v>230.18088050139744</v>
      </c>
      <c r="D30" s="2976">
        <f t="shared" si="9"/>
        <v>230.18088050139744</v>
      </c>
      <c r="E30" s="2976">
        <f t="shared" si="22"/>
        <v>377.58482925212331</v>
      </c>
      <c r="F30" s="2976">
        <f t="shared" si="22"/>
        <v>210.90687997847917</v>
      </c>
      <c r="G30" s="3809">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3143</v>
      </c>
      <c r="B31" s="2976">
        <f t="shared" si="21"/>
        <v>276.29854502841971</v>
      </c>
      <c r="C31" s="2976">
        <f t="shared" si="21"/>
        <v>229.79023709833027</v>
      </c>
      <c r="D31" s="2976">
        <f t="shared" si="9"/>
        <v>229.79023709833027</v>
      </c>
      <c r="E31" s="2976">
        <f t="shared" si="22"/>
        <v>379.78759731655936</v>
      </c>
      <c r="F31" s="2976">
        <f t="shared" si="22"/>
        <v>211.32953905659235</v>
      </c>
      <c r="G31" s="3810">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3144</v>
      </c>
      <c r="B32" s="2968">
        <v>269</v>
      </c>
      <c r="C32" s="2968">
        <v>221</v>
      </c>
      <c r="D32" s="2968">
        <f t="shared" si="9"/>
        <v>221</v>
      </c>
      <c r="E32" s="2968">
        <v>373</v>
      </c>
      <c r="F32" s="2969">
        <v>196</v>
      </c>
      <c r="G32" s="3808">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3145</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09">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3146</v>
      </c>
      <c r="B34" s="2976">
        <f t="shared" si="23"/>
        <v>242.95398227588385</v>
      </c>
      <c r="C34" s="2976">
        <f t="shared" si="23"/>
        <v>199.59137053614126</v>
      </c>
      <c r="D34" s="2976">
        <f t="shared" si="9"/>
        <v>199.59137053614126</v>
      </c>
      <c r="E34" s="2976">
        <f t="shared" si="24"/>
        <v>335.92189522342125</v>
      </c>
      <c r="F34" s="2976">
        <f t="shared" si="24"/>
        <v>183.10139991109489</v>
      </c>
      <c r="G34" s="3809">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3147</v>
      </c>
      <c r="B35" s="2976">
        <f t="shared" si="23"/>
        <v>232.06990378821649</v>
      </c>
      <c r="C35" s="2976">
        <f t="shared" si="23"/>
        <v>192.74878854286936</v>
      </c>
      <c r="D35" s="2976">
        <f t="shared" si="9"/>
        <v>192.74878854286936</v>
      </c>
      <c r="E35" s="2976">
        <f t="shared" si="24"/>
        <v>319.71247284992984</v>
      </c>
      <c r="F35" s="2976">
        <f t="shared" si="24"/>
        <v>175.67053622862409</v>
      </c>
      <c r="G35" s="3810">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3148</v>
      </c>
      <c r="B36" s="2968">
        <v>220</v>
      </c>
      <c r="C36" s="2968">
        <v>187</v>
      </c>
      <c r="D36" s="2968">
        <f t="shared" si="9"/>
        <v>187</v>
      </c>
      <c r="E36" s="2968">
        <v>301</v>
      </c>
      <c r="F36" s="2969">
        <v>168</v>
      </c>
      <c r="G36" s="3808">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3149</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09">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3150</v>
      </c>
      <c r="B38" s="2976">
        <f t="shared" si="25"/>
        <v>210.630522469011</v>
      </c>
      <c r="C38" s="2976">
        <f t="shared" si="25"/>
        <v>181.69567812247232</v>
      </c>
      <c r="D38" s="2976">
        <f t="shared" si="9"/>
        <v>181.69567812247232</v>
      </c>
      <c r="E38" s="2976">
        <f t="shared" si="26"/>
        <v>286.13517466736738</v>
      </c>
      <c r="F38" s="2976">
        <f t="shared" si="26"/>
        <v>165.47535084591149</v>
      </c>
      <c r="G38" s="3809">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3151</v>
      </c>
      <c r="B39" s="2976">
        <f t="shared" si="25"/>
        <v>208.83454537875372</v>
      </c>
      <c r="C39" s="2976">
        <f t="shared" si="25"/>
        <v>183.77230517090351</v>
      </c>
      <c r="D39" s="2976">
        <f t="shared" si="9"/>
        <v>183.77230517090351</v>
      </c>
      <c r="E39" s="2976">
        <f t="shared" si="26"/>
        <v>281.10342338870947</v>
      </c>
      <c r="F39" s="2976">
        <f t="shared" si="26"/>
        <v>168.97309388942256</v>
      </c>
      <c r="G39" s="3810">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3152</v>
      </c>
      <c r="B40" s="3010">
        <v>214</v>
      </c>
      <c r="C40" s="3010">
        <v>188</v>
      </c>
      <c r="D40" s="3010">
        <f t="shared" si="9"/>
        <v>188</v>
      </c>
      <c r="E40" s="3010">
        <v>289</v>
      </c>
      <c r="F40" s="3011">
        <v>166</v>
      </c>
      <c r="G40" s="3808">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3153</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09">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3154</v>
      </c>
      <c r="B42" s="2976">
        <f t="shared" si="27"/>
        <v>206.31694671589116</v>
      </c>
      <c r="C42" s="2976">
        <f t="shared" si="27"/>
        <v>183.61041121036101</v>
      </c>
      <c r="D42" s="2976">
        <f t="shared" si="9"/>
        <v>183.61041121036101</v>
      </c>
      <c r="E42" s="2976">
        <f t="shared" si="28"/>
        <v>276.66850301795557</v>
      </c>
      <c r="F42" s="2976">
        <f t="shared" si="28"/>
        <v>165.1360938278614</v>
      </c>
      <c r="G42" s="3809">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3155</v>
      </c>
      <c r="B43" s="3013">
        <f t="shared" si="27"/>
        <v>196.62341248059772</v>
      </c>
      <c r="C43" s="3013">
        <f t="shared" si="27"/>
        <v>170.99125648199012</v>
      </c>
      <c r="D43" s="3013">
        <f t="shared" si="9"/>
        <v>170.99125648199012</v>
      </c>
      <c r="E43" s="3013">
        <f t="shared" si="28"/>
        <v>266.07857570490052</v>
      </c>
      <c r="F43" s="3013">
        <f t="shared" si="28"/>
        <v>154.53499328828505</v>
      </c>
      <c r="G43" s="3810">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3156</v>
      </c>
      <c r="B44" s="2968">
        <v>188</v>
      </c>
      <c r="C44" s="2968">
        <v>165</v>
      </c>
      <c r="D44" s="2968">
        <f t="shared" si="9"/>
        <v>165</v>
      </c>
      <c r="E44" s="2968">
        <v>254</v>
      </c>
      <c r="F44" s="2969">
        <v>148</v>
      </c>
      <c r="G44" s="3808">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3157</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09">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3158</v>
      </c>
      <c r="B46" s="2976">
        <f t="shared" si="31"/>
        <v>168.82017748715555</v>
      </c>
      <c r="C46" s="2976">
        <f t="shared" si="31"/>
        <v>148.06267029972753</v>
      </c>
      <c r="D46" s="2976">
        <f t="shared" si="9"/>
        <v>148.06267029972753</v>
      </c>
      <c r="E46" s="2976">
        <f t="shared" si="32"/>
        <v>216.46288379323747</v>
      </c>
      <c r="F46" s="2976">
        <f t="shared" si="32"/>
        <v>134.23529411764704</v>
      </c>
      <c r="G46" s="3809">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3159</v>
      </c>
      <c r="B47" s="2976">
        <f t="shared" si="31"/>
        <v>163.84913591779542</v>
      </c>
      <c r="C47" s="2976">
        <f t="shared" si="31"/>
        <v>145.0283378746594</v>
      </c>
      <c r="D47" s="2976">
        <f t="shared" si="9"/>
        <v>145.0283378746594</v>
      </c>
      <c r="E47" s="2976">
        <f t="shared" si="32"/>
        <v>204.95180722891567</v>
      </c>
      <c r="F47" s="2976">
        <f t="shared" si="32"/>
        <v>125.95920303605313</v>
      </c>
      <c r="G47" s="3810">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3160</v>
      </c>
      <c r="B48" s="2989">
        <v>159</v>
      </c>
      <c r="C48" s="2989">
        <v>141</v>
      </c>
      <c r="D48" s="2989">
        <f t="shared" si="9"/>
        <v>141</v>
      </c>
      <c r="E48" s="2989">
        <v>195</v>
      </c>
      <c r="F48" s="2990">
        <v>122</v>
      </c>
      <c r="G48" s="3808">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3161</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09">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3162</v>
      </c>
      <c r="B50" s="2976">
        <f t="shared" si="35"/>
        <v>146.57412060301507</v>
      </c>
      <c r="C50" s="2976">
        <f t="shared" si="35"/>
        <v>136.46831955922866</v>
      </c>
      <c r="D50" s="2976">
        <f t="shared" si="9"/>
        <v>136.46831955922866</v>
      </c>
      <c r="E50" s="2976">
        <f t="shared" si="36"/>
        <v>166.73864894795128</v>
      </c>
      <c r="F50" s="2976">
        <f t="shared" si="36"/>
        <v>115.05882352941177</v>
      </c>
      <c r="G50" s="3809">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3163</v>
      </c>
      <c r="B51" s="2976">
        <f t="shared" si="35"/>
        <v>144.04145728643215</v>
      </c>
      <c r="C51" s="2976">
        <f t="shared" si="35"/>
        <v>136.12396694214877</v>
      </c>
      <c r="D51" s="2976">
        <f t="shared" si="9"/>
        <v>136.12396694214877</v>
      </c>
      <c r="E51" s="2976">
        <f t="shared" si="36"/>
        <v>158.32225913621264</v>
      </c>
      <c r="F51" s="2976">
        <f t="shared" si="36"/>
        <v>114.04278074866311</v>
      </c>
      <c r="G51" s="3810">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3164</v>
      </c>
      <c r="B52" s="2989">
        <v>138</v>
      </c>
      <c r="C52" s="2989">
        <v>131</v>
      </c>
      <c r="D52" s="2989">
        <f t="shared" si="9"/>
        <v>131</v>
      </c>
      <c r="E52" s="2989">
        <v>155</v>
      </c>
      <c r="F52" s="2990">
        <v>114</v>
      </c>
      <c r="G52" s="3808">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3165</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09">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3166</v>
      </c>
      <c r="B54" s="2976">
        <f t="shared" si="39"/>
        <v>124.29032258064517</v>
      </c>
      <c r="C54" s="2976">
        <f t="shared" si="39"/>
        <v>123.8968609865471</v>
      </c>
      <c r="D54" s="2976">
        <f t="shared" si="9"/>
        <v>123.8968609865471</v>
      </c>
      <c r="E54" s="2976">
        <f t="shared" si="40"/>
        <v>138.00507614213197</v>
      </c>
      <c r="F54" s="2976">
        <f t="shared" si="40"/>
        <v>107.96106557377048</v>
      </c>
      <c r="G54" s="3809">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3167</v>
      </c>
      <c r="B55" s="2976">
        <f t="shared" si="39"/>
        <v>122.57204301075269</v>
      </c>
      <c r="C55" s="2976">
        <f t="shared" si="39"/>
        <v>123.4932735426009</v>
      </c>
      <c r="D55" s="2976">
        <f t="shared" si="9"/>
        <v>123.4932735426009</v>
      </c>
      <c r="E55" s="2976">
        <f t="shared" si="40"/>
        <v>129.82233502538071</v>
      </c>
      <c r="F55" s="2976">
        <f t="shared" si="40"/>
        <v>107.39446721311475</v>
      </c>
      <c r="G55" s="3810">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3168</v>
      </c>
      <c r="B56" s="3010">
        <v>121</v>
      </c>
      <c r="C56" s="3010">
        <v>122</v>
      </c>
      <c r="D56" s="3010">
        <f t="shared" si="9"/>
        <v>122</v>
      </c>
      <c r="E56" s="3010">
        <v>124</v>
      </c>
      <c r="F56" s="3011">
        <v>107</v>
      </c>
      <c r="G56" s="3808">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3169</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09">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3170</v>
      </c>
      <c r="B58" s="2976">
        <f t="shared" si="43"/>
        <v>116.99099099099099</v>
      </c>
      <c r="C58" s="2976">
        <f t="shared" si="43"/>
        <v>118.84848484848486</v>
      </c>
      <c r="D58" s="2976">
        <f t="shared" si="9"/>
        <v>118.84848484848486</v>
      </c>
      <c r="E58" s="2976">
        <f t="shared" si="44"/>
        <v>117.60960960960961</v>
      </c>
      <c r="F58" s="2976">
        <f t="shared" si="44"/>
        <v>104</v>
      </c>
      <c r="G58" s="3809">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3171</v>
      </c>
      <c r="B59" s="3013">
        <f t="shared" si="43"/>
        <v>112.48648648648648</v>
      </c>
      <c r="C59" s="3013">
        <f t="shared" si="43"/>
        <v>115.21212121212122</v>
      </c>
      <c r="D59" s="3013">
        <f t="shared" si="9"/>
        <v>115.21212121212122</v>
      </c>
      <c r="E59" s="3013">
        <f t="shared" si="44"/>
        <v>110.4024024024024</v>
      </c>
      <c r="F59" s="3013">
        <f t="shared" si="44"/>
        <v>104</v>
      </c>
      <c r="G59" s="3810">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3172</v>
      </c>
      <c r="B60" s="3031">
        <v>111</v>
      </c>
      <c r="C60" s="3031">
        <v>114</v>
      </c>
      <c r="D60" s="3031">
        <f t="shared" si="9"/>
        <v>114</v>
      </c>
      <c r="E60" s="3031">
        <v>108</v>
      </c>
      <c r="F60" s="3032">
        <v>104</v>
      </c>
      <c r="G60" s="3808">
        <v>2003</v>
      </c>
      <c r="H60" s="3021">
        <v>4</v>
      </c>
      <c r="I60" s="3033"/>
      <c r="J60" s="3033"/>
      <c r="K60" s="3033"/>
      <c r="L60" s="3033"/>
      <c r="N60" s="3034"/>
      <c r="O60" s="3033"/>
      <c r="P60" s="3033"/>
      <c r="Q60" s="3033"/>
      <c r="S60" s="3034"/>
      <c r="T60" s="3033"/>
      <c r="U60" s="3033"/>
      <c r="V60" s="3033"/>
      <c r="X60" s="3025"/>
      <c r="Y60" s="3025"/>
      <c r="Z60" s="3025"/>
    </row>
    <row r="61" spans="1:26">
      <c r="A61" s="2955" t="s">
        <v>3173</v>
      </c>
      <c r="B61" s="3035">
        <f t="shared" ref="B61:C63" si="45">B62+(B$60-B$64)/4</f>
        <v>109.75</v>
      </c>
      <c r="C61" s="3035">
        <f t="shared" si="45"/>
        <v>112.25</v>
      </c>
      <c r="D61" s="3035">
        <f t="shared" si="9"/>
        <v>112.25</v>
      </c>
      <c r="E61" s="3035">
        <f t="shared" ref="E61:F63" si="46">E62+(E$60-E$64)/4</f>
        <v>107.25</v>
      </c>
      <c r="F61" s="3035">
        <f t="shared" si="46"/>
        <v>103.5</v>
      </c>
      <c r="G61" s="3809">
        <v>2003</v>
      </c>
      <c r="H61" s="2986">
        <v>3</v>
      </c>
      <c r="I61" s="3033"/>
      <c r="J61" s="3033"/>
      <c r="K61" s="3033"/>
      <c r="L61" s="3033"/>
      <c r="X61" s="3025"/>
      <c r="Y61" s="3025"/>
      <c r="Z61" s="3025"/>
    </row>
    <row r="62" spans="1:26">
      <c r="A62" s="2955" t="s">
        <v>3174</v>
      </c>
      <c r="B62" s="3035">
        <f t="shared" si="45"/>
        <v>108.5</v>
      </c>
      <c r="C62" s="3035">
        <f t="shared" si="45"/>
        <v>110.5</v>
      </c>
      <c r="D62" s="3035">
        <f t="shared" si="9"/>
        <v>110.5</v>
      </c>
      <c r="E62" s="3035">
        <f t="shared" si="46"/>
        <v>106.5</v>
      </c>
      <c r="F62" s="3035">
        <f t="shared" si="46"/>
        <v>103</v>
      </c>
      <c r="G62" s="3809">
        <v>2003</v>
      </c>
      <c r="H62" s="2961">
        <v>2</v>
      </c>
      <c r="I62" s="3033"/>
      <c r="J62" s="3033"/>
      <c r="K62" s="3033"/>
      <c r="L62" s="3033"/>
      <c r="X62" s="3025"/>
      <c r="Y62" s="3025"/>
      <c r="Z62" s="3025"/>
    </row>
    <row r="63" spans="1:26" ht="13.5" thickBot="1">
      <c r="A63" s="2955" t="s">
        <v>3175</v>
      </c>
      <c r="B63" s="3035">
        <f t="shared" si="45"/>
        <v>107.25</v>
      </c>
      <c r="C63" s="3035">
        <f t="shared" si="45"/>
        <v>108.75</v>
      </c>
      <c r="D63" s="3035">
        <f t="shared" si="9"/>
        <v>108.75</v>
      </c>
      <c r="E63" s="3035">
        <f t="shared" si="46"/>
        <v>105.75</v>
      </c>
      <c r="F63" s="3035">
        <f t="shared" si="46"/>
        <v>102.5</v>
      </c>
      <c r="G63" s="3810">
        <v>2003</v>
      </c>
      <c r="H63" s="3036">
        <v>1</v>
      </c>
      <c r="I63" s="3033"/>
      <c r="J63" s="3033"/>
      <c r="K63" s="3033"/>
      <c r="L63" s="3033"/>
      <c r="S63" s="2971"/>
      <c r="T63" s="2972"/>
      <c r="U63" s="2972"/>
      <c r="X63" s="3025"/>
      <c r="Y63" s="3025"/>
      <c r="Z63" s="3025"/>
    </row>
    <row r="64" spans="1:26" ht="13.5" thickBot="1">
      <c r="A64" s="2955" t="s">
        <v>3176</v>
      </c>
      <c r="B64" s="3037">
        <v>106</v>
      </c>
      <c r="C64" s="3037">
        <v>107</v>
      </c>
      <c r="D64" s="3037">
        <f t="shared" si="9"/>
        <v>107</v>
      </c>
      <c r="E64" s="3037">
        <v>105</v>
      </c>
      <c r="F64" s="3038">
        <v>102</v>
      </c>
      <c r="G64" s="3808">
        <v>2002</v>
      </c>
      <c r="H64" s="2981">
        <v>4</v>
      </c>
      <c r="I64" s="3033"/>
      <c r="J64" s="3033"/>
      <c r="K64" s="3033"/>
      <c r="L64" s="3033"/>
      <c r="N64" s="3034"/>
      <c r="O64" s="3033"/>
      <c r="P64" s="3033"/>
      <c r="Q64" s="3033"/>
      <c r="S64" s="3034"/>
      <c r="T64" s="3033"/>
      <c r="U64" s="3033"/>
      <c r="V64" s="3033"/>
      <c r="X64" s="3025"/>
      <c r="Y64" s="3025"/>
      <c r="Z64" s="3025"/>
    </row>
    <row r="65" spans="1:26">
      <c r="A65" s="2955" t="s">
        <v>3177</v>
      </c>
      <c r="B65" s="3035">
        <f t="shared" ref="B65:C67" si="47">B66+(B$64-B$68)/4</f>
        <v>105</v>
      </c>
      <c r="C65" s="3035">
        <f t="shared" si="47"/>
        <v>106</v>
      </c>
      <c r="D65" s="3035">
        <f t="shared" si="9"/>
        <v>106</v>
      </c>
      <c r="E65" s="3035">
        <f t="shared" ref="E65:F67" si="48">E66+(E$64-E$68)/4</f>
        <v>104.5</v>
      </c>
      <c r="F65" s="3035">
        <f t="shared" si="48"/>
        <v>101.5</v>
      </c>
      <c r="G65" s="3809">
        <v>2002</v>
      </c>
      <c r="H65" s="2986">
        <v>3</v>
      </c>
      <c r="I65" s="3033"/>
      <c r="J65" s="3033"/>
      <c r="K65" s="3033"/>
      <c r="L65" s="3033"/>
      <c r="X65" s="3025"/>
      <c r="Y65" s="3025"/>
      <c r="Z65" s="3025"/>
    </row>
    <row r="66" spans="1:26">
      <c r="A66" s="2955" t="s">
        <v>3178</v>
      </c>
      <c r="B66" s="3035">
        <f t="shared" si="47"/>
        <v>104</v>
      </c>
      <c r="C66" s="3035">
        <f t="shared" si="47"/>
        <v>105</v>
      </c>
      <c r="D66" s="3035">
        <f t="shared" si="9"/>
        <v>105</v>
      </c>
      <c r="E66" s="3035">
        <f t="shared" si="48"/>
        <v>104</v>
      </c>
      <c r="F66" s="3035">
        <f t="shared" si="48"/>
        <v>101</v>
      </c>
      <c r="G66" s="3809">
        <v>2002</v>
      </c>
      <c r="H66" s="2961">
        <v>2</v>
      </c>
      <c r="I66" s="3033"/>
      <c r="J66" s="3033"/>
      <c r="K66" s="3033"/>
      <c r="L66" s="3033"/>
      <c r="X66" s="3025"/>
      <c r="Y66" s="3025"/>
      <c r="Z66" s="3025"/>
    </row>
    <row r="67" spans="1:26" s="2997" customFormat="1" ht="13.5" thickBot="1">
      <c r="A67" s="2993" t="s">
        <v>3179</v>
      </c>
      <c r="B67" s="3039">
        <f t="shared" si="47"/>
        <v>103</v>
      </c>
      <c r="C67" s="3039">
        <f t="shared" si="47"/>
        <v>104</v>
      </c>
      <c r="D67" s="3039">
        <f t="shared" si="9"/>
        <v>104</v>
      </c>
      <c r="E67" s="3039">
        <f t="shared" si="48"/>
        <v>103.5</v>
      </c>
      <c r="F67" s="3039">
        <f t="shared" si="48"/>
        <v>100.5</v>
      </c>
      <c r="G67" s="3810">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3180</v>
      </c>
      <c r="G70" s="3049"/>
      <c r="N70" s="3049"/>
      <c r="S70" s="3049"/>
    </row>
    <row r="71" spans="1:26" s="3048" customFormat="1">
      <c r="A71" s="3048" t="s">
        <v>3181</v>
      </c>
      <c r="G71" s="3049"/>
      <c r="N71" s="3049"/>
      <c r="S71" s="3049"/>
    </row>
    <row r="72" spans="1:26" s="3048" customFormat="1">
      <c r="A72" s="3048" t="s">
        <v>3182</v>
      </c>
      <c r="G72" s="3049"/>
      <c r="I72" s="3050"/>
      <c r="J72" s="3050"/>
      <c r="K72" s="3050"/>
      <c r="L72" s="3050"/>
      <c r="N72" s="3051"/>
      <c r="O72" s="3050"/>
      <c r="P72" s="3050"/>
      <c r="Q72" s="3050"/>
      <c r="S72" s="3051"/>
      <c r="T72" s="3050"/>
      <c r="U72" s="3050"/>
      <c r="V72" s="3050"/>
    </row>
    <row r="73" spans="1:26" s="3048" customFormat="1">
      <c r="A73" s="3048" t="s">
        <v>3183</v>
      </c>
      <c r="G73" s="3049"/>
      <c r="N73" s="3049"/>
      <c r="S73" s="3049"/>
    </row>
    <row r="80" spans="1:26" ht="13.5" thickBot="1"/>
    <row r="81" spans="14:22" s="2970" customFormat="1">
      <c r="N81" s="2985"/>
      <c r="S81" s="3052" t="s">
        <v>3184</v>
      </c>
      <c r="T81" s="3053" t="s">
        <v>3185</v>
      </c>
      <c r="U81" s="3053" t="s">
        <v>3186</v>
      </c>
      <c r="V81" s="3053" t="s">
        <v>3187</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19" t="s">
        <v>2752</v>
      </c>
      <c r="D1" s="3820"/>
      <c r="E1" s="3820"/>
      <c r="F1" s="3820"/>
      <c r="G1" s="3820"/>
      <c r="H1" s="3820"/>
      <c r="I1" s="3820"/>
      <c r="J1" s="3820"/>
      <c r="K1" s="3820"/>
      <c r="L1" s="3820"/>
      <c r="M1" s="3820"/>
      <c r="N1" s="3820"/>
      <c r="O1" s="3820"/>
      <c r="P1" s="3820"/>
      <c r="Q1" s="3820"/>
      <c r="R1" s="3820"/>
      <c r="S1" s="3821"/>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16" t="s">
        <v>333</v>
      </c>
      <c r="D22" s="3817"/>
      <c r="E22" s="3817"/>
      <c r="F22" s="3817"/>
      <c r="G22" s="3817"/>
      <c r="H22" s="3817"/>
      <c r="I22" s="3817"/>
      <c r="J22" s="3817"/>
      <c r="K22" s="3817"/>
      <c r="L22" s="3817"/>
      <c r="M22" s="3817"/>
      <c r="N22" s="3817"/>
      <c r="O22" s="3817"/>
      <c r="P22" s="3817"/>
      <c r="Q22" s="3818"/>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77561</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2905</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3084</v>
      </c>
    </row>
    <row r="9" spans="1:7" s="594" customFormat="1" ht="13.5" customHeight="1">
      <c r="A9" s="1827" t="s">
        <v>2281</v>
      </c>
      <c r="B9" s="604" t="s">
        <v>1065</v>
      </c>
      <c r="C9" s="605">
        <f>ROUND(D9*E9/10000,0)</f>
        <v>1115</v>
      </c>
      <c r="D9" s="1931">
        <f>'数据-汇总表'!E5</f>
        <v>65599.03</v>
      </c>
      <c r="E9" s="605">
        <f>'数据-取费表'!B27</f>
        <v>170</v>
      </c>
      <c r="F9" s="601"/>
      <c r="G9" s="606"/>
    </row>
    <row r="10" spans="1:7" s="594" customFormat="1" ht="13.5" customHeight="1">
      <c r="A10" s="1827" t="s">
        <v>2282</v>
      </c>
      <c r="B10" s="604" t="s">
        <v>1066</v>
      </c>
      <c r="C10" s="605">
        <f>ROUND(D10*E10/10000,0)</f>
        <v>1349</v>
      </c>
      <c r="D10" s="1931">
        <f>'数据-汇总表'!E6</f>
        <v>79335.739999999991</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f>IF(G19="已包含在土地取得成本中","0",ROUND(D19*E19/10000,0))</f>
        <v>2899</v>
      </c>
      <c r="D19" s="1935">
        <f>'数据-汇总表'!E3</f>
        <v>144934.76999999999</v>
      </c>
      <c r="E19" s="591">
        <f>'数据-取费表'!B31</f>
        <v>200</v>
      </c>
      <c r="F19" s="611"/>
      <c r="G19" s="84" t="s">
        <v>2928</v>
      </c>
    </row>
    <row r="20" spans="1:7" s="594" customFormat="1" ht="13.5" customHeight="1">
      <c r="A20" s="1825" t="s">
        <v>2908</v>
      </c>
      <c r="B20" s="590" t="s">
        <v>1076</v>
      </c>
      <c r="C20" s="612">
        <f>ROUND((C5+C19)*F20,0)</f>
        <v>356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2912</v>
      </c>
      <c r="C23" s="2736">
        <f ca="1">ROUND(IF('数据-取费表'!B22&lt;=1,C5*F22*'数据-取费表'!B23,C5*(POWER((1+F22),'数据-取费表'!B23)-1)),0)</f>
        <v>2237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312</v>
      </c>
      <c r="D24" s="618"/>
      <c r="E24" s="618"/>
      <c r="F24" s="619"/>
      <c r="G24" s="620" t="s">
        <v>1081</v>
      </c>
    </row>
    <row r="25" spans="1:7" s="594" customFormat="1" ht="24">
      <c r="A25" s="1828" t="s">
        <v>2274</v>
      </c>
      <c r="B25" s="595" t="s">
        <v>2909</v>
      </c>
      <c r="C25" s="2736">
        <f ca="1">ROUND(IF('数据-取费表'!B22&lt;=1,C20*F22*'数据-取费表'!B23/2,C20*(POWER((1+F22),'数据-取费表'!B23/2)-1)),0)</f>
        <v>19</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3388</v>
      </c>
      <c r="D27" s="615">
        <f>C29</f>
        <v>2.8E-3</v>
      </c>
      <c r="E27" s="616" t="s">
        <v>1098</v>
      </c>
      <c r="F27" s="626">
        <f>'数据-取费表'!Q16</f>
        <v>0.16</v>
      </c>
      <c r="G27" s="627" t="s">
        <v>2920</v>
      </c>
    </row>
    <row r="28" spans="1:7" s="594" customFormat="1" ht="13.5" customHeight="1">
      <c r="A28" s="1828" t="s">
        <v>2275</v>
      </c>
      <c r="B28" s="628" t="s">
        <v>2913</v>
      </c>
      <c r="C28" s="629">
        <f>ROUND((C5+C19+C20)*F27*'数据-取费表'!B21/'数据-取费表'!B20,0)</f>
        <v>3388</v>
      </c>
      <c r="D28" s="615"/>
      <c r="E28" s="616"/>
      <c r="F28" s="626"/>
      <c r="G28" s="627"/>
    </row>
    <row r="29" spans="1:7" s="594" customFormat="1" ht="13.5" customHeight="1">
      <c r="A29" s="1828" t="s">
        <v>2273</v>
      </c>
      <c r="B29" s="628" t="s">
        <v>2914</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32530</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SUM(C34:C38)</f>
        <v>33757</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29652</v>
      </c>
      <c r="D34" s="597"/>
      <c r="E34" s="600"/>
      <c r="F34" s="637">
        <f>IF('数据-取费表'!B24=0,1,'数据-取费表'!N16)</f>
        <v>0.752</v>
      </c>
      <c r="G34" s="599" t="s">
        <v>1088</v>
      </c>
    </row>
    <row r="35" spans="1:7" ht="13.5" customHeight="1">
      <c r="A35" s="1828" t="s">
        <v>2277</v>
      </c>
      <c r="B35" s="595" t="s">
        <v>515</v>
      </c>
      <c r="C35" s="600">
        <f>ROUND(C34*F35,0)</f>
        <v>890</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590</v>
      </c>
      <c r="D36" s="600"/>
      <c r="E36" s="600"/>
      <c r="F36" s="639">
        <f>'数据-取费表'!B34</f>
        <v>0.05</v>
      </c>
      <c r="G36" s="640" t="s">
        <v>517</v>
      </c>
    </row>
    <row r="37" spans="1:7" s="638" customFormat="1" ht="13.5" customHeight="1">
      <c r="A37" s="1828" t="s">
        <v>2279</v>
      </c>
      <c r="B37" s="595" t="s">
        <v>1090</v>
      </c>
      <c r="C37" s="629">
        <f>ROUND(E37*D37*F34/10000,0)</f>
        <v>2180</v>
      </c>
      <c r="D37" s="597">
        <f>'数据-汇总表'!E3</f>
        <v>144934.76999999999</v>
      </c>
      <c r="E37" s="629">
        <f>'数据-取费表'!B35</f>
        <v>200</v>
      </c>
      <c r="F37" s="639"/>
      <c r="G37" s="641" t="s">
        <v>1091</v>
      </c>
    </row>
    <row r="38" spans="1:7" ht="13.5" customHeight="1">
      <c r="A38" s="1828" t="s">
        <v>2280</v>
      </c>
      <c r="B38" s="595" t="s">
        <v>518</v>
      </c>
      <c r="C38" s="600">
        <f>ROUND(C34*F38,0)</f>
        <v>445</v>
      </c>
      <c r="D38" s="600"/>
      <c r="E38" s="600"/>
      <c r="F38" s="639">
        <f>'数据-取费表'!B36</f>
        <v>1.4999999999999999E-2</v>
      </c>
      <c r="G38" s="599" t="s">
        <v>1089</v>
      </c>
    </row>
    <row r="39" spans="1:7" s="594" customFormat="1" ht="13.5" customHeight="1">
      <c r="A39" s="1825" t="s">
        <v>2264</v>
      </c>
      <c r="B39" s="590" t="s">
        <v>1076</v>
      </c>
      <c r="C39" s="612">
        <f>ROUND(C33*F20,0)</f>
        <v>506</v>
      </c>
      <c r="D39" s="612"/>
      <c r="E39" s="612"/>
      <c r="F39" s="613"/>
      <c r="G39" s="2655" t="s">
        <v>2922</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2275</v>
      </c>
      <c r="B42" s="595" t="s">
        <v>2912</v>
      </c>
      <c r="C42" s="618">
        <f ca="1">ROUND(IF('数据-取费表'!B22&lt;=1,C33*F22*'数据-取费表'!B21/2,C33*(POWER((1+F22),'数据-取费表'!B21/2)-1)),0)</f>
        <v>1768</v>
      </c>
      <c r="D42" s="618"/>
      <c r="E42" s="618"/>
      <c r="F42" s="619"/>
      <c r="G42" s="3647" t="s">
        <v>1093</v>
      </c>
    </row>
    <row r="43" spans="1:7" ht="13.5" customHeight="1">
      <c r="A43" s="1828" t="s">
        <v>2273</v>
      </c>
      <c r="B43" s="595" t="s">
        <v>2915</v>
      </c>
      <c r="C43" s="618">
        <f ca="1">ROUND(IF('数据-取费表'!B22&lt;=1,C39*F22*'数据-取费表'!B21/2,C39*(POWER((1+F22),'数据-取费表'!B21/2)-1)),0)</f>
        <v>27</v>
      </c>
      <c r="D43" s="618"/>
      <c r="E43" s="618"/>
      <c r="F43" s="619"/>
      <c r="G43" s="3648"/>
    </row>
    <row r="44" spans="1:7" ht="13.5" customHeight="1">
      <c r="A44" s="1828" t="s">
        <v>2274</v>
      </c>
      <c r="B44" s="595" t="s">
        <v>2917</v>
      </c>
      <c r="C44" s="618">
        <f ca="1">ROUND(IF('数据-取费表'!B22&lt;=1,C40*F22*'数据-取费表'!B21/2,C40*(POWER((1+F22),'数据-取费表'!B21/2)-1)),4)</f>
        <v>1E-3</v>
      </c>
      <c r="D44" s="618"/>
      <c r="E44" s="618"/>
      <c r="F44" s="619"/>
      <c r="G44" s="3649"/>
    </row>
    <row r="45" spans="1:7" s="594" customFormat="1" ht="13.5" customHeight="1">
      <c r="A45" s="1825" t="s">
        <v>2267</v>
      </c>
      <c r="B45" s="624" t="s">
        <v>1084</v>
      </c>
      <c r="C45" s="625">
        <f>C46</f>
        <v>5482</v>
      </c>
      <c r="D45" s="615">
        <f>C47</f>
        <v>3.2000000000000002E-3</v>
      </c>
      <c r="E45" s="616" t="s">
        <v>1101</v>
      </c>
      <c r="F45" s="626"/>
      <c r="G45" s="627" t="s">
        <v>2923</v>
      </c>
    </row>
    <row r="46" spans="1:7" s="594" customFormat="1" ht="13.5" customHeight="1">
      <c r="A46" s="1828" t="s">
        <v>2275</v>
      </c>
      <c r="B46" s="628" t="s">
        <v>2916</v>
      </c>
      <c r="C46" s="629">
        <f>ROUND((C33+C39)*F27,0)</f>
        <v>5482</v>
      </c>
      <c r="D46" s="643"/>
      <c r="E46" s="616"/>
      <c r="F46" s="626"/>
      <c r="G46" s="627"/>
    </row>
    <row r="47" spans="1:7" s="594" customFormat="1" ht="13.5" customHeight="1">
      <c r="A47" s="1828" t="s">
        <v>2273</v>
      </c>
      <c r="B47" s="628" t="s">
        <v>2918</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45031</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45031</v>
      </c>
      <c r="D51" s="612"/>
      <c r="E51" s="612"/>
      <c r="F51" s="644"/>
      <c r="G51" s="614" t="s">
        <v>519</v>
      </c>
    </row>
    <row r="52" spans="1:7" s="588" customFormat="1" ht="16.5" thickBot="1">
      <c r="A52" s="645" t="s">
        <v>520</v>
      </c>
      <c r="B52" s="646"/>
      <c r="C52" s="647">
        <f ca="1">C31+C51</f>
        <v>77561</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22" t="s">
        <v>1516</v>
      </c>
      <c r="B1" s="3822"/>
      <c r="C1" s="3822"/>
      <c r="D1" s="3822"/>
      <c r="E1" s="3822"/>
      <c r="F1" s="3822"/>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23" t="s">
        <v>1529</v>
      </c>
      <c r="B2" s="3823"/>
      <c r="C2" s="3823"/>
      <c r="D2" s="3823"/>
      <c r="E2" s="3823"/>
      <c r="F2" s="3823"/>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24"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25"/>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2888</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2888</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22" t="s">
        <v>2501</v>
      </c>
      <c r="B1" s="3822"/>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4" t="s">
        <v>2399</v>
      </c>
      <c r="B1" s="3464"/>
      <c r="C1" s="3464"/>
      <c r="D1" s="3464"/>
      <c r="E1" s="3464"/>
      <c r="F1" s="3464"/>
      <c r="G1" s="3464"/>
      <c r="H1" s="3464"/>
      <c r="I1" s="3464"/>
    </row>
    <row r="2" spans="1:9" ht="30" customHeight="1" thickTop="1">
      <c r="A2" s="3465" t="s">
        <v>3279</v>
      </c>
      <c r="B2" s="3465" t="s">
        <v>2400</v>
      </c>
      <c r="C2" s="3465" t="s">
        <v>2401</v>
      </c>
      <c r="D2" s="3465" t="str">
        <f>结果表!D116</f>
        <v>出让国有建设用地使用权价值</v>
      </c>
      <c r="E2" s="3465"/>
      <c r="F2" s="3465" t="str">
        <f>结果表!F116</f>
        <v>在建建筑物价值</v>
      </c>
      <c r="G2" s="3465"/>
      <c r="H2" s="3465" t="s">
        <v>6</v>
      </c>
      <c r="I2" s="3465"/>
    </row>
    <row r="3" spans="1:9" ht="14.25">
      <c r="A3" s="3466"/>
      <c r="B3" s="3466"/>
      <c r="C3" s="3466"/>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144934.76999999999</v>
      </c>
      <c r="C4" s="2001">
        <f>项目基本情况!C18</f>
        <v>24804.11</v>
      </c>
      <c r="D4" s="2001">
        <f ca="1">结果表!D118</f>
        <v>192706</v>
      </c>
      <c r="E4" s="2001">
        <f ca="1">结果表!E118</f>
        <v>13296</v>
      </c>
      <c r="F4" s="2001">
        <f ca="1">结果表!F118</f>
        <v>43453</v>
      </c>
      <c r="G4" s="2001">
        <f ca="1">结果表!G118</f>
        <v>2998</v>
      </c>
      <c r="H4" s="2001">
        <f ca="1">结果表!H118</f>
        <v>236159</v>
      </c>
      <c r="I4" s="2001">
        <f ca="1">结果表!I118</f>
        <v>16294</v>
      </c>
    </row>
    <row r="5" spans="1:9" ht="30" customHeight="1">
      <c r="A5" s="3466" t="s">
        <v>9</v>
      </c>
      <c r="B5" s="3466"/>
      <c r="C5" s="3466"/>
      <c r="D5" s="3467" t="str">
        <f ca="1">结果表!D119</f>
        <v>壹拾玖亿贰仟柒佰零陆万元整</v>
      </c>
      <c r="E5" s="3467"/>
      <c r="F5" s="3467" t="str">
        <f ca="1">结果表!F119</f>
        <v>肆亿叁仟肆佰伍拾叁万元整</v>
      </c>
      <c r="G5" s="3467"/>
      <c r="H5" s="3467" t="str">
        <f ca="1">结果表!H119</f>
        <v>贰拾叁亿陆仟壹佰伍拾玖万元整</v>
      </c>
      <c r="I5" s="3467"/>
    </row>
    <row r="6" spans="1:9" ht="15.75">
      <c r="A6" s="3468" t="str">
        <f>结果表!A120</f>
        <v>估价师知悉的法定优先受偿款</v>
      </c>
      <c r="B6" s="3468"/>
      <c r="C6" s="3468"/>
      <c r="D6" s="3469">
        <f>结果表!D120</f>
        <v>17165</v>
      </c>
      <c r="E6" s="3469"/>
      <c r="F6" s="3469"/>
      <c r="G6" s="3469"/>
      <c r="H6" s="3469"/>
      <c r="I6" s="3469"/>
    </row>
    <row r="7" spans="1:9" ht="14.25">
      <c r="A7" s="3466" t="s">
        <v>9</v>
      </c>
      <c r="B7" s="3466"/>
      <c r="C7" s="3466"/>
      <c r="D7" s="3470" t="str">
        <f>结果表!D121</f>
        <v>壹亿柒仟壹佰陆拾伍万元整</v>
      </c>
      <c r="E7" s="3471"/>
      <c r="F7" s="3471"/>
      <c r="G7" s="3471"/>
      <c r="H7" s="3471"/>
      <c r="I7" s="3472"/>
    </row>
    <row r="8" spans="1:9" ht="15.75">
      <c r="A8" s="3468" t="str">
        <f>结果表!A122</f>
        <v>房地产抵押价值</v>
      </c>
      <c r="B8" s="3468"/>
      <c r="C8" s="3468"/>
      <c r="D8" s="3469">
        <f ca="1">结果表!D122</f>
        <v>218994</v>
      </c>
      <c r="E8" s="3469"/>
      <c r="F8" s="3469"/>
      <c r="G8" s="3469"/>
      <c r="H8" s="3469"/>
      <c r="I8" s="3469"/>
    </row>
    <row r="9" spans="1:9" ht="14.25">
      <c r="A9" s="3466" t="s">
        <v>9</v>
      </c>
      <c r="B9" s="3466"/>
      <c r="C9" s="3466"/>
      <c r="D9" s="3467" t="str">
        <f ca="1">结果表!D123</f>
        <v>贰拾壹亿捌仟玖佰玖拾肆万元整</v>
      </c>
      <c r="E9" s="3467"/>
      <c r="F9" s="3467"/>
      <c r="G9" s="3467"/>
      <c r="H9" s="3467"/>
      <c r="I9" s="3467"/>
    </row>
    <row r="10" spans="1:9" ht="15.75">
      <c r="A10" s="3468" t="str">
        <f>结果表!A124</f>
        <v>抵押担保权已注销时的房地产抵押价值</v>
      </c>
      <c r="B10" s="3468"/>
      <c r="C10" s="3468"/>
      <c r="D10" s="3469">
        <f ca="1">结果表!D124</f>
        <v>218994</v>
      </c>
      <c r="E10" s="3469"/>
      <c r="F10" s="3469"/>
      <c r="G10" s="3469"/>
      <c r="H10" s="3469"/>
      <c r="I10" s="3469"/>
    </row>
    <row r="11" spans="1:9" ht="14.25">
      <c r="A11" s="3466" t="s">
        <v>9</v>
      </c>
      <c r="B11" s="3466"/>
      <c r="C11" s="3466"/>
      <c r="D11" s="3467" t="str">
        <f ca="1">结果表!D125</f>
        <v>贰拾壹亿捌仟玖佰玖拾肆万元整</v>
      </c>
      <c r="E11" s="3467"/>
      <c r="F11" s="3467"/>
      <c r="G11" s="3467"/>
      <c r="H11" s="3467"/>
      <c r="I11" s="3467"/>
    </row>
    <row r="12" spans="1:9" ht="15.75">
      <c r="A12" s="3468" t="str">
        <f>结果表!A126</f>
        <v>抵押净值</v>
      </c>
      <c r="B12" s="3468"/>
      <c r="C12" s="3468"/>
      <c r="D12" s="3469">
        <f ca="1">结果表!D126</f>
        <v>203630</v>
      </c>
      <c r="E12" s="3469"/>
      <c r="F12" s="3469"/>
      <c r="G12" s="3469"/>
      <c r="H12" s="3469"/>
      <c r="I12" s="3469"/>
    </row>
    <row r="13" spans="1:9" ht="15" thickBot="1">
      <c r="A13" s="3473" t="s">
        <v>9</v>
      </c>
      <c r="B13" s="3473"/>
      <c r="C13" s="3473"/>
      <c r="D13" s="3474" t="str">
        <f ca="1">结果表!D127</f>
        <v>贰拾亿叁仟陆佰叁拾万元整</v>
      </c>
      <c r="E13" s="3474"/>
      <c r="F13" s="3474"/>
      <c r="G13" s="3474"/>
      <c r="H13" s="3474"/>
      <c r="I13" s="3474"/>
    </row>
    <row r="14" spans="1:9" ht="14.25" thickTop="1">
      <c r="A14" s="3475" t="s">
        <v>2403</v>
      </c>
      <c r="B14" s="3475"/>
      <c r="C14" s="3475"/>
      <c r="D14" s="3475"/>
      <c r="E14" s="3475"/>
      <c r="F14" s="3475"/>
      <c r="G14" s="3475"/>
      <c r="H14" s="3475"/>
      <c r="I14" s="3475"/>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3311</v>
      </c>
      <c r="C1" s="3239">
        <f>项目基本情况!D3</f>
        <v>43006</v>
      </c>
      <c r="D1" s="3245" t="s">
        <v>3312</v>
      </c>
      <c r="E1" s="3240">
        <f>'数据-取费表'!B22</f>
        <v>2.5</v>
      </c>
      <c r="F1" s="3245" t="s">
        <v>3313</v>
      </c>
      <c r="G1" s="3241">
        <f ca="1">INDIRECT("d"&amp;$K$1)/100</f>
        <v>4.7500000000000001E-2</v>
      </c>
      <c r="H1" s="3245" t="s">
        <v>3343</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3314</v>
      </c>
      <c r="E2" s="3181"/>
      <c r="F2" s="3181" t="s">
        <v>3315</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3316</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3317</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3318</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3319</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3320</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3321</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3322</v>
      </c>
      <c r="C10" s="3209"/>
      <c r="D10" s="3209"/>
      <c r="E10" s="3209"/>
      <c r="F10" s="3209"/>
      <c r="G10" s="3209"/>
      <c r="H10" s="3209"/>
      <c r="I10" s="3183"/>
      <c r="J10" s="3183"/>
      <c r="K10" s="3209"/>
      <c r="L10" s="3210" t="s">
        <v>3323</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3324</v>
      </c>
      <c r="C11" s="3214" t="s">
        <v>3325</v>
      </c>
      <c r="D11" s="3215" t="s">
        <v>3326</v>
      </c>
      <c r="E11" s="3216"/>
      <c r="F11" s="3215" t="s">
        <v>3327</v>
      </c>
      <c r="G11" s="3217"/>
      <c r="H11" s="3216"/>
      <c r="I11" s="3215" t="s">
        <v>3328</v>
      </c>
      <c r="J11" s="3216"/>
      <c r="K11" s="3212"/>
      <c r="L11" s="3213" t="s">
        <v>3324</v>
      </c>
      <c r="M11" s="3214" t="s">
        <v>3325</v>
      </c>
      <c r="N11" s="3213" t="s">
        <v>3329</v>
      </c>
      <c r="O11" s="3215" t="s">
        <v>3330</v>
      </c>
      <c r="P11" s="3217"/>
      <c r="Q11" s="3217"/>
      <c r="R11" s="3217"/>
      <c r="S11" s="3217"/>
      <c r="T11" s="3216"/>
      <c r="U11" s="3215" t="s">
        <v>3331</v>
      </c>
      <c r="V11" s="3217"/>
      <c r="W11" s="3216"/>
      <c r="X11" s="3213" t="s">
        <v>3332</v>
      </c>
      <c r="Y11" s="3213" t="s">
        <v>3333</v>
      </c>
      <c r="Z11" s="3213" t="s">
        <v>3334</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3335</v>
      </c>
      <c r="E12" s="3222" t="s">
        <v>3336</v>
      </c>
      <c r="F12" s="3222" t="s">
        <v>3337</v>
      </c>
      <c r="G12" s="3222" t="s">
        <v>3338</v>
      </c>
      <c r="H12" s="3222" t="s">
        <v>3320</v>
      </c>
      <c r="I12" s="3223" t="s">
        <v>3339</v>
      </c>
      <c r="J12" s="3223" t="s">
        <v>3339</v>
      </c>
      <c r="K12" s="3219"/>
      <c r="L12" s="3220"/>
      <c r="M12" s="3221"/>
      <c r="N12" s="3220"/>
      <c r="O12" s="3223" t="s">
        <v>3340</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3341</v>
      </c>
      <c r="C13" s="3227">
        <v>42301</v>
      </c>
      <c r="D13" s="3228">
        <v>4.3499999999999996</v>
      </c>
      <c r="E13" s="3228">
        <v>4.3499999999999996</v>
      </c>
      <c r="F13" s="3228">
        <v>4.75</v>
      </c>
      <c r="G13" s="3228">
        <v>4.75</v>
      </c>
      <c r="H13" s="3228">
        <v>4.9000000000000004</v>
      </c>
      <c r="I13" s="3228">
        <v>2.75</v>
      </c>
      <c r="J13" s="3228">
        <v>3.25</v>
      </c>
      <c r="K13" s="3225"/>
      <c r="L13" s="3226" t="s">
        <v>3341</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3342</v>
      </c>
      <c r="Y42" s="3232" t="s">
        <v>3342</v>
      </c>
      <c r="Z42" s="3232" t="s">
        <v>3342</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3342</v>
      </c>
      <c r="Y43" s="3232" t="s">
        <v>3342</v>
      </c>
      <c r="Z43" s="3232" t="s">
        <v>3342</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3342</v>
      </c>
      <c r="Y44" s="3232" t="s">
        <v>3342</v>
      </c>
      <c r="Z44" s="3232" t="s">
        <v>3342</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3342</v>
      </c>
      <c r="Y45" s="3232" t="s">
        <v>3342</v>
      </c>
      <c r="Z45" s="3232" t="s">
        <v>3342</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3342</v>
      </c>
      <c r="Y46" s="3232" t="s">
        <v>3342</v>
      </c>
      <c r="Z46" s="3232" t="s">
        <v>3342</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3342</v>
      </c>
      <c r="Y47" s="3232" t="s">
        <v>3342</v>
      </c>
      <c r="Z47" s="3232" t="s">
        <v>3342</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3342</v>
      </c>
      <c r="Y48" s="3232" t="s">
        <v>3342</v>
      </c>
      <c r="Z48" s="3232" t="s">
        <v>3342</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3342</v>
      </c>
      <c r="Y49" s="3232" t="s">
        <v>3342</v>
      </c>
      <c r="Z49" s="3232" t="s">
        <v>3342</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3342</v>
      </c>
      <c r="Y50" s="3232" t="s">
        <v>3342</v>
      </c>
      <c r="Z50" s="3232" t="s">
        <v>3342</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3342</v>
      </c>
      <c r="V51" s="3232" t="s">
        <v>3342</v>
      </c>
      <c r="W51" s="3232" t="s">
        <v>3342</v>
      </c>
      <c r="X51" s="3232" t="s">
        <v>3342</v>
      </c>
      <c r="Y51" s="3232" t="s">
        <v>3342</v>
      </c>
      <c r="Z51" s="3232" t="s">
        <v>3342</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3342</v>
      </c>
      <c r="J55" s="3232" t="s">
        <v>3342</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76" t="s">
        <v>3255</v>
      </c>
      <c r="B1" s="3476"/>
      <c r="C1" s="3476"/>
      <c r="D1" s="3476"/>
    </row>
    <row r="2" spans="1:4" ht="18.75">
      <c r="A2" s="3477" t="s">
        <v>2476</v>
      </c>
      <c r="B2" s="3477"/>
      <c r="C2" s="3477"/>
      <c r="D2" s="3477"/>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77" t="s">
        <v>3013</v>
      </c>
      <c r="B6" s="3477"/>
      <c r="C6" s="3477"/>
      <c r="D6" s="3477"/>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78" t="s">
        <v>3109</v>
      </c>
      <c r="B11" s="3479"/>
      <c r="C11" s="3479"/>
      <c r="D11" s="3479"/>
    </row>
    <row r="12" spans="1:4" ht="14.25">
      <c r="A12" s="3479" t="str">
        <f>IF(项目基本情况!B8="抵押","2.本《评估意见函》仅供金融机构进行内部审核使用，不做其他目的之用。","")</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9"/>
      <c r="C15" s="3479"/>
      <c r="D15" s="3479"/>
    </row>
    <row r="16" spans="1:4" ht="30" customHeight="1">
      <c r="A16" s="3482" t="s">
        <v>2488</v>
      </c>
      <c r="B16" s="3482"/>
      <c r="C16" s="3482"/>
      <c r="D16" s="3482"/>
    </row>
    <row r="17" spans="1:4" ht="144" customHeight="1">
      <c r="A17" s="3482" t="s">
        <v>2489</v>
      </c>
      <c r="B17" s="3482"/>
      <c r="C17" s="3482"/>
      <c r="D17" s="3482"/>
    </row>
    <row r="18" spans="1:4" ht="15.75" customHeight="1">
      <c r="A18" s="3479" t="str">
        <f>IF(项目基本情况!B8="抵押",结果表!K120,"")</f>
        <v>故，本次评估估价师知悉的法定优先受偿款为人民币17165万元整。</v>
      </c>
      <c r="B18" s="3479"/>
      <c r="C18" s="3479"/>
      <c r="D18" s="3479"/>
    </row>
    <row r="19" spans="1:4" ht="46.5" customHeight="1">
      <c r="A19" s="347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3277</v>
      </c>
      <c r="B22" s="3484"/>
      <c r="C22" s="3484"/>
      <c r="D22" s="3484"/>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81">
        <v>42551</v>
      </c>
      <c r="D31" s="348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0" t="s">
        <v>782</v>
      </c>
      <c r="B15" s="3485" t="s">
        <v>1479</v>
      </c>
      <c r="C15" s="3486"/>
    </row>
    <row r="16" spans="1:7" ht="13.5">
      <c r="A16" s="3491"/>
      <c r="B16" s="3485" t="s">
        <v>754</v>
      </c>
      <c r="C16" s="3486"/>
    </row>
    <row r="17" spans="1:3" ht="13.5">
      <c r="A17" s="3491"/>
      <c r="B17" s="3488" t="s">
        <v>783</v>
      </c>
      <c r="C17" s="1154" t="s">
        <v>782</v>
      </c>
    </row>
    <row r="18" spans="1:3" ht="13.5">
      <c r="A18" s="3491"/>
      <c r="B18" s="3488"/>
      <c r="C18" s="1154" t="s">
        <v>784</v>
      </c>
    </row>
    <row r="19" spans="1:3" ht="13.5">
      <c r="A19" s="3491"/>
      <c r="B19" s="3488"/>
      <c r="C19" s="1154" t="s">
        <v>785</v>
      </c>
    </row>
    <row r="20" spans="1:3" ht="13.5">
      <c r="A20" s="3492"/>
      <c r="B20" s="3487" t="s">
        <v>786</v>
      </c>
      <c r="C20" s="3486"/>
    </row>
    <row r="21" spans="1:3" ht="13.5">
      <c r="A21" s="1155" t="s">
        <v>787</v>
      </c>
      <c r="B21" s="1156"/>
      <c r="C21" s="1157"/>
    </row>
    <row r="22" spans="1:3" ht="13.5">
      <c r="A22" s="3489" t="s">
        <v>788</v>
      </c>
      <c r="B22" s="3487" t="s">
        <v>789</v>
      </c>
      <c r="C22" s="3486"/>
    </row>
    <row r="23" spans="1:3" ht="13.5">
      <c r="A23" s="3489"/>
      <c r="B23" s="3487" t="s">
        <v>790</v>
      </c>
      <c r="C23" s="3486"/>
    </row>
    <row r="24" spans="1:3" ht="13.5">
      <c r="A24" s="3489"/>
      <c r="B24" s="3487" t="s">
        <v>791</v>
      </c>
      <c r="C24" s="3486"/>
    </row>
    <row r="25" spans="1:3" ht="13.5">
      <c r="A25" s="3489"/>
      <c r="B25" s="3488" t="s">
        <v>792</v>
      </c>
      <c r="C25" s="1154" t="s">
        <v>793</v>
      </c>
    </row>
    <row r="26" spans="1:3" ht="13.5">
      <c r="A26" s="3489"/>
      <c r="B26" s="3488"/>
      <c r="C26" s="1154" t="s">
        <v>794</v>
      </c>
    </row>
    <row r="27" spans="1:3" ht="13.5">
      <c r="A27" s="3489"/>
      <c r="B27" s="3488"/>
      <c r="C27" s="1154" t="s">
        <v>795</v>
      </c>
    </row>
    <row r="28" spans="1:3" ht="13.5">
      <c r="A28" s="3489"/>
      <c r="B28" s="3488"/>
      <c r="C28" s="1154" t="s">
        <v>796</v>
      </c>
    </row>
    <row r="29" spans="1:3" ht="13.5">
      <c r="A29" s="3489"/>
      <c r="B29" s="3488"/>
      <c r="C29" s="1154" t="s">
        <v>797</v>
      </c>
    </row>
    <row r="30" spans="1:3" ht="13.5">
      <c r="A30" s="3489"/>
      <c r="B30" s="3488"/>
      <c r="C30" s="1154" t="s">
        <v>798</v>
      </c>
    </row>
    <row r="31" spans="1:3" ht="13.5">
      <c r="A31" s="3489"/>
      <c r="B31" s="3488"/>
      <c r="C31" s="1154" t="s">
        <v>799</v>
      </c>
    </row>
    <row r="32" spans="1:3" ht="13.5">
      <c r="A32" s="3489"/>
      <c r="B32" s="3488"/>
      <c r="C32" s="1154" t="s">
        <v>800</v>
      </c>
    </row>
    <row r="33" spans="1:3" ht="13.5">
      <c r="A33" s="3489"/>
      <c r="B33" s="3488"/>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43007</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3107</v>
      </c>
      <c r="B15" s="1919">
        <v>1120070085</v>
      </c>
      <c r="C15" s="3248">
        <v>43814</v>
      </c>
      <c r="D15" s="3249" t="s">
        <v>3107</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3344</v>
      </c>
      <c r="B24" s="3249" t="s">
        <v>3344</v>
      </c>
      <c r="C24" s="3249" t="s">
        <v>3344</v>
      </c>
      <c r="D24" s="3249" t="s">
        <v>3344</v>
      </c>
      <c r="E24" s="3249" t="s">
        <v>3344</v>
      </c>
      <c r="F24" s="3249" t="s">
        <v>3344</v>
      </c>
    </row>
    <row r="25" spans="1:7" ht="24" customHeight="1">
      <c r="A25" s="3493" t="s">
        <v>2345</v>
      </c>
      <c r="B25" s="3493"/>
      <c r="C25" s="3493"/>
      <c r="D25" s="3493"/>
      <c r="E25" s="3493"/>
      <c r="F25" s="3493"/>
      <c r="G25" s="3493"/>
    </row>
    <row r="26" spans="1:7" s="1923" customFormat="1" ht="24" customHeight="1">
      <c r="A26" s="3494" t="s">
        <v>2346</v>
      </c>
      <c r="B26" s="3494"/>
      <c r="C26" s="3494"/>
      <c r="D26" s="1922"/>
      <c r="E26" s="3494" t="s">
        <v>2347</v>
      </c>
      <c r="F26" s="3494"/>
      <c r="G26" s="3494"/>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2017-09-29T06:03:53Z</cp:lastPrinted>
  <dcterms:created xsi:type="dcterms:W3CDTF">2015-07-13T07:17:23Z</dcterms:created>
  <dcterms:modified xsi:type="dcterms:W3CDTF">2017-09-29T08:18:14Z</dcterms:modified>
</cp:coreProperties>
</file>