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7"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4" state="hidden" r:id="rId23"/>
    <sheet name="收益法-工业" sheetId="82" r:id="rId24"/>
    <sheet name="收益法-办公"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典型户型修正" sheetId="31" state="hidden" r:id="rId37"/>
    <sheet name="基准地价（汇总）" sheetId="76" state="hidden" r:id="rId38"/>
    <sheet name="基准地价修正 (3)" sheetId="85" state="hidden" r:id="rId39"/>
    <sheet name="基准地价修正 (2)" sheetId="81" state="hidden" r:id="rId40"/>
    <sheet name="基准地价修正" sheetId="43" state="hidden" r:id="rId41"/>
    <sheet name="修正" sheetId="45" state="hidden" r:id="rId42"/>
    <sheet name="容积率修正" sheetId="46" state="hidden" r:id="rId43"/>
    <sheet name="成本法（废）" sheetId="11" state="hidden" r:id="rId44"/>
    <sheet name="土地案例" sheetId="80"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 name="Sheet1" sheetId="86"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39">'基准地价修正 (2)'!$A$1:$J$44,'基准地价修正 (2)'!$A$47:$H$101,'基准地价修正 (2)'!$R$1:$V$16</definedName>
    <definedName name="_xlnm.Print_Area" localSheetId="38">'基准地价修正 (3)'!$A$1:$J$44,'基准地价修正 (3)'!$A$47:$H$101,'基准地价修正 (3)'!$R$1:$V$16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22">'收益法-车库'!$A$1:$F$43,'收益法-车库'!$H$3:$M$29,'收益法-车库'!$A$46:$F$71,'收益法-车库'!$I$46:$N$65</definedName>
    <definedName name="_xlnm.Print_Area" localSheetId="23">'收益法-工业'!$A$1:$F$43,'收益法-工业'!$H$3:$M$29,'收益法-工业'!$A$46:$F$71,'收益法-工业'!$I$46:$N$65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 (2)'!$Q$19:$AD$19</definedName>
    <definedName name="季度" localSheetId="38">'基准地价修正 (3)'!$Q$19:$AD$19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6" l="1"/>
  <c r="B25" i="87"/>
  <c r="K17" i="3"/>
  <c r="AT17" i="3"/>
  <c r="AN17" i="3"/>
  <c r="I16" i="3"/>
  <c r="C23" i="87"/>
  <c r="B23" i="87"/>
  <c r="D16" i="87"/>
  <c r="D17" i="87"/>
  <c r="D18" i="87"/>
  <c r="D19" i="87"/>
  <c r="D20" i="87"/>
  <c r="D21" i="87"/>
  <c r="D22" i="87"/>
  <c r="D23" i="87"/>
  <c r="D15" i="87"/>
  <c r="D4" i="87"/>
  <c r="D5" i="87"/>
  <c r="D6" i="87"/>
  <c r="D7" i="87"/>
  <c r="D8" i="87"/>
  <c r="D9" i="87"/>
  <c r="D10" i="87"/>
  <c r="D11" i="87"/>
  <c r="D3" i="87"/>
  <c r="C11" i="87"/>
  <c r="B11" i="87"/>
  <c r="I41" i="40" l="1"/>
  <c r="G41" i="40"/>
  <c r="E41" i="40"/>
  <c r="I34" i="40"/>
  <c r="G34" i="40"/>
  <c r="E34" i="40"/>
  <c r="I7" i="40"/>
  <c r="G7" i="40"/>
  <c r="E7" i="40"/>
  <c r="I5" i="40"/>
  <c r="G5" i="40"/>
  <c r="E5" i="40"/>
  <c r="W5" i="80"/>
  <c r="W4" i="80"/>
  <c r="Y6" i="1"/>
  <c r="N6" i="1"/>
  <c r="W7" i="80" l="1"/>
  <c r="W6" i="80"/>
  <c r="C88" i="9" l="1"/>
  <c r="AF18" i="1"/>
  <c r="Z18" i="1"/>
  <c r="N14" i="1" l="1"/>
  <c r="L14" i="1"/>
  <c r="D4" i="31" l="1"/>
  <c r="E4" i="31" s="1"/>
  <c r="F4" i="31" s="1"/>
  <c r="G4" i="31" s="1"/>
  <c r="H4" i="31" s="1"/>
  <c r="U4" i="85" l="1"/>
  <c r="B26" i="31" s="1"/>
  <c r="U3" i="85"/>
  <c r="B25" i="31" s="1"/>
  <c r="U2" i="85"/>
  <c r="B24" i="31" s="1"/>
  <c r="F116" i="85" l="1"/>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B101" i="85"/>
  <c r="N100" i="85"/>
  <c r="M100" i="85"/>
  <c r="K100" i="85"/>
  <c r="J100" i="85" s="1"/>
  <c r="D100" i="85"/>
  <c r="B100" i="85"/>
  <c r="N99" i="85"/>
  <c r="M99" i="85"/>
  <c r="K99" i="85"/>
  <c r="J99" i="85"/>
  <c r="D99" i="85"/>
  <c r="B99" i="85"/>
  <c r="N98" i="85"/>
  <c r="M98" i="85"/>
  <c r="K98" i="85"/>
  <c r="J98" i="85"/>
  <c r="D98" i="85"/>
  <c r="M97" i="85"/>
  <c r="N97" i="85" s="1"/>
  <c r="K97" i="85"/>
  <c r="J97" i="85" s="1"/>
  <c r="D97" i="85"/>
  <c r="B97" i="85"/>
  <c r="M96" i="85"/>
  <c r="N96" i="85" s="1"/>
  <c r="K96" i="85"/>
  <c r="J96" i="85" s="1"/>
  <c r="D96" i="85"/>
  <c r="N95" i="85"/>
  <c r="M95" i="85"/>
  <c r="K95" i="85"/>
  <c r="J95" i="85"/>
  <c r="D95" i="85"/>
  <c r="B95" i="85"/>
  <c r="M94" i="85"/>
  <c r="N94" i="85" s="1"/>
  <c r="K94" i="85"/>
  <c r="J94" i="85" s="1"/>
  <c r="D94" i="85"/>
  <c r="B94" i="85"/>
  <c r="M93" i="85"/>
  <c r="N93" i="85" s="1"/>
  <c r="K93" i="85"/>
  <c r="J93" i="85" s="1"/>
  <c r="F93" i="85"/>
  <c r="H101" i="85" s="1"/>
  <c r="D93" i="85"/>
  <c r="E93" i="85" s="1"/>
  <c r="B91" i="85" s="1"/>
  <c r="M90" i="85"/>
  <c r="N90" i="85" s="1"/>
  <c r="K90" i="85"/>
  <c r="J90" i="85" s="1"/>
  <c r="D90" i="85"/>
  <c r="B90" i="85"/>
  <c r="M89" i="85"/>
  <c r="N89" i="85" s="1"/>
  <c r="K89" i="85"/>
  <c r="D89" i="85" s="1"/>
  <c r="J89" i="85"/>
  <c r="M88" i="85"/>
  <c r="N88" i="85" s="1"/>
  <c r="K88" i="85"/>
  <c r="J88" i="85" s="1"/>
  <c r="B88" i="85"/>
  <c r="M87" i="85"/>
  <c r="N87" i="85" s="1"/>
  <c r="K87" i="85"/>
  <c r="J87" i="85" s="1"/>
  <c r="D87" i="85"/>
  <c r="B87" i="85"/>
  <c r="M86" i="85"/>
  <c r="N86" i="85" s="1"/>
  <c r="K86" i="85"/>
  <c r="J86" i="85"/>
  <c r="B86" i="85"/>
  <c r="M85" i="85"/>
  <c r="N85" i="85" s="1"/>
  <c r="K85" i="85"/>
  <c r="D85" i="85" s="1"/>
  <c r="J85" i="85"/>
  <c r="B85" i="85"/>
  <c r="M84" i="85"/>
  <c r="N84" i="85" s="1"/>
  <c r="K84" i="85"/>
  <c r="J84" i="85"/>
  <c r="D84" i="85"/>
  <c r="B84" i="85"/>
  <c r="M83" i="85"/>
  <c r="N83" i="85" s="1"/>
  <c r="K83" i="85"/>
  <c r="J83" i="85" s="1"/>
  <c r="B83" i="85"/>
  <c r="N80" i="85"/>
  <c r="M80" i="85"/>
  <c r="K80" i="85"/>
  <c r="J80" i="85"/>
  <c r="D80" i="85"/>
  <c r="M79" i="85"/>
  <c r="N79" i="85" s="1"/>
  <c r="K79" i="85"/>
  <c r="J79" i="85" s="1"/>
  <c r="D79" i="85"/>
  <c r="B79" i="85"/>
  <c r="M78" i="85"/>
  <c r="N78" i="85" s="1"/>
  <c r="K78" i="85"/>
  <c r="J78" i="85"/>
  <c r="D78" i="85"/>
  <c r="M77" i="85"/>
  <c r="N77" i="85" s="1"/>
  <c r="K77" i="85"/>
  <c r="J77" i="85"/>
  <c r="D77" i="85"/>
  <c r="B77" i="85"/>
  <c r="M76" i="85"/>
  <c r="N76" i="85" s="1"/>
  <c r="K76" i="85"/>
  <c r="J76" i="85" s="1"/>
  <c r="D76" i="85"/>
  <c r="B76" i="85"/>
  <c r="M75" i="85"/>
  <c r="N75" i="85" s="1"/>
  <c r="K75" i="85"/>
  <c r="J75" i="85"/>
  <c r="D75" i="85"/>
  <c r="B75" i="85"/>
  <c r="N74" i="85"/>
  <c r="M74" i="85"/>
  <c r="K74" i="85"/>
  <c r="J74" i="85"/>
  <c r="D74" i="85"/>
  <c r="B74" i="85"/>
  <c r="M73" i="85"/>
  <c r="N73" i="85" s="1"/>
  <c r="K73" i="85"/>
  <c r="J73" i="85"/>
  <c r="D73" i="85"/>
  <c r="B73" i="85"/>
  <c r="M72" i="85"/>
  <c r="N72" i="85" s="1"/>
  <c r="K72" i="85"/>
  <c r="J72" i="85" s="1"/>
  <c r="F72" i="85"/>
  <c r="H77" i="85" s="1"/>
  <c r="E72" i="85"/>
  <c r="B70" i="85" s="1"/>
  <c r="D72" i="85"/>
  <c r="B72" i="85"/>
  <c r="M69" i="85"/>
  <c r="N69" i="85" s="1"/>
  <c r="K69" i="85"/>
  <c r="J69" i="85" s="1"/>
  <c r="D69" i="85"/>
  <c r="B69" i="85"/>
  <c r="M68" i="85"/>
  <c r="N68" i="85" s="1"/>
  <c r="K68" i="85"/>
  <c r="J68" i="85" s="1"/>
  <c r="D68" i="85" s="1"/>
  <c r="B68" i="85"/>
  <c r="M67" i="85"/>
  <c r="N67" i="85" s="1"/>
  <c r="K67" i="85"/>
  <c r="B67" i="85"/>
  <c r="N66" i="85"/>
  <c r="M66" i="85"/>
  <c r="K66" i="85"/>
  <c r="D66" i="85" s="1"/>
  <c r="J66" i="85"/>
  <c r="M65" i="85"/>
  <c r="N65" i="85" s="1"/>
  <c r="K65" i="85"/>
  <c r="J65" i="85"/>
  <c r="D65" i="85"/>
  <c r="B65" i="85"/>
  <c r="M64" i="85"/>
  <c r="N64" i="85" s="1"/>
  <c r="K64" i="85"/>
  <c r="M63" i="85"/>
  <c r="N63" i="85" s="1"/>
  <c r="K63" i="85"/>
  <c r="J63" i="85" s="1"/>
  <c r="B63" i="85"/>
  <c r="M62" i="85"/>
  <c r="N62" i="85" s="1"/>
  <c r="K62" i="85"/>
  <c r="J62" i="85" s="1"/>
  <c r="D62" i="85"/>
  <c r="B62" i="85"/>
  <c r="M61" i="85"/>
  <c r="N61" i="85" s="1"/>
  <c r="K61" i="85"/>
  <c r="J61" i="85" s="1"/>
  <c r="D61" i="85"/>
  <c r="B61" i="85"/>
  <c r="N58" i="85"/>
  <c r="M58" i="85"/>
  <c r="K58" i="85"/>
  <c r="J58" i="85"/>
  <c r="D58" i="85"/>
  <c r="B58" i="85"/>
  <c r="M57" i="85"/>
  <c r="N57" i="85" s="1"/>
  <c r="K57" i="85"/>
  <c r="J57" i="85" s="1"/>
  <c r="D57" i="85" s="1"/>
  <c r="B57" i="85"/>
  <c r="M56" i="85"/>
  <c r="N56" i="85" s="1"/>
  <c r="K56" i="85"/>
  <c r="J56" i="85" s="1"/>
  <c r="D56" i="85"/>
  <c r="B56" i="85"/>
  <c r="N55" i="85"/>
  <c r="M55" i="85"/>
  <c r="K55" i="85"/>
  <c r="D55" i="85" s="1"/>
  <c r="J55" i="85"/>
  <c r="M54" i="85"/>
  <c r="N54" i="85" s="1"/>
  <c r="K54" i="85"/>
  <c r="J54" i="85" s="1"/>
  <c r="B54" i="85"/>
  <c r="M53" i="85"/>
  <c r="N53" i="85" s="1"/>
  <c r="K53" i="85"/>
  <c r="J53" i="85" s="1"/>
  <c r="D53" i="85"/>
  <c r="N52" i="85"/>
  <c r="M52" i="85"/>
  <c r="K52" i="85"/>
  <c r="J52" i="85"/>
  <c r="D52" i="85"/>
  <c r="B52" i="85"/>
  <c r="M51" i="85"/>
  <c r="N51" i="85" s="1"/>
  <c r="K51" i="85"/>
  <c r="J51" i="85" s="1"/>
  <c r="D51" i="85"/>
  <c r="B51" i="85"/>
  <c r="M50" i="85"/>
  <c r="N50" i="85" s="1"/>
  <c r="K50" i="85"/>
  <c r="J50" i="85" s="1"/>
  <c r="D50" i="85"/>
  <c r="B50" i="85"/>
  <c r="H41" i="85"/>
  <c r="H40" i="85"/>
  <c r="H39" i="85"/>
  <c r="H38" i="85"/>
  <c r="H37" i="85"/>
  <c r="Q32" i="85"/>
  <c r="O32" i="85"/>
  <c r="N32" i="85"/>
  <c r="M32" i="85"/>
  <c r="J24" i="85"/>
  <c r="G24" i="85"/>
  <c r="E44" i="85" s="1"/>
  <c r="E24" i="85"/>
  <c r="P32" i="85" s="1"/>
  <c r="M23" i="85"/>
  <c r="I23" i="85"/>
  <c r="C22" i="85"/>
  <c r="G17" i="85"/>
  <c r="C17" i="85"/>
  <c r="C13" i="85"/>
  <c r="AJ10" i="85"/>
  <c r="AI10" i="85"/>
  <c r="AF10" i="85"/>
  <c r="AE10" i="85"/>
  <c r="AB10" i="85"/>
  <c r="AA10" i="85"/>
  <c r="Y10" i="85"/>
  <c r="C10" i="85"/>
  <c r="C11" i="85" s="1"/>
  <c r="E11" i="85" s="1"/>
  <c r="AJ9" i="85"/>
  <c r="AI9" i="85"/>
  <c r="AH9" i="85"/>
  <c r="AH10" i="85" s="1"/>
  <c r="AG9" i="85"/>
  <c r="AG10" i="85" s="1"/>
  <c r="AF9" i="85"/>
  <c r="AE9" i="85"/>
  <c r="AD9" i="85"/>
  <c r="AD10" i="85" s="1"/>
  <c r="AC9" i="85"/>
  <c r="AC10" i="85" s="1"/>
  <c r="AB9" i="85"/>
  <c r="AA9" i="85"/>
  <c r="Z9" i="85"/>
  <c r="Z10" i="85" s="1"/>
  <c r="C9" i="85"/>
  <c r="C7" i="85"/>
  <c r="I2" i="85"/>
  <c r="M9" i="85" s="1"/>
  <c r="G2" i="85"/>
  <c r="M21" i="85" s="1"/>
  <c r="U3" i="81"/>
  <c r="U4" i="81"/>
  <c r="U5" i="81"/>
  <c r="U2" i="81"/>
  <c r="D38" i="81"/>
  <c r="D37" i="81"/>
  <c r="Q72" i="84"/>
  <c r="Q59" i="84"/>
  <c r="K59" i="84"/>
  <c r="P74" i="84" s="1"/>
  <c r="F59" i="84"/>
  <c r="Q58" i="84"/>
  <c r="Q51" i="84"/>
  <c r="J50" i="84"/>
  <c r="M47" i="84"/>
  <c r="D46" i="84"/>
  <c r="F33" i="84"/>
  <c r="F61" i="84" s="1"/>
  <c r="F31" i="84"/>
  <c r="F23" i="84"/>
  <c r="D23" i="84" s="1"/>
  <c r="F21" i="84"/>
  <c r="F20" i="84"/>
  <c r="M19" i="84"/>
  <c r="F18" i="84"/>
  <c r="M17" i="84"/>
  <c r="F17" i="84"/>
  <c r="F15" i="84"/>
  <c r="N20" i="1"/>
  <c r="D42" i="85"/>
  <c r="H42" i="85" s="1"/>
  <c r="D88" i="85" l="1"/>
  <c r="D86" i="85"/>
  <c r="AH19" i="1"/>
  <c r="D63" i="85"/>
  <c r="X7" i="85"/>
  <c r="G18" i="85"/>
  <c r="S5" i="85"/>
  <c r="L21" i="85"/>
  <c r="S4" i="85"/>
  <c r="S6" i="85"/>
  <c r="E21" i="85"/>
  <c r="J21" i="85"/>
  <c r="H74" i="85"/>
  <c r="D21" i="85"/>
  <c r="N4" i="85"/>
  <c r="M7" i="85"/>
  <c r="N2" i="85"/>
  <c r="N3" i="85"/>
  <c r="F61" i="85" s="1"/>
  <c r="M6" i="85"/>
  <c r="E8" i="85"/>
  <c r="N9" i="85"/>
  <c r="F83" i="85" s="1"/>
  <c r="M10" i="85"/>
  <c r="M11" i="85"/>
  <c r="N12" i="85"/>
  <c r="I18" i="85"/>
  <c r="H21" i="85"/>
  <c r="D54" i="85"/>
  <c r="E50" i="85" s="1"/>
  <c r="B48" i="85" s="1"/>
  <c r="M2" i="85"/>
  <c r="N7" i="85"/>
  <c r="M12" i="85"/>
  <c r="H116" i="85"/>
  <c r="F37" i="85"/>
  <c r="F42" i="85"/>
  <c r="F40" i="85"/>
  <c r="F38" i="85"/>
  <c r="O21" i="85"/>
  <c r="K21" i="85"/>
  <c r="S2" i="85"/>
  <c r="S3" i="85"/>
  <c r="M4" i="85"/>
  <c r="M5" i="85"/>
  <c r="N6" i="85"/>
  <c r="M8" i="85"/>
  <c r="N10" i="85"/>
  <c r="N11" i="85"/>
  <c r="C21" i="85"/>
  <c r="I21" i="85"/>
  <c r="N21" i="85"/>
  <c r="C27" i="85"/>
  <c r="M1" i="85"/>
  <c r="N5" i="85"/>
  <c r="N8" i="85"/>
  <c r="F50" i="85" s="1"/>
  <c r="E9" i="85"/>
  <c r="N1" i="85"/>
  <c r="M3" i="85"/>
  <c r="E10" i="85"/>
  <c r="E17" i="85"/>
  <c r="F39" i="85"/>
  <c r="F41" i="85"/>
  <c r="D64" i="85"/>
  <c r="J64" i="85"/>
  <c r="D67" i="85"/>
  <c r="J67" i="85"/>
  <c r="H72" i="85"/>
  <c r="H76" i="85"/>
  <c r="H79" i="85"/>
  <c r="H94" i="85"/>
  <c r="H97" i="85"/>
  <c r="H100" i="85"/>
  <c r="H75" i="85"/>
  <c r="H78" i="85"/>
  <c r="D83" i="85"/>
  <c r="E83" i="85" s="1"/>
  <c r="B81" i="85" s="1"/>
  <c r="H93" i="85"/>
  <c r="H96" i="85"/>
  <c r="H99" i="85"/>
  <c r="H80" i="85"/>
  <c r="H98" i="85"/>
  <c r="H73" i="85"/>
  <c r="H95" i="85"/>
  <c r="D24" i="84"/>
  <c r="P61" i="84"/>
  <c r="D22" i="84"/>
  <c r="H88" i="85" l="1"/>
  <c r="H87" i="85"/>
  <c r="H86" i="85"/>
  <c r="H84" i="85"/>
  <c r="H83" i="85"/>
  <c r="H90" i="85"/>
  <c r="H89" i="85"/>
  <c r="H85" i="85"/>
  <c r="E61" i="85"/>
  <c r="B59" i="85" s="1"/>
  <c r="C28" i="85"/>
  <c r="H68" i="85"/>
  <c r="H69" i="85"/>
  <c r="H63" i="85"/>
  <c r="H62" i="85"/>
  <c r="H61" i="85"/>
  <c r="H66" i="85"/>
  <c r="H65" i="85"/>
  <c r="H64" i="85"/>
  <c r="H67" i="85"/>
  <c r="C6" i="85"/>
  <c r="H57" i="85"/>
  <c r="H54" i="85"/>
  <c r="H51" i="85"/>
  <c r="H55" i="85"/>
  <c r="H56" i="85"/>
  <c r="H53" i="85"/>
  <c r="H50" i="85"/>
  <c r="H52" i="85"/>
  <c r="H58" i="85"/>
  <c r="G21" i="85"/>
  <c r="C20" i="85" s="1"/>
  <c r="D5" i="85" l="1"/>
  <c r="C5" i="85"/>
  <c r="Q72" i="82" l="1"/>
  <c r="Q59" i="82"/>
  <c r="K59" i="82"/>
  <c r="P74" i="82" s="1"/>
  <c r="Q58" i="82"/>
  <c r="Q51" i="82"/>
  <c r="J50" i="82"/>
  <c r="M47" i="82"/>
  <c r="D46" i="82"/>
  <c r="F33" i="82"/>
  <c r="F61" i="82" s="1"/>
  <c r="F23" i="82"/>
  <c r="D24" i="82" s="1"/>
  <c r="F21" i="82"/>
  <c r="F20" i="82"/>
  <c r="M19" i="82"/>
  <c r="F18" i="82"/>
  <c r="F17" i="82"/>
  <c r="F15"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B101" i="81"/>
  <c r="N100" i="81"/>
  <c r="M100" i="81"/>
  <c r="K100" i="81"/>
  <c r="J100" i="81" s="1"/>
  <c r="D100" i="81"/>
  <c r="B100" i="81"/>
  <c r="N99" i="81"/>
  <c r="M99" i="81"/>
  <c r="K99" i="81"/>
  <c r="J99" i="81"/>
  <c r="D99" i="81"/>
  <c r="B99" i="81"/>
  <c r="N98" i="81"/>
  <c r="M98" i="81"/>
  <c r="K98" i="81"/>
  <c r="J98" i="81"/>
  <c r="D98" i="81"/>
  <c r="M97" i="81"/>
  <c r="N97" i="81" s="1"/>
  <c r="K97" i="81"/>
  <c r="J97" i="81" s="1"/>
  <c r="D97" i="81"/>
  <c r="B97" i="81"/>
  <c r="M96" i="81"/>
  <c r="N96" i="81" s="1"/>
  <c r="K96" i="81"/>
  <c r="J96" i="81" s="1"/>
  <c r="D96" i="81"/>
  <c r="N95" i="81"/>
  <c r="M95" i="81"/>
  <c r="K95" i="81"/>
  <c r="J95" i="81"/>
  <c r="D95" i="81"/>
  <c r="B95" i="81"/>
  <c r="M94" i="81"/>
  <c r="N94" i="81" s="1"/>
  <c r="K94" i="81"/>
  <c r="J94" i="81" s="1"/>
  <c r="D94" i="81"/>
  <c r="B94" i="81"/>
  <c r="M93" i="81"/>
  <c r="N93" i="81" s="1"/>
  <c r="K93" i="81"/>
  <c r="J93" i="81" s="1"/>
  <c r="F93" i="81"/>
  <c r="H101" i="81" s="1"/>
  <c r="E93" i="81"/>
  <c r="B91" i="81" s="1"/>
  <c r="D93" i="81"/>
  <c r="M90" i="81"/>
  <c r="N90" i="81" s="1"/>
  <c r="K90" i="81"/>
  <c r="J90" i="81" s="1"/>
  <c r="D90" i="81"/>
  <c r="B90" i="81"/>
  <c r="M89" i="81"/>
  <c r="N89" i="81" s="1"/>
  <c r="K89" i="81"/>
  <c r="J89" i="81" s="1"/>
  <c r="D89" i="81"/>
  <c r="M88" i="81"/>
  <c r="N88" i="81" s="1"/>
  <c r="K88" i="81"/>
  <c r="J88" i="81"/>
  <c r="D88" i="81"/>
  <c r="B88" i="81"/>
  <c r="M87" i="81"/>
  <c r="N87" i="81" s="1"/>
  <c r="K87" i="81"/>
  <c r="J87" i="81" s="1"/>
  <c r="D87" i="81"/>
  <c r="B87" i="81"/>
  <c r="M86" i="81"/>
  <c r="N86" i="81" s="1"/>
  <c r="K86" i="81"/>
  <c r="J86" i="81" s="1"/>
  <c r="D86" i="81"/>
  <c r="B86" i="81"/>
  <c r="M85" i="81"/>
  <c r="N85" i="81" s="1"/>
  <c r="K85" i="81"/>
  <c r="J85" i="81" s="1"/>
  <c r="B85" i="81"/>
  <c r="M84" i="81"/>
  <c r="N84" i="81" s="1"/>
  <c r="K84" i="81"/>
  <c r="J84" i="81"/>
  <c r="D84" i="81"/>
  <c r="B84" i="81"/>
  <c r="M83" i="81"/>
  <c r="N83" i="81" s="1"/>
  <c r="K83" i="81"/>
  <c r="J83" i="81" s="1"/>
  <c r="B83" i="81"/>
  <c r="N80" i="81"/>
  <c r="M80" i="81"/>
  <c r="K80" i="81"/>
  <c r="J80" i="81"/>
  <c r="D80" i="81"/>
  <c r="M79" i="81"/>
  <c r="N79" i="81" s="1"/>
  <c r="K79" i="81"/>
  <c r="J79" i="81" s="1"/>
  <c r="D79" i="81"/>
  <c r="B79" i="81"/>
  <c r="M78" i="81"/>
  <c r="N78" i="81" s="1"/>
  <c r="K78" i="81"/>
  <c r="J78" i="81" s="1"/>
  <c r="D78" i="81"/>
  <c r="N77" i="81"/>
  <c r="M77" i="81"/>
  <c r="K77" i="81"/>
  <c r="J77" i="81"/>
  <c r="D77" i="81"/>
  <c r="B77" i="81"/>
  <c r="M76" i="81"/>
  <c r="N76" i="81" s="1"/>
  <c r="K76" i="81"/>
  <c r="J76" i="81" s="1"/>
  <c r="D76" i="81"/>
  <c r="E72" i="81" s="1"/>
  <c r="B70" i="81" s="1"/>
  <c r="B76" i="81"/>
  <c r="M75" i="81"/>
  <c r="N75" i="81" s="1"/>
  <c r="K75" i="81"/>
  <c r="J75" i="81" s="1"/>
  <c r="D75" i="81"/>
  <c r="B75" i="81"/>
  <c r="N74" i="81"/>
  <c r="M74" i="81"/>
  <c r="K74" i="81"/>
  <c r="J74" i="81"/>
  <c r="D74" i="81"/>
  <c r="B74" i="81"/>
  <c r="N73" i="81"/>
  <c r="M73" i="81"/>
  <c r="K73" i="81"/>
  <c r="J73" i="81"/>
  <c r="D73" i="81"/>
  <c r="B73" i="81"/>
  <c r="M72" i="81"/>
  <c r="N72" i="81" s="1"/>
  <c r="K72" i="81"/>
  <c r="J72" i="81" s="1"/>
  <c r="F72" i="81"/>
  <c r="H77" i="81" s="1"/>
  <c r="D72" i="81"/>
  <c r="B72" i="81"/>
  <c r="N69" i="81"/>
  <c r="M69" i="81"/>
  <c r="K69" i="81"/>
  <c r="J69" i="81"/>
  <c r="D69" i="81"/>
  <c r="B69" i="81"/>
  <c r="N68" i="81"/>
  <c r="M68" i="81"/>
  <c r="K68" i="81"/>
  <c r="J68" i="81" s="1"/>
  <c r="D68" i="81" s="1"/>
  <c r="B68" i="81"/>
  <c r="M67" i="81"/>
  <c r="N67" i="81" s="1"/>
  <c r="K67" i="81"/>
  <c r="J67" i="81" s="1"/>
  <c r="D67" i="81"/>
  <c r="B67" i="81"/>
  <c r="N66" i="81"/>
  <c r="M66" i="81"/>
  <c r="K66" i="81"/>
  <c r="J66" i="81" s="1"/>
  <c r="N65" i="81"/>
  <c r="M65" i="81"/>
  <c r="K65" i="81"/>
  <c r="J65" i="81"/>
  <c r="D65" i="81"/>
  <c r="B65" i="81"/>
  <c r="M64" i="81"/>
  <c r="N64" i="81" s="1"/>
  <c r="K64" i="81"/>
  <c r="J64" i="81" s="1"/>
  <c r="D64" i="81"/>
  <c r="N63" i="81"/>
  <c r="M63" i="81"/>
  <c r="K63" i="81"/>
  <c r="J63" i="81"/>
  <c r="D63" i="81"/>
  <c r="B63" i="81"/>
  <c r="N62" i="81"/>
  <c r="M62" i="81"/>
  <c r="K62" i="81"/>
  <c r="J62" i="81" s="1"/>
  <c r="D62" i="81"/>
  <c r="B62" i="81"/>
  <c r="M61" i="81"/>
  <c r="N61" i="81" s="1"/>
  <c r="K61" i="81"/>
  <c r="J61" i="81" s="1"/>
  <c r="D61" i="81"/>
  <c r="B61" i="81"/>
  <c r="M58" i="81"/>
  <c r="N58" i="81" s="1"/>
  <c r="K58" i="81"/>
  <c r="J58" i="81" s="1"/>
  <c r="D58" i="81"/>
  <c r="B58" i="81"/>
  <c r="M57" i="81"/>
  <c r="N57" i="81" s="1"/>
  <c r="K57" i="81"/>
  <c r="J57" i="81" s="1"/>
  <c r="D57" i="81" s="1"/>
  <c r="B57" i="81"/>
  <c r="M56" i="81"/>
  <c r="N56" i="81" s="1"/>
  <c r="K56" i="81"/>
  <c r="J56" i="81" s="1"/>
  <c r="B56" i="81"/>
  <c r="M55" i="81"/>
  <c r="N55" i="81" s="1"/>
  <c r="K55" i="81"/>
  <c r="M54" i="81"/>
  <c r="N54" i="81" s="1"/>
  <c r="K54" i="81"/>
  <c r="J54" i="81" s="1"/>
  <c r="B54" i="81"/>
  <c r="M53" i="81"/>
  <c r="N53" i="81" s="1"/>
  <c r="K53" i="81"/>
  <c r="J53" i="81" s="1"/>
  <c r="M52" i="81"/>
  <c r="N52" i="81" s="1"/>
  <c r="K52" i="81"/>
  <c r="J52" i="81" s="1"/>
  <c r="B52" i="81"/>
  <c r="M51" i="81"/>
  <c r="N51" i="81" s="1"/>
  <c r="K51" i="81"/>
  <c r="J51" i="81" s="1"/>
  <c r="B51" i="81"/>
  <c r="M50" i="81"/>
  <c r="N50" i="81" s="1"/>
  <c r="K50" i="81"/>
  <c r="J50" i="81" s="1"/>
  <c r="D50" i="81"/>
  <c r="B50" i="81"/>
  <c r="H41" i="81"/>
  <c r="H40" i="81"/>
  <c r="H39" i="81"/>
  <c r="H38" i="81"/>
  <c r="H37" i="81"/>
  <c r="J24" i="81"/>
  <c r="G24" i="81"/>
  <c r="E24" i="81"/>
  <c r="Q32" i="81" s="1"/>
  <c r="M23" i="81"/>
  <c r="I23" i="81"/>
  <c r="C22" i="81"/>
  <c r="G17" i="81"/>
  <c r="C17" i="81"/>
  <c r="C13" i="81"/>
  <c r="AH10" i="81"/>
  <c r="AD10" i="81"/>
  <c r="Z10" i="81"/>
  <c r="Y10" i="81"/>
  <c r="C10" i="81"/>
  <c r="C11" i="81" s="1"/>
  <c r="AJ9" i="81"/>
  <c r="AJ10" i="81" s="1"/>
  <c r="AI9" i="81"/>
  <c r="AI10" i="81" s="1"/>
  <c r="AH9" i="81"/>
  <c r="AG9" i="81"/>
  <c r="AG10" i="81" s="1"/>
  <c r="AF9" i="81"/>
  <c r="AF10" i="81" s="1"/>
  <c r="AE9" i="81"/>
  <c r="AE10" i="81" s="1"/>
  <c r="AD9" i="81"/>
  <c r="AC9" i="81"/>
  <c r="AC10" i="81" s="1"/>
  <c r="AB9" i="81"/>
  <c r="AB10" i="81" s="1"/>
  <c r="AA9" i="81"/>
  <c r="AA10" i="81" s="1"/>
  <c r="Z9" i="81"/>
  <c r="C9" i="81"/>
  <c r="C7" i="81"/>
  <c r="G3" i="81"/>
  <c r="J26" i="81" s="1"/>
  <c r="I2" i="81"/>
  <c r="M8" i="81" s="1"/>
  <c r="G2" i="81"/>
  <c r="F39" i="81" s="1"/>
  <c r="D54" i="81" l="1"/>
  <c r="D83" i="81"/>
  <c r="D85" i="81"/>
  <c r="E83" i="81" s="1"/>
  <c r="B81" i="81" s="1"/>
  <c r="D56" i="81"/>
  <c r="D52" i="81"/>
  <c r="D53" i="81"/>
  <c r="N6" i="81"/>
  <c r="P61" i="82"/>
  <c r="D22" i="82"/>
  <c r="D23" i="82"/>
  <c r="D51" i="81"/>
  <c r="H95" i="81"/>
  <c r="E11" i="81"/>
  <c r="E8" i="81"/>
  <c r="E10" i="81"/>
  <c r="E9" i="81"/>
  <c r="M12" i="81"/>
  <c r="M11" i="81"/>
  <c r="M5" i="81"/>
  <c r="M7" i="81"/>
  <c r="X7" i="81"/>
  <c r="N8" i="81"/>
  <c r="N1" i="81"/>
  <c r="M2" i="81"/>
  <c r="N3" i="81"/>
  <c r="M4" i="81"/>
  <c r="N5" i="81"/>
  <c r="N7" i="81"/>
  <c r="F83" i="81" s="1"/>
  <c r="Z7" i="81"/>
  <c r="M9" i="81"/>
  <c r="C21" i="81"/>
  <c r="L21" i="81"/>
  <c r="E26" i="81"/>
  <c r="P32" i="81"/>
  <c r="M1" i="81"/>
  <c r="M3" i="81"/>
  <c r="S6" i="81"/>
  <c r="N2" i="81"/>
  <c r="S3" i="81"/>
  <c r="N4" i="81"/>
  <c r="S5" i="81"/>
  <c r="M6" i="81"/>
  <c r="C6" i="81" s="1"/>
  <c r="N9" i="81"/>
  <c r="M10" i="81"/>
  <c r="O21" i="81"/>
  <c r="F26" i="81"/>
  <c r="F41" i="81"/>
  <c r="J55" i="81"/>
  <c r="D55" i="81"/>
  <c r="S2" i="81"/>
  <c r="N10" i="81"/>
  <c r="N12" i="81"/>
  <c r="H21" i="81"/>
  <c r="O32" i="81"/>
  <c r="N32" i="81"/>
  <c r="H116" i="81"/>
  <c r="F61" i="81"/>
  <c r="F42" i="81"/>
  <c r="F40" i="81"/>
  <c r="F38" i="81"/>
  <c r="F37" i="81"/>
  <c r="N21" i="81"/>
  <c r="J21" i="81"/>
  <c r="E21" i="81"/>
  <c r="C27" i="81"/>
  <c r="M21" i="81"/>
  <c r="I21" i="81"/>
  <c r="D21" i="81"/>
  <c r="H26" i="81"/>
  <c r="B116" i="81"/>
  <c r="G26" i="81"/>
  <c r="S4" i="81"/>
  <c r="N11" i="81"/>
  <c r="K21" i="81"/>
  <c r="I18" i="81"/>
  <c r="G18" i="81"/>
  <c r="M32" i="81"/>
  <c r="E44" i="81"/>
  <c r="D66" i="81"/>
  <c r="E61" i="81" s="1"/>
  <c r="B59" i="81" s="1"/>
  <c r="H72" i="81"/>
  <c r="H76" i="81"/>
  <c r="H79" i="81"/>
  <c r="H94" i="81"/>
  <c r="H97" i="81"/>
  <c r="H100" i="81"/>
  <c r="H75" i="81"/>
  <c r="H78" i="81"/>
  <c r="H93" i="81"/>
  <c r="H96" i="81"/>
  <c r="H99" i="81"/>
  <c r="H74" i="81"/>
  <c r="H80" i="81"/>
  <c r="H98" i="81"/>
  <c r="H73" i="81"/>
  <c r="F50" i="81" l="1"/>
  <c r="H51" i="81" s="1"/>
  <c r="H88" i="81"/>
  <c r="H83" i="81"/>
  <c r="H86" i="81"/>
  <c r="H85" i="81"/>
  <c r="H87" i="81"/>
  <c r="H89" i="81"/>
  <c r="H90" i="81"/>
  <c r="H84" i="81"/>
  <c r="E17" i="81"/>
  <c r="E50" i="81"/>
  <c r="B48" i="81" s="1"/>
  <c r="C28" i="81"/>
  <c r="H68" i="81"/>
  <c r="H65" i="81"/>
  <c r="H62" i="81"/>
  <c r="H69" i="81"/>
  <c r="H63" i="81"/>
  <c r="H66" i="81"/>
  <c r="H67" i="81"/>
  <c r="H64" i="81"/>
  <c r="H61" i="81"/>
  <c r="G21" i="81"/>
  <c r="C20" i="81" s="1"/>
  <c r="D5" i="81" s="1"/>
  <c r="D26" i="81"/>
  <c r="C25" i="81" s="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2" i="81"/>
  <c r="C122" i="81" s="1"/>
  <c r="B121" i="81"/>
  <c r="C121" i="81" s="1"/>
  <c r="B120" i="81"/>
  <c r="C120" i="81" s="1"/>
  <c r="B119" i="81"/>
  <c r="C119" i="81" s="1"/>
  <c r="B118" i="81"/>
  <c r="C118" i="81" s="1"/>
  <c r="H58" i="81" l="1"/>
  <c r="H53" i="81"/>
  <c r="H55" i="81"/>
  <c r="H57" i="81"/>
  <c r="H50" i="81"/>
  <c r="H54" i="81"/>
  <c r="H56" i="81"/>
  <c r="H52" i="81"/>
  <c r="D116" i="81"/>
  <c r="C5" i="81"/>
  <c r="O8" i="6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S500" i="31" s="1"/>
  <c r="R501" i="31"/>
  <c r="R502" i="31"/>
  <c r="S502" i="31" s="1"/>
  <c r="R503" i="31"/>
  <c r="R504" i="31"/>
  <c r="R505" i="31"/>
  <c r="R506" i="31"/>
  <c r="S506" i="31" s="1"/>
  <c r="R507" i="31"/>
  <c r="R508" i="31"/>
  <c r="R509" i="31"/>
  <c r="R510" i="31"/>
  <c r="S510" i="31" s="1"/>
  <c r="R511" i="31"/>
  <c r="R512" i="31"/>
  <c r="R513" i="31"/>
  <c r="R514" i="31"/>
  <c r="S514" i="31" s="1"/>
  <c r="R515" i="31"/>
  <c r="R516" i="31"/>
  <c r="S516" i="31" s="1"/>
  <c r="R517" i="31"/>
  <c r="R518" i="31"/>
  <c r="S518" i="31" s="1"/>
  <c r="R519" i="31"/>
  <c r="R520" i="31"/>
  <c r="S520" i="31" s="1"/>
  <c r="R521" i="31"/>
  <c r="R522" i="31"/>
  <c r="S522" i="31" s="1"/>
  <c r="R523" i="31"/>
  <c r="R524" i="31"/>
  <c r="S524" i="31" s="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G16" i="3" s="1"/>
  <c r="AC16" i="3"/>
  <c r="H17" i="3"/>
  <c r="AC17" i="3"/>
  <c r="AT5" i="3"/>
  <c r="I5" i="3"/>
  <c r="F19" i="6" s="1"/>
  <c r="D33" i="85" s="1"/>
  <c r="D1"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0" i="31"/>
  <c r="S356" i="31"/>
  <c r="S352" i="31"/>
  <c r="S348" i="31"/>
  <c r="S344" i="31"/>
  <c r="S340" i="31"/>
  <c r="S336" i="31"/>
  <c r="S332" i="31"/>
  <c r="S328" i="31"/>
  <c r="S324" i="31"/>
  <c r="S424" i="31"/>
  <c r="S320" i="31"/>
  <c r="S316" i="31"/>
  <c r="S312" i="31"/>
  <c r="S308" i="31"/>
  <c r="S304" i="31"/>
  <c r="S300" i="31"/>
  <c r="S296" i="31"/>
  <c r="S292" i="31"/>
  <c r="S288" i="31"/>
  <c r="S284" i="31"/>
  <c r="S280"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3" i="31"/>
  <c r="S441" i="31"/>
  <c r="S439" i="31"/>
  <c r="S437" i="31"/>
  <c r="S435" i="31"/>
  <c r="S433" i="31"/>
  <c r="S431" i="31"/>
  <c r="S121" i="31"/>
  <c r="S119" i="31"/>
  <c r="S117" i="31"/>
  <c r="S115" i="31"/>
  <c r="S113" i="31"/>
  <c r="S504" i="31"/>
  <c r="S467" i="31"/>
  <c r="S465" i="31"/>
  <c r="S463" i="31"/>
  <c r="S461" i="31"/>
  <c r="S459" i="31"/>
  <c r="S457" i="31"/>
  <c r="S455" i="31"/>
  <c r="S453" i="31"/>
  <c r="S451" i="31"/>
  <c r="S53" i="31"/>
  <c r="S52" i="31"/>
  <c r="S51" i="31"/>
  <c r="S49" i="31"/>
  <c r="S48" i="31"/>
  <c r="S47" i="31"/>
  <c r="S45" i="31"/>
  <c r="S44" i="31"/>
  <c r="S43" i="31"/>
  <c r="S41" i="31"/>
  <c r="S40" i="31"/>
  <c r="S39" i="31"/>
  <c r="S37" i="31"/>
  <c r="S36" i="31"/>
  <c r="S35" i="31"/>
  <c r="S33" i="31"/>
  <c r="S32"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D90" i="40"/>
  <c r="E90" i="40" s="1"/>
  <c r="D88" i="40"/>
  <c r="E88" i="40" s="1"/>
  <c r="D86" i="40"/>
  <c r="E86" i="40" s="1"/>
  <c r="F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AB39" i="40"/>
  <c r="AC40"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F35" i="40"/>
  <c r="AA35"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H28" i="40"/>
  <c r="U28" i="40"/>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W35" i="40" s="1"/>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C42" i="1"/>
  <c r="AC34" i="33"/>
  <c r="AA34" i="33"/>
  <c r="B41" i="1"/>
  <c r="AB37" i="40"/>
  <c r="S35" i="40"/>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G22" i="69"/>
  <c r="C6" i="43"/>
  <c r="B19" i="53"/>
  <c r="B37" i="72" s="1"/>
  <c r="C7" i="33"/>
  <c r="G23" i="43"/>
  <c r="A4" i="51"/>
  <c r="B6" i="72" s="1"/>
  <c r="L20" i="6"/>
  <c r="K11" i="1"/>
  <c r="M11" i="1" s="1"/>
  <c r="O11" i="1" s="1"/>
  <c r="B9" i="1"/>
  <c r="U32" i="40"/>
  <c r="AB31" i="40"/>
  <c r="S37" i="40"/>
  <c r="AB28" i="40"/>
  <c r="W28"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2" i="76"/>
  <c r="B9" i="76"/>
  <c r="B11" i="76"/>
  <c r="AO13" i="1"/>
  <c r="B10" i="76"/>
  <c r="E2" i="69"/>
  <c r="F5" i="73"/>
  <c r="E8" i="76"/>
  <c r="B12" i="76"/>
  <c r="E9" i="76"/>
  <c r="F6" i="73"/>
  <c r="B7" i="76"/>
  <c r="B13" i="76"/>
  <c r="B8" i="76"/>
  <c r="E10" i="76"/>
  <c r="E7" i="76"/>
  <c r="E13" i="76"/>
  <c r="F3" i="73"/>
  <c r="F7" i="73"/>
  <c r="F4" i="73"/>
  <c r="E11" i="76"/>
  <c r="BA19" i="3" l="1"/>
  <c r="AZ19" i="3" s="1"/>
  <c r="BA20" i="3"/>
  <c r="AZ20" i="3" s="1"/>
  <c r="H113" i="40"/>
  <c r="I113" i="40" s="1"/>
  <c r="J113" i="40" s="1"/>
  <c r="K113" i="40" s="1"/>
  <c r="L113" i="40" s="1"/>
  <c r="M113" i="40" s="1"/>
  <c r="F36" i="40"/>
  <c r="S36" i="40" s="1"/>
  <c r="H36" i="40"/>
  <c r="AB36" i="40" s="1"/>
  <c r="J36" i="40"/>
  <c r="AC36" i="40" s="1"/>
  <c r="AC35" i="40"/>
  <c r="U35" i="40"/>
  <c r="F23" i="40"/>
  <c r="AA23" i="40" s="1"/>
  <c r="G92" i="40"/>
  <c r="J23" i="40"/>
  <c r="AC23" i="40" s="1"/>
  <c r="H23" i="40"/>
  <c r="AB23" i="40" s="1"/>
  <c r="F90" i="40"/>
  <c r="G90" i="40" s="1"/>
  <c r="F21" i="40"/>
  <c r="S21" i="40" s="1"/>
  <c r="H21" i="40"/>
  <c r="J21" i="40"/>
  <c r="W21" i="40" s="1"/>
  <c r="F19" i="40"/>
  <c r="S19" i="40" s="1"/>
  <c r="H19" i="40"/>
  <c r="U19" i="40" s="1"/>
  <c r="F88" i="40"/>
  <c r="G88" i="40" s="1"/>
  <c r="J19" i="40"/>
  <c r="AC19" i="40" s="1"/>
  <c r="H17" i="40"/>
  <c r="J17" i="40"/>
  <c r="AC17" i="40" s="1"/>
  <c r="G86" i="40"/>
  <c r="F17" i="40"/>
  <c r="AA17" i="40" s="1"/>
  <c r="W25" i="40"/>
  <c r="S25" i="40"/>
  <c r="U25" i="40"/>
  <c r="AA21" i="40"/>
  <c r="AC21" i="40"/>
  <c r="AB19" i="40"/>
  <c r="AC15" i="40"/>
  <c r="U15" i="40"/>
  <c r="S15" i="40"/>
  <c r="AA9" i="40"/>
  <c r="AC9" i="40"/>
  <c r="C40" i="11"/>
  <c r="W8" i="40"/>
  <c r="G1" i="69"/>
  <c r="G1" i="84"/>
  <c r="BD5" i="3"/>
  <c r="R26" i="31"/>
  <c r="S26" i="31" s="1"/>
  <c r="R25" i="31"/>
  <c r="S25" i="31" s="1"/>
  <c r="G23" i="85"/>
  <c r="J51" i="84"/>
  <c r="F34" i="84"/>
  <c r="F62" i="84" s="1"/>
  <c r="M20" i="84"/>
  <c r="F32" i="84"/>
  <c r="F28" i="84"/>
  <c r="C28" i="84" s="1"/>
  <c r="M18" i="84"/>
  <c r="G7" i="1"/>
  <c r="C40" i="68"/>
  <c r="F28" i="6"/>
  <c r="BA13" i="3"/>
  <c r="M20" i="15"/>
  <c r="F34" i="82"/>
  <c r="F62" i="82" s="1"/>
  <c r="M20" i="82"/>
  <c r="G13" i="3"/>
  <c r="G5" i="3" s="1"/>
  <c r="F48" i="9"/>
  <c r="O52" i="9" s="1"/>
  <c r="F28" i="82"/>
  <c r="C28" i="82" s="1"/>
  <c r="M18" i="82"/>
  <c r="F32" i="82"/>
  <c r="F60" i="82" s="1"/>
  <c r="F3" i="35"/>
  <c r="G1" i="82"/>
  <c r="C7" i="37"/>
  <c r="C52" i="37" s="1"/>
  <c r="D52" i="37" s="1"/>
  <c r="E52" i="37" s="1"/>
  <c r="F52" i="37" s="1"/>
  <c r="G52" i="37" s="1"/>
  <c r="H52" i="37" s="1"/>
  <c r="I52" i="37" s="1"/>
  <c r="J52" i="37" s="1"/>
  <c r="K52" i="37" s="1"/>
  <c r="L52" i="37" s="1"/>
  <c r="M52" i="37" s="1"/>
  <c r="N52" i="37" s="1"/>
  <c r="O52" i="37" s="1"/>
  <c r="G23" i="81"/>
  <c r="J51" i="82"/>
  <c r="F34" i="68"/>
  <c r="C36" i="68" s="1"/>
  <c r="H5" i="3"/>
  <c r="D33" i="43"/>
  <c r="E20" i="6"/>
  <c r="K7" i="1" s="1"/>
  <c r="M7" i="1" s="1"/>
  <c r="O7" i="1" s="1"/>
  <c r="P7" i="1" s="1"/>
  <c r="H42" i="81"/>
  <c r="AP6" i="1"/>
  <c r="C36" i="69" s="1"/>
  <c r="AZ15" i="3"/>
  <c r="E21" i="6"/>
  <c r="K8" i="1" s="1"/>
  <c r="F6" i="1"/>
  <c r="F8" i="1"/>
  <c r="C18" i="9"/>
  <c r="D18" i="9" s="1"/>
  <c r="BL5" i="3"/>
  <c r="G1" i="15"/>
  <c r="B6" i="1"/>
  <c r="E6" i="1" s="1"/>
  <c r="K1" i="12"/>
  <c r="G1" i="68"/>
  <c r="G1" i="67"/>
  <c r="C24" i="12"/>
  <c r="M47" i="9"/>
  <c r="C7" i="35"/>
  <c r="C48" i="35" s="1"/>
  <c r="D48" i="35" s="1"/>
  <c r="J51" i="67"/>
  <c r="C7" i="36"/>
  <c r="C46" i="36" s="1"/>
  <c r="D46" i="36" s="1"/>
  <c r="E46" i="36" s="1"/>
  <c r="F46" i="36" s="1"/>
  <c r="G46" i="36" s="1"/>
  <c r="H46" i="36" s="1"/>
  <c r="I46" i="36" s="1"/>
  <c r="J46" i="36" s="1"/>
  <c r="K46" i="36" s="1"/>
  <c r="L46" i="36" s="1"/>
  <c r="M46" i="36" s="1"/>
  <c r="N46" i="36" s="1"/>
  <c r="O46" i="36" s="1"/>
  <c r="J51" i="15"/>
  <c r="C7" i="34"/>
  <c r="C59" i="34" s="1"/>
  <c r="D59" i="34" s="1"/>
  <c r="E59" i="34" s="1"/>
  <c r="F59" i="34" s="1"/>
  <c r="G59" i="34" s="1"/>
  <c r="H59" i="34" s="1"/>
  <c r="I59" i="34" s="1"/>
  <c r="J59" i="34" s="1"/>
  <c r="K59" i="34" s="1"/>
  <c r="L59" i="34" s="1"/>
  <c r="M59" i="34" s="1"/>
  <c r="N59" i="34" s="1"/>
  <c r="O59" i="34" s="1"/>
  <c r="C7" i="40"/>
  <c r="C63" i="40" s="1"/>
  <c r="D63" i="40" s="1"/>
  <c r="C7" i="39"/>
  <c r="C67" i="39" s="1"/>
  <c r="C69" i="39" s="1"/>
  <c r="J1" i="73"/>
  <c r="C7" i="21"/>
  <c r="C58" i="21" s="1"/>
  <c r="D58" i="21" s="1"/>
  <c r="BA5" i="3"/>
  <c r="H69" i="43"/>
  <c r="H67" i="43"/>
  <c r="H50" i="43"/>
  <c r="G22" i="11"/>
  <c r="E1" i="73"/>
  <c r="G26" i="12"/>
  <c r="G22" i="68"/>
  <c r="I24" i="43"/>
  <c r="C24" i="43" s="1"/>
  <c r="D22" i="15"/>
  <c r="D23" i="15"/>
  <c r="D56" i="43"/>
  <c r="D53" i="43"/>
  <c r="D52" i="43"/>
  <c r="M18" i="67"/>
  <c r="F30" i="11"/>
  <c r="C48" i="11" s="1"/>
  <c r="M18" i="15"/>
  <c r="F54" i="9"/>
  <c r="F52" i="9"/>
  <c r="D68" i="9"/>
  <c r="F30" i="69"/>
  <c r="F48" i="69" s="1"/>
  <c r="F31" i="12"/>
  <c r="C31" i="12" s="1"/>
  <c r="F32" i="15"/>
  <c r="F60" i="15" s="1"/>
  <c r="F30" i="68"/>
  <c r="F48" i="68" s="1"/>
  <c r="F28" i="15"/>
  <c r="C28" i="15" s="1"/>
  <c r="F32" i="67"/>
  <c r="F60" i="67" s="1"/>
  <c r="F28" i="67"/>
  <c r="C28" i="67" s="1"/>
  <c r="C40" i="69"/>
  <c r="C21" i="68"/>
  <c r="E19" i="11"/>
  <c r="E19" i="68"/>
  <c r="G28" i="6"/>
  <c r="G30" i="6" s="1"/>
  <c r="G31" i="6" s="1"/>
  <c r="F29" i="6"/>
  <c r="E29" i="6" s="1"/>
  <c r="K15" i="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F30" i="6"/>
  <c r="L19" i="6"/>
  <c r="L27" i="6"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D9" i="69"/>
  <c r="D9" i="68"/>
  <c r="J15" i="84"/>
  <c r="C76" i="84"/>
  <c r="F16" i="84"/>
  <c r="M6" i="84"/>
  <c r="F42" i="15"/>
  <c r="D3" i="73"/>
  <c r="M28" i="67"/>
  <c r="M8" i="82"/>
  <c r="F38" i="84"/>
  <c r="M23" i="67"/>
  <c r="M26" i="82"/>
  <c r="J15" i="15"/>
  <c r="F40" i="84"/>
  <c r="F40" i="15"/>
  <c r="F9" i="15"/>
  <c r="C76" i="82"/>
  <c r="F42" i="82"/>
  <c r="F26" i="15"/>
  <c r="L47" i="15"/>
  <c r="F36" i="67"/>
  <c r="F40" i="67"/>
  <c r="M6" i="15"/>
  <c r="M24" i="15"/>
  <c r="F42" i="84"/>
  <c r="F37" i="67"/>
  <c r="F9" i="84"/>
  <c r="L47" i="67"/>
  <c r="F40" i="82"/>
  <c r="F37" i="82"/>
  <c r="L48" i="15"/>
  <c r="F9" i="82"/>
  <c r="M23" i="15"/>
  <c r="L48" i="67"/>
  <c r="F7" i="84"/>
  <c r="F36" i="84"/>
  <c r="F26" i="84"/>
  <c r="M28" i="82"/>
  <c r="F42" i="67"/>
  <c r="M6" i="67"/>
  <c r="M26" i="67"/>
  <c r="F8" i="82"/>
  <c r="F38" i="67"/>
  <c r="F13" i="15"/>
  <c r="F26" i="82"/>
  <c r="F16" i="15"/>
  <c r="D6" i="73"/>
  <c r="F16" i="67"/>
  <c r="C76" i="15"/>
  <c r="M29" i="84"/>
  <c r="M26" i="84"/>
  <c r="M23" i="82"/>
  <c r="J15" i="82"/>
  <c r="F13" i="82"/>
  <c r="F37" i="15"/>
  <c r="D7" i="73"/>
  <c r="F13" i="67"/>
  <c r="M9" i="67"/>
  <c r="F8" i="84"/>
  <c r="M28" i="15"/>
  <c r="M24" i="84"/>
  <c r="M22" i="82"/>
  <c r="M9" i="15"/>
  <c r="D5" i="73"/>
  <c r="F13" i="84"/>
  <c r="M8" i="15"/>
  <c r="M8" i="84"/>
  <c r="L47" i="84"/>
  <c r="F36" i="15"/>
  <c r="M22" i="84"/>
  <c r="M9" i="82"/>
  <c r="L47" i="82"/>
  <c r="F6" i="15"/>
  <c r="F38" i="82"/>
  <c r="M23" i="84"/>
  <c r="L48" i="82"/>
  <c r="M22" i="15"/>
  <c r="F37" i="84"/>
  <c r="M9" i="84"/>
  <c r="F26" i="67"/>
  <c r="F8" i="67"/>
  <c r="L48" i="84"/>
  <c r="F9" i="67"/>
  <c r="M22" i="67"/>
  <c r="F6" i="84"/>
  <c r="F38" i="15"/>
  <c r="M24" i="82"/>
  <c r="F43" i="15"/>
  <c r="F8" i="15"/>
  <c r="M8" i="67"/>
  <c r="D4" i="73"/>
  <c r="M27" i="84"/>
  <c r="F16" i="82"/>
  <c r="M29" i="15"/>
  <c r="F7" i="15"/>
  <c r="M26" i="15"/>
  <c r="J15" i="67"/>
  <c r="M24" i="67"/>
  <c r="M28" i="84"/>
  <c r="F36" i="82"/>
  <c r="C76" i="67"/>
  <c r="M6" i="82"/>
  <c r="F43" i="84"/>
  <c r="G3" i="43" l="1"/>
  <c r="F26" i="43" s="1"/>
  <c r="C11" i="40"/>
  <c r="AA36" i="40"/>
  <c r="U36" i="40"/>
  <c r="W36" i="40"/>
  <c r="U23" i="40"/>
  <c r="S23" i="40"/>
  <c r="W23" i="40"/>
  <c r="AB21" i="40"/>
  <c r="U21" i="40"/>
  <c r="AA19" i="40"/>
  <c r="W19" i="40"/>
  <c r="S17" i="40"/>
  <c r="W17" i="40"/>
  <c r="U17" i="40"/>
  <c r="AB17" i="40"/>
  <c r="I24" i="81"/>
  <c r="C24" i="81" s="1"/>
  <c r="C10" i="40"/>
  <c r="Q71" i="84"/>
  <c r="F65" i="84"/>
  <c r="C27" i="84"/>
  <c r="F68" i="84"/>
  <c r="C6" i="84"/>
  <c r="C33" i="84" s="1"/>
  <c r="F50" i="84"/>
  <c r="M7" i="84"/>
  <c r="J6" i="84" s="1"/>
  <c r="J19" i="84" s="1"/>
  <c r="F64" i="84"/>
  <c r="F66" i="84"/>
  <c r="F51" i="84"/>
  <c r="E28" i="6"/>
  <c r="K14" i="1" s="1"/>
  <c r="M14" i="1" s="1"/>
  <c r="L59" i="84"/>
  <c r="N59" i="84"/>
  <c r="P28" i="85"/>
  <c r="P25" i="85"/>
  <c r="O23" i="85"/>
  <c r="C23" i="85"/>
  <c r="M24" i="85"/>
  <c r="P26" i="85"/>
  <c r="P27" i="85"/>
  <c r="P29" i="85"/>
  <c r="I24" i="85"/>
  <c r="C24" i="85" s="1"/>
  <c r="M59" i="84"/>
  <c r="F60" i="84"/>
  <c r="C32" i="84"/>
  <c r="I54" i="84"/>
  <c r="L58" i="84"/>
  <c r="L57" i="84"/>
  <c r="J53" i="84"/>
  <c r="L56" i="84"/>
  <c r="L60" i="84"/>
  <c r="J57" i="84"/>
  <c r="J55" i="84" s="1"/>
  <c r="J58" i="84" s="1"/>
  <c r="Q50" i="84" s="1"/>
  <c r="G44" i="85"/>
  <c r="C44" i="85" s="1"/>
  <c r="F71" i="84"/>
  <c r="M8" i="1"/>
  <c r="F11" i="84"/>
  <c r="M11" i="84"/>
  <c r="B3" i="3"/>
  <c r="E407" i="3" s="1"/>
  <c r="E59" i="40"/>
  <c r="D67" i="39"/>
  <c r="D69" i="39" s="1"/>
  <c r="C48" i="69"/>
  <c r="C30" i="69"/>
  <c r="Q71" i="82"/>
  <c r="F64" i="82"/>
  <c r="F51" i="82"/>
  <c r="F68" i="82"/>
  <c r="F65" i="82"/>
  <c r="C27" i="82"/>
  <c r="F66" i="82"/>
  <c r="K1" i="73"/>
  <c r="E26" i="43"/>
  <c r="H26" i="43"/>
  <c r="N59" i="82"/>
  <c r="L59" i="82"/>
  <c r="F7" i="36"/>
  <c r="AA7" i="36" s="1"/>
  <c r="R36" i="36" s="1"/>
  <c r="G6" i="1"/>
  <c r="P27" i="81"/>
  <c r="M24" i="81"/>
  <c r="P28" i="81"/>
  <c r="P26" i="81"/>
  <c r="O23" i="81"/>
  <c r="P25" i="81"/>
  <c r="C23" i="81"/>
  <c r="C37" i="81" s="1"/>
  <c r="P29" i="81"/>
  <c r="J7" i="36"/>
  <c r="M59" i="82"/>
  <c r="E19" i="6"/>
  <c r="K6" i="1" s="1"/>
  <c r="K16" i="1" s="1"/>
  <c r="O6" i="1"/>
  <c r="J53" i="82"/>
  <c r="F1" i="82" s="1"/>
  <c r="J57" i="82"/>
  <c r="J55" i="82" s="1"/>
  <c r="J58" i="82" s="1"/>
  <c r="Q50" i="82" s="1"/>
  <c r="I54" i="82"/>
  <c r="L58" i="82"/>
  <c r="Q60" i="82" s="1"/>
  <c r="G44" i="81"/>
  <c r="C44" i="81" s="1"/>
  <c r="G8" i="1"/>
  <c r="F11" i="82"/>
  <c r="M11" i="82"/>
  <c r="F64" i="67"/>
  <c r="F65" i="67"/>
  <c r="L58" i="67"/>
  <c r="Q60" i="67" s="1"/>
  <c r="L59" i="67"/>
  <c r="Q61" i="67" s="1"/>
  <c r="L56" i="67"/>
  <c r="Q71" i="67"/>
  <c r="C27" i="67"/>
  <c r="F66" i="67"/>
  <c r="F51" i="67"/>
  <c r="F68" i="67"/>
  <c r="F68" i="15"/>
  <c r="C27" i="15"/>
  <c r="M7" i="15"/>
  <c r="J6" i="15" s="1"/>
  <c r="J18" i="15" s="1"/>
  <c r="F50" i="15"/>
  <c r="Q71" i="15"/>
  <c r="C6" i="15"/>
  <c r="F31" i="15"/>
  <c r="F51" i="15"/>
  <c r="F64" i="15"/>
  <c r="F66" i="15"/>
  <c r="F71" i="15"/>
  <c r="F65" i="15"/>
  <c r="J53" i="15"/>
  <c r="L56" i="15" s="1"/>
  <c r="J57" i="15"/>
  <c r="J55" i="15" s="1"/>
  <c r="J58" i="15" s="1"/>
  <c r="Q50" i="15" s="1"/>
  <c r="I54" i="15"/>
  <c r="N59" i="15"/>
  <c r="L58" i="15"/>
  <c r="Q73" i="15" s="1"/>
  <c r="L59" i="15"/>
  <c r="Q74" i="15" s="1"/>
  <c r="M59" i="15"/>
  <c r="I54" i="67"/>
  <c r="N59" i="67"/>
  <c r="J57" i="67"/>
  <c r="J55" i="67" s="1"/>
  <c r="J58" i="67" s="1"/>
  <c r="Q50" i="67" s="1"/>
  <c r="M59" i="67"/>
  <c r="J53" i="67"/>
  <c r="Q52" i="67" s="1"/>
  <c r="E155" i="3"/>
  <c r="H7" i="36"/>
  <c r="J7" i="37"/>
  <c r="AC7" i="37" s="1"/>
  <c r="V42" i="37" s="1"/>
  <c r="I42" i="37" s="1"/>
  <c r="G26" i="43"/>
  <c r="N94" i="46"/>
  <c r="J26" i="43"/>
  <c r="N370" i="46"/>
  <c r="D18" i="53"/>
  <c r="B35" i="72" s="1"/>
  <c r="C7" i="74"/>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AH6" i="1" s="1"/>
  <c r="E51" i="40"/>
  <c r="E16" i="6"/>
  <c r="E58" i="40"/>
  <c r="E62" i="39"/>
  <c r="E3" i="6"/>
  <c r="B14" i="74" s="1"/>
  <c r="D5" i="43"/>
  <c r="C7" i="43"/>
  <c r="C5" i="43" s="1"/>
  <c r="D10" i="52"/>
  <c r="D125" i="9"/>
  <c r="D11" i="52" s="1"/>
  <c r="B7" i="74"/>
  <c r="H7" i="37"/>
  <c r="AB7" i="37" s="1"/>
  <c r="T42" i="37" s="1"/>
  <c r="G42" i="37" s="1"/>
  <c r="H7" i="33"/>
  <c r="J7" i="33"/>
  <c r="D65" i="40"/>
  <c r="E63" i="40"/>
  <c r="F48" i="35"/>
  <c r="S7" i="36"/>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AE12" i="1"/>
  <c r="AE10" i="1"/>
  <c r="M29" i="82"/>
  <c r="F7" i="82"/>
  <c r="F43" i="67"/>
  <c r="M29" i="67"/>
  <c r="G1" i="73"/>
  <c r="F7" i="67"/>
  <c r="F43" i="82"/>
  <c r="C16" i="15"/>
  <c r="C16" i="84"/>
  <c r="E27" i="6" l="1"/>
  <c r="K26" i="6" s="1"/>
  <c r="M26" i="6" s="1"/>
  <c r="I26" i="6" s="1"/>
  <c r="S26" i="6" s="1"/>
  <c r="E38" i="3"/>
  <c r="E568" i="3"/>
  <c r="E34" i="3"/>
  <c r="E487" i="3"/>
  <c r="E149" i="3"/>
  <c r="E285" i="3"/>
  <c r="E21" i="3"/>
  <c r="E517" i="3"/>
  <c r="E240" i="3"/>
  <c r="E435" i="3"/>
  <c r="E13" i="3"/>
  <c r="E136" i="3"/>
  <c r="E377" i="3"/>
  <c r="E563" i="3"/>
  <c r="E373" i="3"/>
  <c r="E541" i="3"/>
  <c r="E427" i="3"/>
  <c r="E393" i="3"/>
  <c r="E449" i="3"/>
  <c r="E93" i="3"/>
  <c r="E515" i="3"/>
  <c r="E246" i="3"/>
  <c r="E584" i="3"/>
  <c r="AF6" i="3"/>
  <c r="E152" i="3"/>
  <c r="E299" i="3"/>
  <c r="E556" i="3"/>
  <c r="E164" i="3"/>
  <c r="E185" i="3"/>
  <c r="E518" i="3"/>
  <c r="E341" i="3"/>
  <c r="E488" i="3"/>
  <c r="E286" i="3"/>
  <c r="E100" i="3"/>
  <c r="E536" i="3"/>
  <c r="E184" i="3"/>
  <c r="E50" i="3"/>
  <c r="E459" i="3"/>
  <c r="E391" i="3"/>
  <c r="E362" i="3"/>
  <c r="AH6" i="3"/>
  <c r="E447" i="3"/>
  <c r="E175" i="3"/>
  <c r="E304" i="3"/>
  <c r="E509" i="3"/>
  <c r="E87" i="3"/>
  <c r="E363" i="3"/>
  <c r="E287" i="3"/>
  <c r="E60" i="3"/>
  <c r="E144" i="3"/>
  <c r="E43" i="3"/>
  <c r="E123" i="3"/>
  <c r="E539" i="3"/>
  <c r="E220" i="3"/>
  <c r="E345" i="3"/>
  <c r="E120" i="3"/>
  <c r="E72" i="3"/>
  <c r="E143" i="3"/>
  <c r="E527" i="3"/>
  <c r="E583" i="3"/>
  <c r="E154" i="3"/>
  <c r="E267" i="3"/>
  <c r="E131" i="3"/>
  <c r="E83" i="3"/>
  <c r="E307" i="3"/>
  <c r="E460" i="3"/>
  <c r="E64" i="3"/>
  <c r="E219" i="3"/>
  <c r="E365" i="3"/>
  <c r="E484" i="3"/>
  <c r="E235" i="3"/>
  <c r="E296" i="3"/>
  <c r="E465" i="3"/>
  <c r="E288" i="3"/>
  <c r="E55" i="3"/>
  <c r="E501" i="3"/>
  <c r="E29" i="3"/>
  <c r="E586" i="3"/>
  <c r="E514" i="3"/>
  <c r="E294" i="3"/>
  <c r="J11" i="40"/>
  <c r="F11" i="40"/>
  <c r="H11" i="40"/>
  <c r="C49" i="84"/>
  <c r="C61" i="84" s="1"/>
  <c r="L56" i="82"/>
  <c r="J18" i="84"/>
  <c r="J10" i="84"/>
  <c r="J5" i="84" s="1"/>
  <c r="J26" i="84" s="1"/>
  <c r="E82" i="3"/>
  <c r="Y6" i="3"/>
  <c r="E66" i="3"/>
  <c r="E103" i="3"/>
  <c r="E375" i="3"/>
  <c r="E491" i="3"/>
  <c r="E493" i="3"/>
  <c r="E308" i="3"/>
  <c r="E206" i="3"/>
  <c r="E160" i="3"/>
  <c r="E241" i="3"/>
  <c r="E416" i="3"/>
  <c r="E355" i="3"/>
  <c r="E226" i="3"/>
  <c r="E381" i="3"/>
  <c r="E409" i="3"/>
  <c r="E564" i="3"/>
  <c r="E62" i="3"/>
  <c r="AQ6" i="3"/>
  <c r="E378" i="3"/>
  <c r="E312" i="3"/>
  <c r="E281" i="3"/>
  <c r="E129" i="3"/>
  <c r="E542" i="3"/>
  <c r="E96" i="3"/>
  <c r="E146" i="3"/>
  <c r="E26" i="3"/>
  <c r="E208" i="3"/>
  <c r="E238" i="3"/>
  <c r="E32" i="3"/>
  <c r="E567" i="3"/>
  <c r="E453" i="3"/>
  <c r="E571" i="3"/>
  <c r="E150" i="3"/>
  <c r="E439" i="3"/>
  <c r="E282" i="3"/>
  <c r="E353" i="3"/>
  <c r="E215" i="3"/>
  <c r="E295" i="3"/>
  <c r="E260" i="3"/>
  <c r="E179" i="3"/>
  <c r="E127" i="3"/>
  <c r="E266" i="3"/>
  <c r="E473" i="3"/>
  <c r="E132" i="3"/>
  <c r="E440" i="3"/>
  <c r="E329" i="3"/>
  <c r="E102" i="3"/>
  <c r="E325" i="3"/>
  <c r="E462" i="3"/>
  <c r="E436" i="3"/>
  <c r="E223" i="3"/>
  <c r="E248" i="3"/>
  <c r="E421" i="3"/>
  <c r="E300" i="3"/>
  <c r="E57" i="3"/>
  <c r="E524" i="3"/>
  <c r="E147" i="3"/>
  <c r="E46" i="3"/>
  <c r="E419" i="3"/>
  <c r="E442" i="3"/>
  <c r="E258" i="3"/>
  <c r="E408" i="3"/>
  <c r="E139" i="3"/>
  <c r="K6" i="3"/>
  <c r="Z6" i="3"/>
  <c r="E532" i="3"/>
  <c r="E411" i="3"/>
  <c r="E344" i="3"/>
  <c r="E558" i="3"/>
  <c r="E44" i="3"/>
  <c r="E70" i="3"/>
  <c r="E272" i="3"/>
  <c r="E239" i="3"/>
  <c r="E91" i="3"/>
  <c r="E338" i="3"/>
  <c r="E431" i="3"/>
  <c r="E263" i="3"/>
  <c r="E551" i="3"/>
  <c r="D26" i="43"/>
  <c r="C25" i="43" s="1"/>
  <c r="C33" i="43" s="1"/>
  <c r="U5" i="85"/>
  <c r="B27" i="31" s="1"/>
  <c r="E290" i="3"/>
  <c r="E305" i="3"/>
  <c r="V6" i="3"/>
  <c r="E245" i="3"/>
  <c r="E569" i="3"/>
  <c r="E117" i="3"/>
  <c r="E229" i="3"/>
  <c r="E254" i="3"/>
  <c r="E418" i="3"/>
  <c r="AI6" i="3"/>
  <c r="E135" i="3"/>
  <c r="E172" i="3"/>
  <c r="E189" i="3"/>
  <c r="AB6" i="3"/>
  <c r="E311" i="3"/>
  <c r="E579" i="3"/>
  <c r="E530" i="3"/>
  <c r="E271" i="3"/>
  <c r="E303" i="3"/>
  <c r="E213" i="3"/>
  <c r="E321" i="3"/>
  <c r="S6" i="3"/>
  <c r="E359" i="3"/>
  <c r="E526" i="3"/>
  <c r="E124" i="3"/>
  <c r="E301" i="3"/>
  <c r="E503" i="3"/>
  <c r="E261" i="3"/>
  <c r="E380" i="3"/>
  <c r="AR6" i="3"/>
  <c r="E337" i="3"/>
  <c r="E322" i="3"/>
  <c r="E546" i="3"/>
  <c r="E166" i="3"/>
  <c r="E334" i="3"/>
  <c r="E360" i="3"/>
  <c r="E291" i="3"/>
  <c r="E71" i="3"/>
  <c r="E269" i="3"/>
  <c r="E458" i="3"/>
  <c r="E109" i="3"/>
  <c r="E211" i="3"/>
  <c r="E403" i="3"/>
  <c r="E351" i="3"/>
  <c r="E99" i="3"/>
  <c r="E328" i="3"/>
  <c r="E319" i="3"/>
  <c r="E384" i="3"/>
  <c r="E162" i="3"/>
  <c r="E414" i="3"/>
  <c r="E433" i="3"/>
  <c r="E253" i="3"/>
  <c r="E581" i="3"/>
  <c r="E448" i="3"/>
  <c r="E252" i="3"/>
  <c r="E580" i="3"/>
  <c r="E203" i="3"/>
  <c r="E429" i="3"/>
  <c r="E481" i="3"/>
  <c r="E177" i="3"/>
  <c r="E434" i="3"/>
  <c r="E494" i="3"/>
  <c r="E367" i="3"/>
  <c r="U6" i="3"/>
  <c r="E196" i="3"/>
  <c r="E357" i="3"/>
  <c r="E54" i="3"/>
  <c r="W6" i="3"/>
  <c r="E529" i="3"/>
  <c r="E157" i="3"/>
  <c r="E461" i="3"/>
  <c r="E428" i="3"/>
  <c r="E531" i="3"/>
  <c r="E485" i="3"/>
  <c r="E204" i="3"/>
  <c r="E74" i="3"/>
  <c r="E171" i="3"/>
  <c r="E468" i="3"/>
  <c r="E406" i="3"/>
  <c r="E133" i="3"/>
  <c r="E545" i="3"/>
  <c r="E469" i="3"/>
  <c r="E187" i="3"/>
  <c r="E512" i="3"/>
  <c r="E114" i="3"/>
  <c r="E151" i="3"/>
  <c r="E396" i="3"/>
  <c r="E230" i="3"/>
  <c r="E382" i="3"/>
  <c r="AJ6" i="3"/>
  <c r="E565" i="3"/>
  <c r="E31" i="3"/>
  <c r="E385" i="3"/>
  <c r="E161" i="3"/>
  <c r="E278" i="3"/>
  <c r="E387" i="3"/>
  <c r="E201" i="3"/>
  <c r="N6" i="3"/>
  <c r="E316" i="3"/>
  <c r="E159" i="3"/>
  <c r="E237" i="3"/>
  <c r="E523" i="3"/>
  <c r="E574" i="3"/>
  <c r="E347" i="3"/>
  <c r="E350" i="3"/>
  <c r="E361" i="3"/>
  <c r="E216" i="3"/>
  <c r="E561" i="3"/>
  <c r="E410" i="3"/>
  <c r="E366" i="3"/>
  <c r="E30" i="3"/>
  <c r="E121" i="3"/>
  <c r="AM6" i="3"/>
  <c r="E92" i="3"/>
  <c r="E318" i="3"/>
  <c r="E85" i="3"/>
  <c r="E273" i="3"/>
  <c r="E477" i="3"/>
  <c r="E562" i="3"/>
  <c r="O6" i="3"/>
  <c r="E53" i="3"/>
  <c r="E210" i="3"/>
  <c r="AS6" i="3"/>
  <c r="E457" i="3"/>
  <c r="E404" i="3"/>
  <c r="P6" i="3"/>
  <c r="E236" i="3"/>
  <c r="E274" i="3"/>
  <c r="E496" i="3"/>
  <c r="E437" i="3"/>
  <c r="E262" i="3"/>
  <c r="E197" i="3"/>
  <c r="E432" i="3"/>
  <c r="E145" i="3"/>
  <c r="E14" i="3"/>
  <c r="E475" i="3"/>
  <c r="E438" i="3"/>
  <c r="E224" i="3"/>
  <c r="E122" i="3"/>
  <c r="E417" i="3"/>
  <c r="E400" i="3"/>
  <c r="E89" i="3"/>
  <c r="E315" i="3"/>
  <c r="E454" i="3"/>
  <c r="E472" i="3"/>
  <c r="E228" i="3"/>
  <c r="E77" i="3"/>
  <c r="E205" i="3"/>
  <c r="E452" i="3"/>
  <c r="E42" i="3"/>
  <c r="E383" i="3"/>
  <c r="E554" i="3"/>
  <c r="E369" i="3"/>
  <c r="E470" i="3"/>
  <c r="E94" i="3"/>
  <c r="E342" i="3"/>
  <c r="E413" i="3"/>
  <c r="E525" i="3"/>
  <c r="E420" i="3"/>
  <c r="E75" i="3"/>
  <c r="E522" i="3"/>
  <c r="E483" i="3"/>
  <c r="E188" i="3"/>
  <c r="E502" i="3"/>
  <c r="I3" i="6"/>
  <c r="E479" i="3"/>
  <c r="E297" i="3"/>
  <c r="E544" i="3"/>
  <c r="E446" i="3"/>
  <c r="E137" i="3"/>
  <c r="E371" i="3"/>
  <c r="E36" i="3"/>
  <c r="E289" i="3"/>
  <c r="E20" i="3"/>
  <c r="E265" i="3"/>
  <c r="E165" i="3"/>
  <c r="E466" i="3"/>
  <c r="E40" i="3"/>
  <c r="E389" i="3"/>
  <c r="E65" i="3"/>
  <c r="E392" i="3"/>
  <c r="E233" i="3"/>
  <c r="E309" i="3"/>
  <c r="E582" i="3"/>
  <c r="E333" i="3"/>
  <c r="E170" i="3"/>
  <c r="E67" i="3"/>
  <c r="E118" i="3"/>
  <c r="E141" i="3"/>
  <c r="E507" i="3"/>
  <c r="E498" i="3"/>
  <c r="E108" i="3"/>
  <c r="E346" i="3"/>
  <c r="E59" i="3"/>
  <c r="E98" i="3"/>
  <c r="E234" i="3"/>
  <c r="E492" i="3"/>
  <c r="E49" i="3"/>
  <c r="E370" i="3"/>
  <c r="E113" i="3"/>
  <c r="E578" i="3"/>
  <c r="E217" i="3"/>
  <c r="E559" i="3"/>
  <c r="E415" i="3"/>
  <c r="E280" i="3"/>
  <c r="E169" i="3"/>
  <c r="E423" i="3"/>
  <c r="E535" i="3"/>
  <c r="E69" i="3"/>
  <c r="M6" i="3"/>
  <c r="E247" i="3"/>
  <c r="E268" i="3"/>
  <c r="AA6" i="3"/>
  <c r="E221" i="3"/>
  <c r="E298" i="3"/>
  <c r="E390" i="3"/>
  <c r="E508" i="3"/>
  <c r="E399" i="3"/>
  <c r="E134" i="3"/>
  <c r="E183" i="3"/>
  <c r="E231" i="3"/>
  <c r="E533" i="3"/>
  <c r="E555" i="3"/>
  <c r="E480" i="3"/>
  <c r="E547" i="3"/>
  <c r="E478" i="3"/>
  <c r="E317" i="3"/>
  <c r="E476" i="3"/>
  <c r="E111" i="3"/>
  <c r="E243" i="3"/>
  <c r="E182" i="3"/>
  <c r="E585" i="3"/>
  <c r="E573" i="3"/>
  <c r="E426" i="3"/>
  <c r="E441" i="3"/>
  <c r="E186" i="3"/>
  <c r="E107" i="3"/>
  <c r="E519" i="3"/>
  <c r="E444" i="3"/>
  <c r="AG6" i="3"/>
  <c r="I6" i="3"/>
  <c r="E256" i="3"/>
  <c r="AE6" i="3"/>
  <c r="Q6" i="3"/>
  <c r="E128" i="3"/>
  <c r="AL6" i="3"/>
  <c r="E548" i="3"/>
  <c r="E207" i="3"/>
  <c r="E257" i="3"/>
  <c r="E471" i="3"/>
  <c r="E474" i="3"/>
  <c r="E306" i="3"/>
  <c r="E534" i="3"/>
  <c r="E489" i="3"/>
  <c r="AO6" i="3"/>
  <c r="E368" i="3"/>
  <c r="E214" i="3"/>
  <c r="E577" i="3"/>
  <c r="E560" i="3"/>
  <c r="AK6" i="3"/>
  <c r="E198" i="3"/>
  <c r="E173" i="3"/>
  <c r="E104" i="3"/>
  <c r="E482" i="3"/>
  <c r="E148" i="3"/>
  <c r="E39" i="3"/>
  <c r="E405" i="3"/>
  <c r="E41" i="3"/>
  <c r="E412" i="3"/>
  <c r="E167" i="3"/>
  <c r="E25" i="3"/>
  <c r="E456" i="3"/>
  <c r="E115" i="3"/>
  <c r="E18" i="3"/>
  <c r="E105" i="3"/>
  <c r="E95" i="3"/>
  <c r="E116" i="3"/>
  <c r="E486" i="3"/>
  <c r="J6" i="3"/>
  <c r="E37" i="3"/>
  <c r="E292" i="3"/>
  <c r="E110" i="3"/>
  <c r="E79" i="3"/>
  <c r="E200" i="3"/>
  <c r="E354" i="3"/>
  <c r="AY6" i="3"/>
  <c r="AY260" i="3" s="1"/>
  <c r="E283" i="3"/>
  <c r="E323" i="3"/>
  <c r="E19" i="3"/>
  <c r="E284" i="3"/>
  <c r="E48" i="3"/>
  <c r="E310" i="3"/>
  <c r="E194" i="3"/>
  <c r="E47" i="3"/>
  <c r="E76" i="3"/>
  <c r="E276" i="3"/>
  <c r="E90" i="3"/>
  <c r="E500" i="3"/>
  <c r="E464" i="3"/>
  <c r="E212" i="3"/>
  <c r="E22" i="3"/>
  <c r="E158" i="3"/>
  <c r="E251" i="3"/>
  <c r="E86" i="3"/>
  <c r="E249" i="3"/>
  <c r="E467" i="3"/>
  <c r="E504" i="3"/>
  <c r="E119" i="3"/>
  <c r="AP6" i="3"/>
  <c r="R6" i="3"/>
  <c r="E513" i="3"/>
  <c r="E23" i="3"/>
  <c r="E521" i="3"/>
  <c r="E401" i="3"/>
  <c r="E264" i="3"/>
  <c r="E33" i="3"/>
  <c r="E142" i="3"/>
  <c r="E348" i="3"/>
  <c r="E566" i="3"/>
  <c r="E199" i="3"/>
  <c r="E218" i="3"/>
  <c r="E364" i="3"/>
  <c r="E112" i="3"/>
  <c r="E209" i="3"/>
  <c r="E540" i="3"/>
  <c r="E178" i="3"/>
  <c r="E398" i="3"/>
  <c r="E510" i="3"/>
  <c r="E190" i="3"/>
  <c r="E451" i="3"/>
  <c r="E543" i="3"/>
  <c r="E225" i="3"/>
  <c r="E202" i="3"/>
  <c r="E78" i="3"/>
  <c r="T6" i="3"/>
  <c r="E181" i="3"/>
  <c r="E587" i="3"/>
  <c r="E227" i="3"/>
  <c r="E557" i="3"/>
  <c r="E352" i="3"/>
  <c r="E537" i="3"/>
  <c r="E397" i="3"/>
  <c r="E324" i="3"/>
  <c r="E330" i="3"/>
  <c r="E73" i="3"/>
  <c r="E576" i="3"/>
  <c r="E511" i="3"/>
  <c r="E27" i="3"/>
  <c r="E153" i="3"/>
  <c r="E549" i="3"/>
  <c r="E572" i="3"/>
  <c r="E505" i="3"/>
  <c r="E450" i="3"/>
  <c r="E193" i="3"/>
  <c r="E270" i="3"/>
  <c r="E528" i="3"/>
  <c r="E495" i="3"/>
  <c r="E97" i="3"/>
  <c r="E17" i="3"/>
  <c r="E88" i="3"/>
  <c r="E570" i="3"/>
  <c r="E445" i="3"/>
  <c r="X6" i="3"/>
  <c r="E302" i="3"/>
  <c r="E336" i="3"/>
  <c r="E130" i="3"/>
  <c r="E63" i="3"/>
  <c r="E222" i="3"/>
  <c r="E51" i="3"/>
  <c r="E250" i="3"/>
  <c r="E24" i="3"/>
  <c r="E339" i="3"/>
  <c r="E195" i="3"/>
  <c r="E425" i="3"/>
  <c r="L6" i="3"/>
  <c r="E242" i="3"/>
  <c r="E463" i="3"/>
  <c r="E376" i="3"/>
  <c r="E552" i="3"/>
  <c r="E244" i="3"/>
  <c r="E326" i="3"/>
  <c r="E80" i="3"/>
  <c r="E232" i="3"/>
  <c r="E35" i="3"/>
  <c r="E163" i="3"/>
  <c r="E15" i="3"/>
  <c r="E349" i="3"/>
  <c r="E56" i="3"/>
  <c r="E255" i="3"/>
  <c r="AD6" i="3"/>
  <c r="E68" i="3"/>
  <c r="E386" i="3"/>
  <c r="E58" i="3"/>
  <c r="E490" i="3"/>
  <c r="E81" i="3"/>
  <c r="E84" i="3"/>
  <c r="E455" i="3"/>
  <c r="E192" i="3"/>
  <c r="E430" i="3"/>
  <c r="E101" i="3"/>
  <c r="E176" i="3"/>
  <c r="E340" i="3"/>
  <c r="E52" i="3"/>
  <c r="E138" i="3"/>
  <c r="E372" i="3"/>
  <c r="E520" i="3"/>
  <c r="E499" i="3"/>
  <c r="E374" i="3"/>
  <c r="E356" i="3"/>
  <c r="E140" i="3"/>
  <c r="E275" i="3"/>
  <c r="E497" i="3"/>
  <c r="E422" i="3"/>
  <c r="E332" i="3"/>
  <c r="E575" i="3"/>
  <c r="E277" i="3"/>
  <c r="E106" i="3"/>
  <c r="E327" i="3"/>
  <c r="E16" i="3"/>
  <c r="E313" i="3"/>
  <c r="E168" i="3"/>
  <c r="E379" i="3"/>
  <c r="E156" i="3"/>
  <c r="E424" i="3"/>
  <c r="E394" i="3"/>
  <c r="E443" i="3"/>
  <c r="E279" i="3"/>
  <c r="E331" i="3"/>
  <c r="E174" i="3"/>
  <c r="E28" i="3"/>
  <c r="E45" i="3"/>
  <c r="E126" i="3"/>
  <c r="E314" i="3"/>
  <c r="E343" i="3"/>
  <c r="E538" i="3"/>
  <c r="E180" i="3"/>
  <c r="E125" i="3"/>
  <c r="E506" i="3"/>
  <c r="AN6" i="3"/>
  <c r="E388" i="3"/>
  <c r="E335" i="3"/>
  <c r="E191" i="3"/>
  <c r="E402" i="3"/>
  <c r="E553" i="3"/>
  <c r="E550" i="3"/>
  <c r="T10" i="85"/>
  <c r="V10" i="85" s="1"/>
  <c r="T4" i="85"/>
  <c r="V4" i="85" s="1"/>
  <c r="C37" i="85"/>
  <c r="E37" i="85" s="1"/>
  <c r="T6" i="85"/>
  <c r="T11" i="85"/>
  <c r="V11" i="85" s="1"/>
  <c r="T16" i="85"/>
  <c r="V16" i="85" s="1"/>
  <c r="T8" i="85"/>
  <c r="V8" i="85" s="1"/>
  <c r="T12" i="85"/>
  <c r="V12" i="85" s="1"/>
  <c r="T15" i="85"/>
  <c r="V15" i="85" s="1"/>
  <c r="C39" i="85"/>
  <c r="G39" i="85" s="1"/>
  <c r="I39" i="85" s="1"/>
  <c r="C38" i="85"/>
  <c r="E38" i="85" s="1"/>
  <c r="V6" i="85"/>
  <c r="E67" i="39"/>
  <c r="T8" i="81"/>
  <c r="V8" i="81" s="1"/>
  <c r="T9" i="85"/>
  <c r="V9" i="85" s="1"/>
  <c r="C40" i="85"/>
  <c r="G40" i="85" s="1"/>
  <c r="I40" i="85" s="1"/>
  <c r="T2" i="85"/>
  <c r="V2" i="85" s="1"/>
  <c r="T5" i="85"/>
  <c r="V5" i="85" s="1"/>
  <c r="T3" i="85"/>
  <c r="V3" i="85" s="1"/>
  <c r="T13" i="85"/>
  <c r="V13" i="85" s="1"/>
  <c r="T7" i="85"/>
  <c r="V7" i="85" s="1"/>
  <c r="T14" i="85"/>
  <c r="V14" i="85" s="1"/>
  <c r="Q74" i="84"/>
  <c r="Q61" i="84"/>
  <c r="C42" i="85"/>
  <c r="C41" i="85"/>
  <c r="F1" i="84"/>
  <c r="Q52" i="84"/>
  <c r="Q57" i="84"/>
  <c r="Q66" i="84"/>
  <c r="Q60" i="84"/>
  <c r="Q73" i="84"/>
  <c r="E39" i="85"/>
  <c r="C32" i="15"/>
  <c r="C53" i="84"/>
  <c r="C10" i="84"/>
  <c r="C5" i="84" s="1"/>
  <c r="E259" i="3"/>
  <c r="E395" i="3"/>
  <c r="E293" i="3"/>
  <c r="E320" i="3"/>
  <c r="E516" i="3"/>
  <c r="E61" i="3"/>
  <c r="E358" i="3"/>
  <c r="C39" i="81"/>
  <c r="G39" i="81" s="1"/>
  <c r="I39" i="81" s="1"/>
  <c r="T4" i="81"/>
  <c r="V4" i="81" s="1"/>
  <c r="C33" i="81"/>
  <c r="T9" i="81"/>
  <c r="V9" i="81" s="1"/>
  <c r="C49" i="15"/>
  <c r="T12" i="81"/>
  <c r="V12" i="81" s="1"/>
  <c r="T7" i="81"/>
  <c r="V7" i="81" s="1"/>
  <c r="T11" i="81"/>
  <c r="V11" i="81" s="1"/>
  <c r="T13" i="81"/>
  <c r="V13" i="81" s="1"/>
  <c r="T15" i="81"/>
  <c r="V15" i="81" s="1"/>
  <c r="M7" i="67"/>
  <c r="J6" i="67" s="1"/>
  <c r="J18" i="67" s="1"/>
  <c r="F50" i="67"/>
  <c r="C49" i="67" s="1"/>
  <c r="F31" i="67"/>
  <c r="F71" i="67"/>
  <c r="T2" i="81"/>
  <c r="V2" i="81" s="1"/>
  <c r="C40" i="81"/>
  <c r="G40" i="81" s="1"/>
  <c r="I40" i="81" s="1"/>
  <c r="T16" i="81"/>
  <c r="V16" i="81" s="1"/>
  <c r="T3" i="81"/>
  <c r="V3" i="81" s="1"/>
  <c r="T10" i="81"/>
  <c r="V10" i="81" s="1"/>
  <c r="Q61" i="82"/>
  <c r="Q74" i="82"/>
  <c r="T5" i="81"/>
  <c r="V5" i="81" s="1"/>
  <c r="T14" i="81"/>
  <c r="V14" i="81" s="1"/>
  <c r="T6" i="81"/>
  <c r="V6" i="81" s="1"/>
  <c r="C38" i="81"/>
  <c r="G38" i="81" s="1"/>
  <c r="I38" i="81" s="1"/>
  <c r="B40" i="1"/>
  <c r="L36" i="85" s="1"/>
  <c r="Q52" i="82"/>
  <c r="F71" i="82"/>
  <c r="F50" i="82"/>
  <c r="M7" i="82"/>
  <c r="F31" i="82"/>
  <c r="G16" i="1"/>
  <c r="F10" i="40" s="1"/>
  <c r="M6" i="1"/>
  <c r="M16" i="1" s="1"/>
  <c r="Q16" i="1"/>
  <c r="H16" i="1"/>
  <c r="Q73" i="82"/>
  <c r="G37" i="81"/>
  <c r="I37" i="81" s="1"/>
  <c r="E37" i="81"/>
  <c r="C41" i="81"/>
  <c r="C42" i="81"/>
  <c r="Q73" i="67"/>
  <c r="J5" i="15"/>
  <c r="J24" i="15" s="1"/>
  <c r="M17" i="15"/>
  <c r="Q61" i="15"/>
  <c r="F59" i="15"/>
  <c r="Q74" i="67"/>
  <c r="M17" i="67"/>
  <c r="F59" i="67"/>
  <c r="Q60" i="15"/>
  <c r="F1" i="15"/>
  <c r="Q52" i="15"/>
  <c r="D1" i="43"/>
  <c r="F1" i="67"/>
  <c r="W7" i="37"/>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G33" i="6" s="1"/>
  <c r="K24" i="6"/>
  <c r="K19" i="6"/>
  <c r="S6" i="1" s="1"/>
  <c r="O14" i="1"/>
  <c r="O16" i="1" s="1"/>
  <c r="AY275" i="3"/>
  <c r="AY213" i="3"/>
  <c r="AY272" i="3"/>
  <c r="AY172" i="3"/>
  <c r="D3" i="21"/>
  <c r="E6" i="6"/>
  <c r="D37" i="11"/>
  <c r="D14" i="12"/>
  <c r="M18" i="9"/>
  <c r="B118" i="9" s="1"/>
  <c r="B1" i="74"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AE8" i="1"/>
  <c r="AE7" i="1"/>
  <c r="C16" i="82"/>
  <c r="F41" i="67"/>
  <c r="AE6" i="1"/>
  <c r="C17" i="82"/>
  <c r="F6" i="82"/>
  <c r="C17" i="84"/>
  <c r="M27" i="15"/>
  <c r="F6" i="67"/>
  <c r="F41" i="84"/>
  <c r="C16" i="67"/>
  <c r="AY293" i="3" l="1"/>
  <c r="AY402" i="3"/>
  <c r="AY383" i="3"/>
  <c r="AY35" i="3"/>
  <c r="AY356" i="3"/>
  <c r="AY54" i="3"/>
  <c r="AY305" i="3"/>
  <c r="AY140" i="3"/>
  <c r="D3" i="6"/>
  <c r="C34" i="40" s="1"/>
  <c r="AY387" i="3"/>
  <c r="AY248" i="3"/>
  <c r="AY474" i="3"/>
  <c r="AY504" i="3"/>
  <c r="AY584" i="3"/>
  <c r="AY400" i="3"/>
  <c r="AY547" i="3"/>
  <c r="AY493" i="3"/>
  <c r="AY267" i="3"/>
  <c r="AY22" i="3"/>
  <c r="AY537" i="3"/>
  <c r="AY86" i="3"/>
  <c r="AY487" i="3"/>
  <c r="AY162" i="3"/>
  <c r="AY360" i="3"/>
  <c r="AY351" i="3"/>
  <c r="AY485" i="3"/>
  <c r="AY515" i="3"/>
  <c r="AY64" i="3"/>
  <c r="AY421" i="3"/>
  <c r="AY461" i="3"/>
  <c r="AY331" i="3"/>
  <c r="AY129" i="3"/>
  <c r="AY350" i="3"/>
  <c r="AB11" i="40"/>
  <c r="U11" i="40"/>
  <c r="AA11" i="40"/>
  <c r="S11" i="40"/>
  <c r="D1" i="81"/>
  <c r="AC11" i="40"/>
  <c r="W11" i="40"/>
  <c r="C48" i="84"/>
  <c r="C60" i="84" s="1"/>
  <c r="J24" i="84"/>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66" i="3"/>
  <c r="AY276" i="3"/>
  <c r="AY50" i="3"/>
  <c r="AY473" i="3"/>
  <c r="AY372" i="3"/>
  <c r="AY533" i="3"/>
  <c r="AY190" i="3"/>
  <c r="AY247" i="3"/>
  <c r="AY109" i="3"/>
  <c r="AY242" i="3"/>
  <c r="AY462" i="3"/>
  <c r="AY495" i="3"/>
  <c r="AY425" i="3"/>
  <c r="AY89" i="3"/>
  <c r="AY222" i="3"/>
  <c r="AY130" i="3"/>
  <c r="AY308" i="3"/>
  <c r="AY516" i="3"/>
  <c r="AY496" i="3"/>
  <c r="AY132" i="3"/>
  <c r="AY412" i="3"/>
  <c r="AY326"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76" i="3"/>
  <c r="AY297" i="3"/>
  <c r="AY289" i="3"/>
  <c r="AY441" i="3"/>
  <c r="AY310" i="3"/>
  <c r="AY97" i="3"/>
  <c r="AY154" i="3"/>
  <c r="AY230" i="3"/>
  <c r="AY56" i="3"/>
  <c r="AY353" i="3"/>
  <c r="AY398" i="3"/>
  <c r="AY501" i="3"/>
  <c r="AY244" i="3"/>
  <c r="AY36" i="3"/>
  <c r="BS6" i="3"/>
  <c r="AY279" i="3"/>
  <c r="AY467" i="3"/>
  <c r="BN6" i="3"/>
  <c r="AY577" i="3"/>
  <c r="AY31" i="3"/>
  <c r="AY497" i="3"/>
  <c r="AY478"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115" i="3"/>
  <c r="AY225" i="3"/>
  <c r="AY261" i="3"/>
  <c r="AY26" i="3"/>
  <c r="AY420" i="3"/>
  <c r="AY61" i="3"/>
  <c r="AY133" i="3"/>
  <c r="AY397" i="3"/>
  <c r="AY166" i="3"/>
  <c r="AY348" i="3"/>
  <c r="BQ6" i="3"/>
  <c r="AY90" i="3"/>
  <c r="AY481" i="3"/>
  <c r="AY146" i="3"/>
  <c r="AY57" i="3"/>
  <c r="AY393" i="3"/>
  <c r="AY422" i="3"/>
  <c r="AY559" i="3"/>
  <c r="AY81" i="3"/>
  <c r="AY220" i="3"/>
  <c r="AY229"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443" i="3"/>
  <c r="AY71" i="3"/>
  <c r="AY265" i="3"/>
  <c r="AY522" i="3"/>
  <c r="AY337" i="3"/>
  <c r="AY113" i="3"/>
  <c r="AY322" i="3"/>
  <c r="AY288" i="3"/>
  <c r="AY102" i="3"/>
  <c r="AY440" i="3"/>
  <c r="AY216" i="3"/>
  <c r="AY30" i="3"/>
  <c r="AY564" i="3"/>
  <c r="AY321" i="3"/>
  <c r="AY550" i="3"/>
  <c r="AY273" i="3"/>
  <c r="AY512" i="3"/>
  <c r="AY221" i="3"/>
  <c r="AY94" i="3"/>
  <c r="AY579" i="3"/>
  <c r="AY313" i="3"/>
  <c r="AY189" i="3"/>
  <c r="AY536" i="3"/>
  <c r="AY72" i="3"/>
  <c r="AY84" i="3"/>
  <c r="AY49" i="3"/>
  <c r="AY40" i="3"/>
  <c r="AY534" i="3"/>
  <c r="AY283" i="3"/>
  <c r="AY209" i="3"/>
  <c r="BT6" i="3"/>
  <c r="AY143" i="3"/>
  <c r="AY500" i="3"/>
  <c r="AY315" i="3"/>
  <c r="AY19" i="3"/>
  <c r="BP6" i="3"/>
  <c r="AY445" i="3"/>
  <c r="AY583" i="3"/>
  <c r="AY566" i="3"/>
  <c r="AY477" i="3"/>
  <c r="AY240" i="3"/>
  <c r="AY164" i="3"/>
  <c r="AY107" i="3"/>
  <c r="AY408" i="3"/>
  <c r="AY359" i="3"/>
  <c r="AY301" i="3"/>
  <c r="AY62" i="3"/>
  <c r="AY545" i="3"/>
  <c r="AY505" i="3"/>
  <c r="AY476" i="3"/>
  <c r="AY361" i="3"/>
  <c r="AY174" i="3"/>
  <c r="AY15" i="3"/>
  <c r="AY339" i="3"/>
  <c r="AY175" i="3"/>
  <c r="AY576" i="3"/>
  <c r="AY482" i="3"/>
  <c r="AY296" i="3"/>
  <c r="AY110" i="3"/>
  <c r="AY399" i="3"/>
  <c r="AY235" i="3"/>
  <c r="AY459" i="3"/>
  <c r="AY159" i="3"/>
  <c r="AY405" i="3"/>
  <c r="AY280" i="3"/>
  <c r="AY531" i="3"/>
  <c r="AY410" i="3"/>
  <c r="AY369" i="3"/>
  <c r="AY80" i="3"/>
  <c r="AY406" i="3"/>
  <c r="AY373" i="3"/>
  <c r="AY573" i="3"/>
  <c r="AY508" i="3"/>
  <c r="AY302" i="3"/>
  <c r="AY475" i="3"/>
  <c r="AY44" i="3"/>
  <c r="AY335" i="3"/>
  <c r="AY386" i="3"/>
  <c r="AY521" i="3"/>
  <c r="AY307" i="3"/>
  <c r="AY257" i="3"/>
  <c r="AY200" i="3"/>
  <c r="AY568" i="3"/>
  <c r="AY451" i="3"/>
  <c r="AY394" i="3"/>
  <c r="AY151" i="3"/>
  <c r="AY79" i="3"/>
  <c r="AY551" i="3"/>
  <c r="AY415" i="3"/>
  <c r="AY479" i="3"/>
  <c r="AY250" i="3"/>
  <c r="AY21" i="3"/>
  <c r="AY413" i="3"/>
  <c r="AY208" i="3"/>
  <c r="AY195" i="3"/>
  <c r="AY528" i="3"/>
  <c r="AY347" i="3"/>
  <c r="AY120" i="3"/>
  <c r="AY548" i="3"/>
  <c r="AY418" i="3"/>
  <c r="AY205" i="3"/>
  <c r="AY323" i="3"/>
  <c r="AY27" i="3"/>
  <c r="AY466" i="3"/>
  <c r="AY167" i="3"/>
  <c r="AY509" i="3"/>
  <c r="AY453" i="3"/>
  <c r="AY266" i="3"/>
  <c r="AY519" i="3"/>
  <c r="AY324" i="3"/>
  <c r="AY286" i="3"/>
  <c r="AY212" i="3"/>
  <c r="AY435" i="3"/>
  <c r="AY562" i="3"/>
  <c r="AY295" i="3"/>
  <c r="AY549" i="3"/>
  <c r="AY188" i="3"/>
  <c r="AC6" i="3"/>
  <c r="H6" i="3"/>
  <c r="C27" i="31"/>
  <c r="R27" i="31" s="1"/>
  <c r="S27" i="31" s="1"/>
  <c r="S22" i="31" s="1"/>
  <c r="R22" i="31" s="1"/>
  <c r="B22" i="31"/>
  <c r="G37" i="85"/>
  <c r="I37" i="85" s="1"/>
  <c r="G38" i="85"/>
  <c r="I38" i="85" s="1"/>
  <c r="E40" i="85"/>
  <c r="E69" i="39"/>
  <c r="F67" i="39"/>
  <c r="G41" i="85"/>
  <c r="I41" i="85" s="1"/>
  <c r="E41" i="85"/>
  <c r="E42" i="85"/>
  <c r="G42" i="85"/>
  <c r="I42" i="85" s="1"/>
  <c r="E8" i="70"/>
  <c r="L37" i="85"/>
  <c r="Q36" i="85"/>
  <c r="M36" i="85"/>
  <c r="N36" i="85"/>
  <c r="P36" i="85"/>
  <c r="O36" i="85"/>
  <c r="F69" i="84"/>
  <c r="C66" i="84"/>
  <c r="F24" i="82"/>
  <c r="C24" i="82" s="1"/>
  <c r="F24" i="84"/>
  <c r="J29" i="84"/>
  <c r="C38" i="84"/>
  <c r="E39" i="81"/>
  <c r="AG6" i="1"/>
  <c r="C6" i="82"/>
  <c r="P5" i="15" s="1"/>
  <c r="C6" i="67"/>
  <c r="C10" i="67" s="1"/>
  <c r="C5" i="67" s="1"/>
  <c r="C38" i="67" s="1"/>
  <c r="E33" i="81"/>
  <c r="C6" i="69"/>
  <c r="C7" i="69" s="1"/>
  <c r="C48" i="15"/>
  <c r="C66" i="15" s="1"/>
  <c r="J5" i="67"/>
  <c r="J24" i="67" s="1"/>
  <c r="E40" i="81"/>
  <c r="F22" i="69"/>
  <c r="F41" i="69" s="1"/>
  <c r="E38" i="81"/>
  <c r="L36" i="43"/>
  <c r="Q36" i="43" s="1"/>
  <c r="C34" i="81"/>
  <c r="E34" i="81" s="1"/>
  <c r="F24" i="15"/>
  <c r="C24" i="15" s="1"/>
  <c r="F25" i="12"/>
  <c r="C26" i="12" s="1"/>
  <c r="D25" i="12" s="1"/>
  <c r="E49" i="34"/>
  <c r="I54" i="34" s="1"/>
  <c r="J54" i="34" s="1"/>
  <c r="F22" i="68"/>
  <c r="C26" i="68" s="1"/>
  <c r="D22" i="68" s="1"/>
  <c r="F22" i="11"/>
  <c r="C24" i="11" s="1"/>
  <c r="F24" i="67"/>
  <c r="C24" i="67" s="1"/>
  <c r="L36" i="81"/>
  <c r="L37" i="81" s="1"/>
  <c r="H10" i="40"/>
  <c r="AB10" i="40" s="1"/>
  <c r="S10" i="40"/>
  <c r="AA10" i="40"/>
  <c r="J10" i="39"/>
  <c r="W10" i="39" s="1"/>
  <c r="J10" i="40"/>
  <c r="J6" i="82"/>
  <c r="J10" i="82" s="1"/>
  <c r="M17" i="82"/>
  <c r="H10" i="39"/>
  <c r="F10" i="39"/>
  <c r="AA10" i="39" s="1"/>
  <c r="F27" i="69"/>
  <c r="F28" i="12"/>
  <c r="C29" i="12" s="1"/>
  <c r="D28" i="12" s="1"/>
  <c r="F27" i="68"/>
  <c r="F27" i="11"/>
  <c r="F59" i="82"/>
  <c r="C49" i="82"/>
  <c r="E42" i="81"/>
  <c r="G42" i="81"/>
  <c r="I42" i="81" s="1"/>
  <c r="G41" i="81"/>
  <c r="I41" i="81" s="1"/>
  <c r="E41" i="81"/>
  <c r="C48" i="67"/>
  <c r="C66" i="67" s="1"/>
  <c r="C89" i="9"/>
  <c r="C87" i="9" s="1"/>
  <c r="F69" i="67"/>
  <c r="G54" i="34"/>
  <c r="H54" i="34" s="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D11" i="71"/>
  <c r="C10" i="7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D10" i="69"/>
  <c r="C34" i="69"/>
  <c r="D10" i="68"/>
  <c r="C17" i="67"/>
  <c r="F41" i="15"/>
  <c r="M27" i="67"/>
  <c r="M27" i="82"/>
  <c r="C14" i="82"/>
  <c r="F41" i="82"/>
  <c r="C17" i="15"/>
  <c r="C14" i="67"/>
  <c r="C14" i="84"/>
  <c r="C14" i="74" l="1"/>
  <c r="B2" i="74"/>
  <c r="H21" i="6"/>
  <c r="J34" i="40"/>
  <c r="H34" i="40"/>
  <c r="F34" i="40"/>
  <c r="E6" i="3"/>
  <c r="H24" i="6"/>
  <c r="R24" i="6" s="1"/>
  <c r="R11" i="1" s="1"/>
  <c r="F69" i="15"/>
  <c r="C61" i="82"/>
  <c r="C53" i="82"/>
  <c r="C48" i="82" s="1"/>
  <c r="E54" i="34"/>
  <c r="F54" i="34" s="1"/>
  <c r="G67" i="39"/>
  <c r="F69" i="39"/>
  <c r="P8" i="68"/>
  <c r="C18" i="84"/>
  <c r="C15" i="84"/>
  <c r="P37" i="85"/>
  <c r="Q37" i="85"/>
  <c r="M37" i="85"/>
  <c r="O37" i="85"/>
  <c r="N37" i="85"/>
  <c r="C33" i="82"/>
  <c r="I36" i="15"/>
  <c r="C24" i="84"/>
  <c r="C10" i="82"/>
  <c r="C5" i="82" s="1"/>
  <c r="C38" i="82" s="1"/>
  <c r="D30" i="6"/>
  <c r="H22" i="6"/>
  <c r="R22" i="6" s="1"/>
  <c r="R9" i="1" s="1"/>
  <c r="H25" i="6"/>
  <c r="R25" i="6" s="1"/>
  <c r="R12" i="1" s="1"/>
  <c r="C32" i="67"/>
  <c r="C32" i="82"/>
  <c r="C60" i="15"/>
  <c r="C26" i="69"/>
  <c r="D22" i="69" s="1"/>
  <c r="C23" i="11"/>
  <c r="C44" i="69"/>
  <c r="D41" i="69" s="1"/>
  <c r="C28" i="11"/>
  <c r="C27" i="11" s="1"/>
  <c r="C60" i="67"/>
  <c r="N36" i="43"/>
  <c r="O36" i="81"/>
  <c r="L37" i="43"/>
  <c r="M37" i="43" s="1"/>
  <c r="Q36" i="81"/>
  <c r="M36" i="43"/>
  <c r="M36" i="81"/>
  <c r="P36" i="81"/>
  <c r="O36" i="43"/>
  <c r="N36" i="81"/>
  <c r="P36" i="43"/>
  <c r="S10" i="39"/>
  <c r="C44" i="68"/>
  <c r="D41" i="68" s="1"/>
  <c r="F41" i="68"/>
  <c r="C26" i="11"/>
  <c r="D22" i="11" s="1"/>
  <c r="C44" i="11"/>
  <c r="D41" i="11" s="1"/>
  <c r="C25" i="11"/>
  <c r="U10" i="40"/>
  <c r="AC10" i="39"/>
  <c r="C31" i="81"/>
  <c r="F45" i="68"/>
  <c r="C47" i="68"/>
  <c r="D45" i="68" s="1"/>
  <c r="C29" i="68"/>
  <c r="D27" i="68" s="1"/>
  <c r="U10" i="39"/>
  <c r="AB10" i="39"/>
  <c r="C47" i="69"/>
  <c r="D45" i="69" s="1"/>
  <c r="C29" i="69"/>
  <c r="D27" i="69" s="1"/>
  <c r="F45" i="69"/>
  <c r="J19" i="82"/>
  <c r="J5" i="82"/>
  <c r="J18" i="82"/>
  <c r="C29" i="11"/>
  <c r="D27" i="11" s="1"/>
  <c r="C47" i="11"/>
  <c r="D45" i="11" s="1"/>
  <c r="AC10" i="40"/>
  <c r="W10" i="40"/>
  <c r="C18" i="82"/>
  <c r="C15" i="82"/>
  <c r="C30" i="81"/>
  <c r="B2" i="81" s="1"/>
  <c r="F69" i="82"/>
  <c r="P37" i="81"/>
  <c r="O37" i="81"/>
  <c r="M37" i="81"/>
  <c r="Q37" i="81"/>
  <c r="N37" i="81"/>
  <c r="M5" i="68"/>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R21" i="6"/>
  <c r="R8" i="1" s="1"/>
  <c r="C10" i="69"/>
  <c r="C8" i="69" s="1"/>
  <c r="C5" i="69" s="1"/>
  <c r="D19" i="69"/>
  <c r="F50" i="69"/>
  <c r="F50" i="11"/>
  <c r="F50" i="68"/>
  <c r="C4" i="52"/>
  <c r="B45" i="72" s="1"/>
  <c r="A10" i="51"/>
  <c r="B9" i="72" s="1"/>
  <c r="A7" i="51"/>
  <c r="B7" i="72" s="1"/>
  <c r="C10" i="68"/>
  <c r="B29" i="1" s="1"/>
  <c r="C8" i="68" s="1"/>
  <c r="D19" i="68"/>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A34" i="40" l="1"/>
  <c r="S34" i="40"/>
  <c r="AB34" i="40"/>
  <c r="U34" i="40"/>
  <c r="AC34" i="40"/>
  <c r="W34" i="40"/>
  <c r="C19" i="84"/>
  <c r="C20" i="84" s="1"/>
  <c r="C26" i="84" s="1"/>
  <c r="H67" i="39"/>
  <c r="G69" i="39"/>
  <c r="D31" i="6"/>
  <c r="I6" i="6" s="1"/>
  <c r="G3" i="85" s="1"/>
  <c r="B3" i="81"/>
  <c r="C22" i="11"/>
  <c r="C31" i="11" s="1"/>
  <c r="O37" i="43"/>
  <c r="N37" i="43"/>
  <c r="P37" i="43"/>
  <c r="Q37" i="43"/>
  <c r="C66" i="82"/>
  <c r="C60" i="82"/>
  <c r="C19" i="82"/>
  <c r="C20" i="82" s="1"/>
  <c r="C26" i="82" s="1"/>
  <c r="J24" i="82"/>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D9" i="71"/>
  <c r="I63" i="40"/>
  <c r="H65" i="40"/>
  <c r="I58" i="21"/>
  <c r="J58" i="21" s="1"/>
  <c r="K58" i="21" s="1"/>
  <c r="L58" i="21" s="1"/>
  <c r="M58" i="21" s="1"/>
  <c r="N58" i="21" s="1"/>
  <c r="O58" i="21" s="1"/>
  <c r="H7" i="21" s="1"/>
  <c r="J48" i="35"/>
  <c r="I5" i="6" l="1"/>
  <c r="C23" i="84"/>
  <c r="C29" i="84" s="1"/>
  <c r="J14" i="84" s="1"/>
  <c r="J13" i="84" s="1"/>
  <c r="J23" i="84" s="1"/>
  <c r="H69" i="39"/>
  <c r="I67" i="39"/>
  <c r="Z7" i="85"/>
  <c r="B116" i="85"/>
  <c r="J26" i="85"/>
  <c r="E26" i="85"/>
  <c r="F26" i="85"/>
  <c r="G26" i="85"/>
  <c r="H26" i="85"/>
  <c r="C23" i="82"/>
  <c r="C29" i="82" s="1"/>
  <c r="C21" i="12"/>
  <c r="C22" i="12" s="1"/>
  <c r="C30" i="12" s="1"/>
  <c r="C28" i="12"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J59" i="84" l="1"/>
  <c r="J60" i="84" s="1"/>
  <c r="Q48" i="84" s="1"/>
  <c r="C13" i="84"/>
  <c r="Q70" i="84" s="1"/>
  <c r="C57" i="84"/>
  <c r="C64" i="84" s="1"/>
  <c r="Q49" i="84"/>
  <c r="C36" i="84"/>
  <c r="I69" i="39"/>
  <c r="J67" i="39"/>
  <c r="J22" i="84"/>
  <c r="L46" i="84"/>
  <c r="D26" i="85"/>
  <c r="C25" i="85" s="1"/>
  <c r="C33" i="85" s="1"/>
  <c r="I121" i="85"/>
  <c r="J121" i="85" s="1"/>
  <c r="K121" i="85" s="1"/>
  <c r="L121" i="85" s="1"/>
  <c r="M121" i="85" s="1"/>
  <c r="D122" i="85"/>
  <c r="E122" i="85" s="1"/>
  <c r="F122" i="85" s="1"/>
  <c r="G122" i="85" s="1"/>
  <c r="H122" i="85" s="1"/>
  <c r="D118" i="85"/>
  <c r="E118" i="85" s="1"/>
  <c r="F118" i="85" s="1"/>
  <c r="G118" i="85" s="1"/>
  <c r="H118" i="85" s="1"/>
  <c r="B120" i="85"/>
  <c r="C120" i="85" s="1"/>
  <c r="I120" i="85"/>
  <c r="J120" i="85" s="1"/>
  <c r="K120" i="85" s="1"/>
  <c r="L120" i="85" s="1"/>
  <c r="M120" i="85" s="1"/>
  <c r="D121" i="85"/>
  <c r="E121" i="85" s="1"/>
  <c r="F121" i="85" s="1"/>
  <c r="G121" i="85"/>
  <c r="H121" i="85" s="1"/>
  <c r="B119" i="85"/>
  <c r="C119" i="85" s="1"/>
  <c r="I119" i="85"/>
  <c r="J119" i="85" s="1"/>
  <c r="K119" i="85" s="1"/>
  <c r="L119" i="85" s="1"/>
  <c r="M119" i="85" s="1"/>
  <c r="D120" i="85"/>
  <c r="E120" i="85" s="1"/>
  <c r="F120" i="85" s="1"/>
  <c r="G120" i="85" s="1"/>
  <c r="H120" i="85" s="1"/>
  <c r="B122" i="85"/>
  <c r="C122" i="85" s="1"/>
  <c r="B118" i="85"/>
  <c r="I122" i="85"/>
  <c r="J122" i="85" s="1"/>
  <c r="K122" i="85" s="1"/>
  <c r="L122" i="85" s="1"/>
  <c r="M122" i="85" s="1"/>
  <c r="I118" i="85"/>
  <c r="J118" i="85" s="1"/>
  <c r="K118" i="85" s="1"/>
  <c r="L118" i="85" s="1"/>
  <c r="M118" i="85" s="1"/>
  <c r="D119" i="85"/>
  <c r="E119" i="85" s="1"/>
  <c r="F119" i="85" s="1"/>
  <c r="G119" i="85" s="1"/>
  <c r="H119" i="85" s="1"/>
  <c r="B121" i="85"/>
  <c r="C121" i="85" s="1"/>
  <c r="C57" i="82"/>
  <c r="C64" i="82" s="1"/>
  <c r="J59" i="82"/>
  <c r="J60" i="82" s="1"/>
  <c r="Q49" i="82"/>
  <c r="C13" i="82"/>
  <c r="Q70" i="82" s="1"/>
  <c r="J14" i="82"/>
  <c r="J13" i="82" s="1"/>
  <c r="J23" i="82" s="1"/>
  <c r="C36" i="82"/>
  <c r="C27" i="12"/>
  <c r="C25" i="12" s="1"/>
  <c r="C32" i="12" s="1"/>
  <c r="B2" i="12" s="1"/>
  <c r="B3" i="12" s="1"/>
  <c r="C39" i="68"/>
  <c r="C46" i="68" s="1"/>
  <c r="C45" i="68" s="1"/>
  <c r="C91" i="9"/>
  <c r="W7" i="2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J65" i="40"/>
  <c r="K63" i="40"/>
  <c r="I52" i="21"/>
  <c r="J52" i="21" s="1"/>
  <c r="U7" i="35"/>
  <c r="AB7" i="35"/>
  <c r="T38" i="35" s="1"/>
  <c r="G38" i="35" s="1"/>
  <c r="G52" i="21"/>
  <c r="H52" i="21" s="1"/>
  <c r="G53" i="21"/>
  <c r="H53" i="21" s="1"/>
  <c r="F7" i="35"/>
  <c r="M21" i="67"/>
  <c r="M21" i="82"/>
  <c r="F35" i="67"/>
  <c r="M21" i="15"/>
  <c r="F35" i="15"/>
  <c r="F35" i="84"/>
  <c r="F35" i="82"/>
  <c r="M21" i="84"/>
  <c r="J94" i="9" l="1"/>
  <c r="C75" i="84"/>
  <c r="C56" i="84"/>
  <c r="C65" i="84" s="1"/>
  <c r="C37" i="84"/>
  <c r="J69" i="39"/>
  <c r="K67" i="39"/>
  <c r="C118" i="85"/>
  <c r="D116" i="85"/>
  <c r="E33" i="85"/>
  <c r="C30" i="85" s="1"/>
  <c r="B2" i="85" s="1"/>
  <c r="C34" i="85"/>
  <c r="E34" i="85" s="1"/>
  <c r="C31" i="85" s="1"/>
  <c r="J20" i="84"/>
  <c r="J17" i="84" s="1"/>
  <c r="J16" i="84" s="1"/>
  <c r="J25" i="84" s="1"/>
  <c r="C34" i="84"/>
  <c r="C31" i="84" s="1"/>
  <c r="C30" i="84" s="1"/>
  <c r="C39" i="84" s="1"/>
  <c r="F63" i="84"/>
  <c r="C62" i="84" s="1"/>
  <c r="C59" i="84" s="1"/>
  <c r="C43" i="68"/>
  <c r="C41" i="68" s="1"/>
  <c r="C49" i="68" s="1"/>
  <c r="C51" i="68" s="1"/>
  <c r="Q48" i="82"/>
  <c r="AC7" i="35"/>
  <c r="V38" i="35" s="1"/>
  <c r="I38" i="35" s="1"/>
  <c r="C34" i="82"/>
  <c r="C31" i="82" s="1"/>
  <c r="J22" i="82"/>
  <c r="C75" i="82"/>
  <c r="C56" i="82"/>
  <c r="C65" i="82" s="1"/>
  <c r="C37" i="82"/>
  <c r="F63" i="82"/>
  <c r="C62" i="82" s="1"/>
  <c r="C59" i="82" s="1"/>
  <c r="J20" i="82"/>
  <c r="J17" i="82" s="1"/>
  <c r="E48" i="21"/>
  <c r="E52" i="21" s="1"/>
  <c r="F52" i="21" s="1"/>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S7" i="35"/>
  <c r="AA7" i="35"/>
  <c r="R38" i="35" s="1"/>
  <c r="C49" i="21"/>
  <c r="C48" i="21"/>
  <c r="G42" i="35"/>
  <c r="H42" i="35" s="1"/>
  <c r="G43" i="35"/>
  <c r="H43" i="35" s="1"/>
  <c r="K65" i="40"/>
  <c r="L63" i="40"/>
  <c r="I42" i="35"/>
  <c r="J42" i="35" s="1"/>
  <c r="C58" i="84" l="1"/>
  <c r="C67" i="84" s="1"/>
  <c r="C68" i="84" s="1"/>
  <c r="C71" i="84" s="1"/>
  <c r="L67" i="39"/>
  <c r="K69" i="39"/>
  <c r="B3" i="85"/>
  <c r="Q69" i="84"/>
  <c r="Q68" i="84" s="1"/>
  <c r="C40" i="84"/>
  <c r="C80" i="84"/>
  <c r="C79" i="84" s="1"/>
  <c r="J16" i="82"/>
  <c r="J25" i="82" s="1"/>
  <c r="J26" i="82" s="1"/>
  <c r="J29" i="82" s="1"/>
  <c r="C30" i="82"/>
  <c r="C39" i="82" s="1"/>
  <c r="C58" i="82"/>
  <c r="C67" i="82" s="1"/>
  <c r="C68" i="82" s="1"/>
  <c r="C71" i="82" s="1"/>
  <c r="E53" i="21"/>
  <c r="F53" i="21" s="1"/>
  <c r="I53" i="21"/>
  <c r="J53" i="21" s="1"/>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R39" i="35"/>
  <c r="E38" i="35"/>
  <c r="M63" i="40"/>
  <c r="L65" i="40"/>
  <c r="L51" i="82"/>
  <c r="D2" i="21"/>
  <c r="L51" i="84"/>
  <c r="Q69" i="82" l="1"/>
  <c r="Q68" i="82" s="1"/>
  <c r="H40" i="82"/>
  <c r="L57" i="82"/>
  <c r="L60" i="82" s="1"/>
  <c r="M67" i="39"/>
  <c r="L69" i="39"/>
  <c r="Q67" i="84"/>
  <c r="Q47" i="84"/>
  <c r="Q53" i="84" s="1"/>
  <c r="B2" i="84"/>
  <c r="B3" i="84" s="1"/>
  <c r="Q65" i="84"/>
  <c r="Q75" i="84" s="1"/>
  <c r="Q56" i="84"/>
  <c r="Q62" i="84" s="1"/>
  <c r="C43" i="84"/>
  <c r="C83" i="84"/>
  <c r="C82" i="84" s="1"/>
  <c r="C46" i="84"/>
  <c r="C80" i="82"/>
  <c r="C79" i="82" s="1"/>
  <c r="C40" i="82"/>
  <c r="C46" i="82" s="1"/>
  <c r="Q67" i="82"/>
  <c r="C80" i="67"/>
  <c r="C79" i="67" s="1"/>
  <c r="C40" i="67"/>
  <c r="C45" i="67" s="1"/>
  <c r="C56" i="11"/>
  <c r="C57" i="11" s="1"/>
  <c r="B2" i="21"/>
  <c r="B3" i="21" s="1"/>
  <c r="J16" i="15"/>
  <c r="J25" i="15" s="1"/>
  <c r="J26" i="15" s="1"/>
  <c r="J29" i="15" s="1"/>
  <c r="C58" i="15"/>
  <c r="C67" i="15" s="1"/>
  <c r="C68" i="15" s="1"/>
  <c r="C71" i="15" s="1"/>
  <c r="C30" i="15"/>
  <c r="C39" i="15" s="1"/>
  <c r="C39" i="35"/>
  <c r="C38" i="35"/>
  <c r="N63" i="40"/>
  <c r="M65" i="40"/>
  <c r="E43" i="35"/>
  <c r="F43" i="35" s="1"/>
  <c r="E42" i="35"/>
  <c r="F42" i="35" s="1"/>
  <c r="I43" i="35"/>
  <c r="J43" i="35" s="1"/>
  <c r="F20" i="31"/>
  <c r="L51" i="67"/>
  <c r="E2" i="68"/>
  <c r="D2" i="33"/>
  <c r="Q57" i="82" l="1"/>
  <c r="Q66" i="82"/>
  <c r="L46" i="82"/>
  <c r="B2" i="82" s="1"/>
  <c r="B3" i="82" s="1"/>
  <c r="B20" i="31"/>
  <c r="B21" i="31" s="1"/>
  <c r="N67" i="39"/>
  <c r="M69" i="39"/>
  <c r="C83" i="82"/>
  <c r="C82" i="82" s="1"/>
  <c r="Q69" i="15"/>
  <c r="Q68" i="15" s="1"/>
  <c r="I39" i="15"/>
  <c r="C43" i="82"/>
  <c r="Q47" i="82"/>
  <c r="Q53" i="82" s="1"/>
  <c r="Q56" i="82"/>
  <c r="Q65" i="82"/>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7"/>
  <c r="L51" i="15"/>
  <c r="D2" i="36"/>
  <c r="D2" i="34"/>
  <c r="D2" i="35"/>
  <c r="Q75" i="82" l="1"/>
  <c r="Q62" i="82"/>
  <c r="F7" i="39"/>
  <c r="O67" i="39"/>
  <c r="O69" i="39" s="1"/>
  <c r="N69" i="3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8" i="1"/>
  <c r="AO9" i="1"/>
  <c r="AO12" i="1"/>
  <c r="AO10" i="1"/>
  <c r="AO11" i="1"/>
  <c r="J7" i="39" l="1"/>
  <c r="H7" i="39"/>
  <c r="S7" i="39"/>
  <c r="AA7" i="39"/>
  <c r="R47" i="39" s="1"/>
  <c r="L46" i="15"/>
  <c r="B2" i="15" s="1"/>
  <c r="Q66" i="15"/>
  <c r="Q75" i="15" s="1"/>
  <c r="Q62" i="15"/>
  <c r="B9" i="70"/>
  <c r="B11" i="70"/>
  <c r="B10" i="70"/>
  <c r="B12" i="70"/>
  <c r="B8" i="70"/>
  <c r="U7" i="40"/>
  <c r="AB7" i="40"/>
  <c r="T42" i="40" s="1"/>
  <c r="G42" i="40" s="1"/>
  <c r="AA7" i="40"/>
  <c r="R42" i="40" s="1"/>
  <c r="S7" i="40"/>
  <c r="AC7" i="40"/>
  <c r="V42" i="40" s="1"/>
  <c r="I42" i="40" s="1"/>
  <c r="W7" i="40"/>
  <c r="AO7" i="1"/>
  <c r="AO6" i="1"/>
  <c r="R48" i="39" l="1"/>
  <c r="E47" i="39"/>
  <c r="U7" i="39"/>
  <c r="AB7" i="39"/>
  <c r="T47" i="39" s="1"/>
  <c r="G47" i="39" s="1"/>
  <c r="W7" i="39"/>
  <c r="AC7" i="39"/>
  <c r="V47" i="39" s="1"/>
  <c r="I47" i="39" s="1"/>
  <c r="B7" i="70"/>
  <c r="B6" i="70"/>
  <c r="B3" i="15"/>
  <c r="I46" i="40"/>
  <c r="J46" i="40" s="1"/>
  <c r="R43" i="40"/>
  <c r="E42" i="40"/>
  <c r="G47" i="40"/>
  <c r="H47" i="40" s="1"/>
  <c r="G46" i="40"/>
  <c r="H46" i="40" s="1"/>
  <c r="I52" i="39" l="1"/>
  <c r="J52" i="39" s="1"/>
  <c r="I51" i="39"/>
  <c r="J51" i="39" s="1"/>
  <c r="E51" i="39"/>
  <c r="F51" i="39" s="1"/>
  <c r="E52" i="39"/>
  <c r="F52" i="39" s="1"/>
  <c r="G51" i="39"/>
  <c r="H51" i="39" s="1"/>
  <c r="G52" i="39"/>
  <c r="H52" i="39" s="1"/>
  <c r="C48" i="39"/>
  <c r="C47" i="39"/>
  <c r="B2" i="70"/>
  <c r="C42" i="40"/>
  <c r="C43" i="40"/>
  <c r="C6" i="68" s="1"/>
  <c r="C7" i="68" s="1"/>
  <c r="C5" i="68" s="1"/>
  <c r="E47" i="40"/>
  <c r="F47" i="40" s="1"/>
  <c r="E46" i="40"/>
  <c r="F46" i="40" s="1"/>
  <c r="I47" i="40"/>
  <c r="J47" i="40" s="1"/>
  <c r="D19" i="9"/>
  <c r="C20" i="68" l="1"/>
  <c r="C25" i="68" s="1"/>
  <c r="C23" i="68"/>
  <c r="B64" i="39"/>
  <c r="F64" i="39" s="1"/>
  <c r="B58" i="39"/>
  <c r="F58" i="39" s="1"/>
  <c r="B61" i="39"/>
  <c r="F61" i="39" s="1"/>
  <c r="B60" i="39"/>
  <c r="F60" i="39" s="1"/>
  <c r="B62" i="39"/>
  <c r="F62" i="39" s="1"/>
  <c r="B56" i="39"/>
  <c r="F56" i="39" s="1"/>
  <c r="F65" i="39" s="1"/>
  <c r="B2" i="39" s="1"/>
  <c r="B3" i="39" s="1"/>
  <c r="B63" i="39"/>
  <c r="F63" i="39" s="1"/>
  <c r="B57" i="39"/>
  <c r="F57" i="39" s="1"/>
  <c r="B59" i="39"/>
  <c r="F59" i="39" s="1"/>
  <c r="D21" i="9"/>
  <c r="D102" i="9"/>
  <c r="B3" i="70"/>
  <c r="B58" i="40"/>
  <c r="F58" i="40" s="1"/>
  <c r="B54" i="40"/>
  <c r="F54" i="40" s="1"/>
  <c r="B53" i="40"/>
  <c r="F53" i="40" s="1"/>
  <c r="B59" i="40"/>
  <c r="F59" i="40" s="1"/>
  <c r="B52" i="40"/>
  <c r="F52" i="40" s="1"/>
  <c r="B56" i="40"/>
  <c r="F56" i="40" s="1"/>
  <c r="B60" i="40"/>
  <c r="F60" i="40" s="1"/>
  <c r="B57" i="40"/>
  <c r="F57" i="40" s="1"/>
  <c r="B51" i="40"/>
  <c r="F51" i="40" s="1"/>
  <c r="D20" i="9"/>
  <c r="F61" i="40" l="1"/>
  <c r="B2" i="40" s="1"/>
  <c r="B3" i="40" s="1"/>
  <c r="C28" i="68"/>
  <c r="C27" i="68" s="1"/>
  <c r="C22" i="68"/>
  <c r="D103" i="9"/>
  <c r="C31" i="68" l="1"/>
  <c r="C52" i="68" s="1"/>
  <c r="B2" i="68" s="1"/>
  <c r="C19" i="9"/>
  <c r="C57" i="68" l="1"/>
  <c r="C56" i="68" s="1"/>
  <c r="C102" i="9"/>
  <c r="C21" i="9"/>
  <c r="G19" i="9"/>
  <c r="D22" i="9"/>
  <c r="B3" i="68"/>
  <c r="D34" i="9"/>
  <c r="C20" i="9"/>
  <c r="D35" i="9"/>
  <c r="D14" i="74" l="1"/>
  <c r="G14" i="74" s="1"/>
  <c r="B6" i="74" s="1"/>
  <c r="D6" i="74" s="1"/>
  <c r="D27" i="9"/>
  <c r="C103" i="9"/>
  <c r="G20" i="9"/>
  <c r="G21" i="9"/>
  <c r="C32" i="9"/>
  <c r="B5" i="74" l="1"/>
  <c r="D5" i="74" s="1"/>
  <c r="F14" i="74"/>
  <c r="E14" i="74"/>
  <c r="C35" i="9"/>
  <c r="H118" i="9"/>
  <c r="C104" i="9" l="1"/>
  <c r="H119" i="9"/>
  <c r="H5" i="52" s="1"/>
  <c r="H4" i="52"/>
  <c r="H101" i="9"/>
  <c r="I118" i="9"/>
  <c r="C34" i="9"/>
  <c r="D118" i="9" s="1"/>
  <c r="F118" i="9"/>
  <c r="H107" i="9" l="1"/>
  <c r="D5" i="53"/>
  <c r="D45" i="9"/>
  <c r="P54" i="9" s="1"/>
  <c r="M48" i="9"/>
  <c r="F119" i="9"/>
  <c r="F5" i="52" s="1"/>
  <c r="B53" i="72" s="1"/>
  <c r="F4" i="52"/>
  <c r="B51" i="72" s="1"/>
  <c r="G118" i="9"/>
  <c r="G4" i="52" s="1"/>
  <c r="B52" i="72" s="1"/>
  <c r="J118" i="9"/>
  <c r="K118" i="9"/>
  <c r="D4" i="52"/>
  <c r="B47" i="72" s="1"/>
  <c r="D119" i="9"/>
  <c r="D5" i="52" s="1"/>
  <c r="B49" i="72" s="1"/>
  <c r="C105" i="9"/>
  <c r="H102" i="9"/>
  <c r="I4" i="52"/>
  <c r="D59" i="9"/>
  <c r="M55" i="9" s="1"/>
  <c r="E118" i="9" l="1"/>
  <c r="E4" i="52" s="1"/>
  <c r="B48" i="72" s="1"/>
  <c r="C72" i="9"/>
  <c r="D52" i="9"/>
  <c r="C78" i="9"/>
  <c r="C73" i="9" s="1"/>
  <c r="C85" i="9"/>
  <c r="D53" i="9"/>
  <c r="D48" i="9" s="1"/>
  <c r="M52" i="9" s="1"/>
  <c r="C93" i="9"/>
  <c r="C86" i="9" s="1"/>
  <c r="D55" i="9"/>
  <c r="M53" i="9" s="1"/>
  <c r="C64" i="9"/>
  <c r="C63" i="9" s="1"/>
  <c r="C67" i="9" s="1"/>
  <c r="C68" i="9" s="1"/>
  <c r="D54" i="9" s="1"/>
  <c r="D7" i="53"/>
  <c r="B21" i="72" s="1"/>
  <c r="C5" i="74"/>
  <c r="D6" i="53"/>
  <c r="B22" i="72" s="1"/>
  <c r="B20" i="72"/>
  <c r="D13" i="53"/>
  <c r="M49" i="9"/>
  <c r="D122" i="9"/>
  <c r="H108" i="9"/>
  <c r="D8" i="52" l="1"/>
  <c r="D123" i="9"/>
  <c r="D9" i="52" s="1"/>
  <c r="L66" i="9"/>
  <c r="M66" i="9" s="1"/>
  <c r="L64" i="9"/>
  <c r="M64" i="9" s="1"/>
  <c r="L65" i="9"/>
  <c r="M65" i="9" s="1"/>
  <c r="L68" i="9"/>
  <c r="M68" i="9" s="1"/>
  <c r="L67" i="9"/>
  <c r="M67" i="9" s="1"/>
  <c r="L63" i="9"/>
  <c r="M63" i="9" s="1"/>
  <c r="R54" i="9"/>
  <c r="R55" i="9" s="1"/>
  <c r="C79" i="9"/>
  <c r="D14" i="53"/>
  <c r="B32" i="72" s="1"/>
  <c r="B30" i="72"/>
  <c r="D15" i="53"/>
  <c r="B31" i="72" s="1"/>
  <c r="C6" i="74"/>
  <c r="C95" i="9"/>
  <c r="M69" i="9" l="1"/>
  <c r="N69" i="9" s="1"/>
  <c r="C96" i="9"/>
  <c r="E96" i="9" s="1"/>
  <c r="E97" i="9" s="1"/>
  <c r="C80" i="9"/>
  <c r="E80" i="9" s="1"/>
  <c r="E81" i="9" s="1"/>
  <c r="C97" i="9" l="1"/>
  <c r="D58" i="9" s="1"/>
  <c r="D56" i="9" s="1"/>
  <c r="M54" i="9" s="1"/>
  <c r="N57" i="9" s="1"/>
  <c r="N58" i="9" s="1"/>
  <c r="C81" i="9"/>
  <c r="P57" i="9" l="1"/>
  <c r="N59" i="9"/>
  <c r="N61" i="9" s="1"/>
  <c r="H112" i="9" s="1"/>
  <c r="H111" i="9" l="1"/>
  <c r="N60" i="9"/>
  <c r="D21" i="53"/>
  <c r="B39" i="72" s="1"/>
  <c r="C8" i="74"/>
  <c r="D126" i="9"/>
  <c r="D19" i="53"/>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<sst xmlns="http://schemas.openxmlformats.org/spreadsheetml/2006/main" count="9693" uniqueCount="3557">
  <si>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</si>
  <si>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</si>
  <si>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</si>
  <si>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</si>
  <si>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</si>
  <si>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</si>
  <si>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</si>
  <si>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</si>
  <si>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</si>
  <si>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</si>
  <si>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</si>
  <si>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</si>
  <si>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</si>
  <si>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</si>
  <si>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</si>
  <si>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</si>
  <si>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</si>
  <si>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</si>
  <si>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</si>
  <si>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</si>
  <si>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</si>
  <si>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</si>
  <si>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</si>
  <si>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</si>
  <si>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</si>
  <si>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</si>
  <si>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</si>
  <si>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</si>
  <si>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</si>
  <si>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</si>
  <si>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</si>
  <si>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</si>
  <si>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</si>
  <si>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</si>
  <si>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</si>
  <si>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</si>
  <si>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</si>
  <si>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</si>
  <si>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</si>
  <si>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</si>
  <si>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</si>
  <si>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</si>
  <si>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</si>
  <si>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</si>
  <si>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</si>
  <si>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</si>
  <si>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</si>
  <si>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</si>
  <si>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</si>
  <si>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</si>
  <si>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</si>
  <si>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</si>
  <si>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</si>
  <si>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</si>
  <si>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</si>
  <si>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</si>
  <si>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</si>
  <si>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</si>
  <si>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</si>
  <si>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</si>
  <si>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</si>
  <si>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</si>
  <si>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</si>
  <si>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</si>
  <si>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</si>
  <si>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</si>
  <si>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</si>
  <si>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</si>
  <si>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</si>
  <si>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</si>
  <si>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</si>
  <si>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</si>
  <si>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</si>
  <si>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</si>
  <si>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</si>
  <si>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</si>
  <si>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</si>
  <si>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</si>
  <si>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</si>
  <si>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</si>
  <si>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</si>
  <si>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</si>
  <si>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</si>
  <si>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</si>
  <si>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</si>
  <si>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</si>
  <si>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</si>
  <si>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</si>
  <si>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</si>
  <si>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</si>
  <si>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</si>
  <si>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</si>
  <si>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</si>
  <si>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</si>
  <si>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</si>
  <si>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</si>
  <si>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</si>
  <si>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</si>
  <si>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</si>
  <si>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</si>
  <si>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</si>
  <si>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</si>
  <si>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</si>
  <si>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</si>
  <si>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</si>
  <si>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</si>
  <si>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</si>
  <si>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</si>
  <si>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</si>
  <si>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</si>
  <si>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</si>
  <si>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</si>
  <si>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</si>
  <si>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</si>
  <si>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</si>
  <si>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</si>
  <si>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</si>
  <si>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</si>
  <si>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</si>
  <si>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</si>
  <si>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</si>
  <si>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</si>
  <si>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</si>
  <si>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</si>
  <si>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</si>
  <si>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</si>
  <si>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</si>
  <si>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</si>
  <si>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</si>
  <si>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</si>
  <si>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</si>
  <si>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</si>
  <si>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</si>
  <si>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</si>
  <si>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</si>
  <si>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</si>
  <si>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</si>
  <si>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</si>
  <si>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</si>
  <si>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</si>
  <si>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</si>
  <si>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</si>
  <si>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</si>
  <si>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</si>
  <si>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</si>
  <si>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</si>
  <si>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</si>
  <si>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</si>
  <si>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</si>
  <si>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</si>
  <si>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</si>
  <si>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</si>
  <si>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</si>
  <si>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</si>
  <si>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</si>
  <si>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</si>
  <si>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</si>
  <si>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</si>
  <si>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</si>
  <si>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</si>
  <si>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</si>
  <si>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</si>
  <si>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</si>
  <si>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</si>
  <si>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</si>
  <si>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</si>
  <si>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</si>
  <si>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</si>
  <si>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</si>
  <si>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</si>
  <si>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</si>
  <si>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</si>
  <si>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</si>
  <si>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</si>
  <si>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</si>
  <si>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</si>
  <si>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</si>
  <si>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</si>
  <si>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</si>
  <si>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</si>
  <si>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</si>
  <si>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</si>
  <si>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</si>
  <si>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</si>
  <si>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</si>
  <si>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</si>
  <si>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</si>
  <si>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</si>
  <si>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</si>
  <si>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</si>
  <si>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</si>
  <si>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</si>
  <si>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</si>
  <si>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</si>
  <si>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</si>
  <si>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</si>
  <si>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</si>
  <si>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</si>
  <si>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</si>
  <si>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</si>
  <si>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</si>
  <si>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</si>
  <si>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</si>
  <si>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</si>
  <si>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</si>
  <si>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</si>
  <si>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</si>
  <si>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</si>
  <si>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</si>
  <si>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</si>
  <si>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</si>
  <si>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</si>
  <si>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</si>
  <si>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</si>
  <si>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</si>
  <si>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</si>
  <si>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</si>
  <si>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</si>
  <si>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</si>
  <si>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</si>
  <si>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</si>
  <si>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</si>
  <si>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</si>
  <si>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</si>
  <si>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</si>
  <si>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</si>
  <si>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</si>
  <si>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</si>
  <si>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</si>
  <si>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</si>
  <si>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</si>
  <si>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</si>
  <si>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</si>
  <si>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</si>
  <si>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</si>
  <si>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</si>
  <si>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</si>
  <si>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</si>
  <si>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</si>
  <si>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</si>
  <si>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</si>
  <si>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</si>
  <si>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</si>
  <si>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</si>
  <si>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</si>
  <si>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</si>
  <si>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</si>
  <si>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</si>
  <si>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</si>
  <si>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</si>
  <si>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</si>
  <si>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</si>
  <si>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</si>
  <si>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</si>
  <si>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</si>
  <si>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</si>
  <si>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</si>
  <si>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</si>
  <si>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</si>
  <si>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</si>
  <si>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</si>
  <si>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</si>
  <si>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</si>
  <si>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</si>
  <si>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</si>
  <si>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</si>
  <si>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</si>
  <si>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</si>
  <si>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</si>
  <si>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</si>
  <si>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</si>
  <si>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</si>
  <si>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</si>
  <si>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</si>
  <si>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</si>
  <si>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</si>
  <si>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</si>
  <si>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</si>
  <si>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</si>
  <si>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</si>
  <si>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</si>
  <si>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</si>
  <si>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</si>
  <si>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</si>
  <si>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</si>
  <si>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</si>
  <si>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</si>
  <si>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</si>
  <si>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</si>
  <si>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</si>
  <si>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</si>
  <si>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</si>
  <si>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</si>
  <si>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</si>
  <si>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</si>
  <si>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</si>
  <si>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</si>
  <si>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</si>
  <si>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</si>
  <si>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</si>
  <si>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</si>
  <si>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</si>
  <si>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</si>
  <si>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</si>
  <si>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</si>
  <si>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</si>
  <si>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</si>
  <si>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</si>
  <si>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</si>
  <si>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</si>
  <si>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</si>
  <si>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</si>
  <si>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</si>
  <si>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</si>
  <si>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</si>
  <si>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</si>
  <si>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</si>
  <si>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</si>
  <si>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</si>
  <si>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</si>
  <si>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</si>
  <si>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</si>
  <si>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</si>
  <si>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</si>
  <si>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</si>
  <si>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</si>
  <si>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</si>
  <si>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</si>
  <si>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</si>
  <si>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</si>
  <si>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</si>
  <si>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</si>
  <si>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</si>
  <si>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</si>
  <si>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</si>
  <si>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</si>
  <si>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</si>
  <si>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</si>
  <si>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</si>
  <si>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</si>
  <si>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</si>
  <si>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</si>
  <si>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</si>
  <si>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</si>
  <si>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</si>
  <si>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</si>
  <si>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</si>
  <si>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</si>
  <si>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</si>
  <si>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</si>
  <si>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</si>
  <si>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</si>
  <si>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</si>
  <si>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</si>
  <si>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</si>
  <si>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</si>
  <si>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</si>
  <si>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</si>
  <si>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</si>
  <si>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</si>
  <si>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</si>
  <si>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</si>
  <si>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</si>
  <si>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</si>
  <si>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</si>
  <si>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</si>
  <si>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</si>
  <si>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</si>
  <si>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</si>
  <si>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</si>
  <si>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</si>
  <si>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</si>
  <si>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</si>
  <si>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</si>
  <si>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</si>
  <si>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</si>
  <si>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</si>
  <si>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</si>
  <si>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</si>
  <si>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</si>
  <si>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</si>
  <si>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</si>
  <si>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</si>
  <si>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</si>
  <si>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</si>
  <si>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</si>
  <si>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</si>
  <si>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</si>
  <si>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</si>
  <si>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</si>
  <si>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</si>
  <si>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</si>
  <si>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</si>
  <si>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</si>
  <si>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</si>
  <si>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</si>
  <si>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</si>
  <si>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</si>
  <si>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</si>
  <si>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</si>
  <si>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</si>
  <si>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</si>
  <si>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</si>
  <si>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</si>
  <si>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</si>
  <si>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</si>
  <si>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</si>
  <si>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</si>
  <si>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</si>
  <si>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</si>
  <si>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</si>
  <si>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</si>
  <si>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</si>
  <si>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</si>
  <si>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</si>
  <si>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</si>
  <si>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</si>
  <si>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</si>
  <si>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</si>
  <si>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</si>
  <si>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</si>
  <si>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</si>
  <si>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</si>
  <si>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</si>
  <si>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</si>
  <si>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</si>
  <si>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</si>
  <si>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</si>
  <si>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</si>
  <si>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</si>
  <si>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</si>
  <si>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</si>
  <si>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</si>
  <si>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</si>
  <si>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</si>
  <si>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</si>
  <si>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</si>
  <si>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</si>
  <si>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</si>
  <si>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</si>
  <si>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</si>
  <si>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</si>
  <si>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</si>
  <si>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</si>
  <si>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</si>
  <si>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</si>
  <si>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</si>
  <si>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</si>
  <si>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</si>
  <si>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</si>
  <si>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</si>
  <si>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</si>
  <si>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</si>
  <si>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</si>
  <si>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</si>
  <si>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</si>
  <si>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</si>
  <si>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</si>
  <si>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</si>
  <si>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</si>
  <si>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</si>
  <si>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</si>
  <si>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</si>
  <si>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</si>
  <si>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</si>
  <si>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</si>
  <si>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</si>
  <si>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</si>
  <si>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</si>
  <si>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</si>
  <si>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</si>
  <si>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</si>
  <si>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</si>
  <si>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</si>
  <si>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</si>
  <si>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</si>
  <si>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</si>
  <si>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</si>
  <si>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</si>
  <si>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</si>
  <si>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</si>
  <si>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</si>
  <si>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</si>
  <si>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</si>
  <si>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</si>
  <si>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</si>
  <si>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</si>
  <si>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</si>
  <si>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</si>
  <si>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</si>
  <si>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</si>
  <si>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</si>
  <si>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</si>
  <si>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</si>
  <si>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</si>
  <si>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</si>
  <si>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</si>
  <si>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</si>
  <si>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</si>
  <si>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</si>
  <si>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</si>
  <si>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</si>
  <si>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</si>
  <si>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</si>
  <si>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</si>
  <si>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</si>
  <si>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</si>
  <si>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</si>
  <si>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</si>
  <si>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</si>
  <si>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</si>
  <si>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</si>
  <si>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</si>
  <si>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</si>
  <si>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</si>
  <si>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</si>
  <si>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</si>
  <si>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</si>
  <si>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</si>
  <si>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</si>
  <si>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</si>
  <si>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</si>
  <si>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</si>
  <si>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</si>
  <si>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</si>
  <si>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</si>
  <si>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</si>
  <si>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</si>
  <si>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</si>
  <si>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</si>
  <si>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</si>
  <si>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</si>
  <si>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</si>
  <si>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</si>
  <si>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</si>
  <si>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</si>
  <si>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</si>
  <si>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</si>
  <si>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</si>
  <si>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</si>
  <si>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</si>
  <si>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</si>
  <si>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</si>
  <si>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</si>
  <si>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</si>
  <si>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</si>
  <si>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</si>
  <si>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</si>
  <si>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</si>
  <si>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</si>
  <si>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</si>
  <si>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</si>
  <si>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</si>
  <si>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</si>
  <si>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</si>
  <si>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</si>
  <si>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</si>
  <si>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</si>
  <si>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</si>
  <si>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</si>
  <si>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</si>
  <si>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</si>
  <si>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</si>
  <si>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</si>
  <si>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</si>
  <si>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</si>
  <si>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</si>
  <si>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</si>
  <si>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</si>
  <si>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</si>
  <si>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</si>
  <si>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</si>
  <si>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</si>
  <si>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</si>
  <si>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</si>
  <si>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</si>
  <si>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</si>
  <si>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</si>
  <si>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</si>
  <si>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</si>
  <si>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</si>
  <si>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</si>
  <si>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</si>
  <si>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</si>
  <si>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</si>
  <si>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</si>
  <si>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</si>
  <si>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</si>
  <si>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</si>
  <si>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</si>
  <si>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</si>
  <si>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</si>
  <si>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</si>
  <si>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</si>
  <si>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</si>
  <si>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</si>
  <si>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</si>
  <si>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</si>
  <si>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</si>
  <si>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</si>
  <si>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</si>
  <si>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</si>
  <si>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</si>
  <si>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</si>
  <si>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</si>
  <si>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</si>
  <si>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</si>
  <si>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</si>
  <si>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</si>
  <si>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</si>
  <si>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</si>
  <si>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</si>
  <si>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</si>
  <si>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</si>
  <si>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</si>
  <si>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</si>
  <si>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</si>
  <si>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</si>
  <si>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</si>
  <si>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</si>
  <si>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</si>
  <si>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</si>
  <si>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</si>
  <si>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</si>
  <si>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</si>
  <si>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</si>
  <si>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</si>
  <si>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</si>
  <si>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</si>
  <si>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</si>
  <si>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</si>
  <si>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</si>
  <si>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</si>
  <si>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</si>
  <si>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</si>
  <si>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</si>
  <si>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</si>
  <si>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</si>
  <si>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</si>
  <si>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</si>
  <si>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</si>
  <si>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</si>
  <si>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</si>
  <si>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</si>
  <si>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</si>
  <si>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</si>
  <si>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</si>
  <si>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</si>
  <si>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</si>
  <si>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</si>
  <si>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</si>
  <si>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</si>
  <si>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</si>
  <si>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</si>
  <si>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</si>
  <si>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</si>
  <si>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</si>
  <si>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</si>
  <si>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</si>
  <si>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</si>
  <si>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</si>
  <si>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</si>
  <si>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</si>
  <si>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</si>
  <si>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</si>
  <si>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</si>
  <si>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</si>
  <si>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</si>
  <si>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</si>
  <si>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</si>
  <si>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</si>
  <si>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</si>
  <si>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</si>
  <si>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</si>
  <si>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</si>
  <si>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</si>
  <si>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</si>
  <si>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</si>
  <si>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</si>
  <si>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</si>
  <si>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</si>
  <si>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</si>
  <si>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</si>
  <si>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</si>
  <si>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</si>
  <si>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</si>
  <si>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</si>
  <si>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</si>
  <si>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</si>
  <si>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</si>
  <si>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</si>
  <si>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</si>
  <si>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</si>
  <si>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</si>
  <si>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</si>
  <si>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</si>
  <si>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</si>
  <si>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</si>
  <si>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</si>
  <si>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</si>
  <si>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</si>
  <si>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</si>
  <si>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</si>
  <si>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</si>
  <si>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</si>
  <si>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</si>
  <si>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</si>
  <si>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</si>
  <si>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</si>
  <si>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</si>
  <si>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</si>
  <si>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</si>
  <si>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</si>
  <si>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</si>
  <si>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</si>
  <si>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</si>
  <si>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</si>
  <si>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</si>
  <si>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</si>
  <si>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</si>
  <si>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</si>
  <si>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</si>
  <si>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</si>
  <si>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</si>
  <si>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</si>
  <si>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</si>
  <si>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</si>
  <si>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</si>
  <si>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</si>
  <si>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</si>
  <si>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</si>
  <si>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</si>
  <si>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</si>
  <si>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</si>
  <si>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</si>
  <si>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</si>
  <si>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</si>
  <si>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</si>
  <si>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</si>
  <si>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</si>
  <si>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</si>
  <si>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</si>
  <si>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</si>
  <si>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</si>
  <si>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</si>
  <si>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</si>
  <si>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</si>
  <si>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</si>
  <si>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</si>
  <si>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</si>
  <si>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</si>
  <si>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</si>
  <si>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</si>
  <si>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</si>
  <si>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</si>
  <si>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</si>
  <si>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</si>
  <si>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</si>
  <si>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</si>
  <si>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</si>
  <si>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</si>
  <si>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</si>
  <si>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</si>
  <si>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</si>
  <si>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</si>
  <si>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</si>
  <si>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</si>
  <si>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</si>
  <si>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</si>
  <si>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</si>
  <si>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</si>
  <si>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</si>
  <si>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</si>
  <si>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</si>
  <si>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</si>
  <si>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</si>
  <si>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</si>
  <si>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</si>
  <si>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</si>
  <si>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</si>
  <si>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</si>
  <si>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</si>
  <si>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</si>
  <si>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</si>
  <si>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</si>
  <si>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</si>
  <si>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</si>
  <si>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</si>
  <si>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</si>
  <si>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</si>
  <si>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</si>
  <si>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</si>
  <si>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</si>
  <si>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</si>
  <si>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</si>
  <si>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</si>
  <si>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</si>
  <si>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</si>
  <si>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</si>
  <si>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</si>
  <si>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</si>
  <si>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</si>
  <si>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</si>
  <si>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</si>
  <si>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</si>
  <si>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</si>
  <si>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</si>
  <si>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</si>
  <si>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</si>
  <si>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</si>
  <si>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</si>
  <si>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</si>
  <si>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</si>
  <si>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</si>
  <si>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</si>
  <si>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</si>
  <si>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</si>
  <si>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</si>
  <si>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</si>
  <si>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</si>
  <si>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</si>
  <si>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</si>
  <si>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</si>
  <si>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</si>
  <si>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</si>
  <si>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</si>
  <si>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</si>
  <si>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</si>
  <si>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</si>
  <si>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</si>
  <si>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</si>
  <si>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</si>
  <si>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</si>
  <si>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</si>
  <si>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</si>
  <si>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</si>
  <si>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</si>
  <si>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</si>
  <si>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</si>
  <si>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</si>
  <si>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</si>
  <si>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</si>
  <si>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</si>
  <si>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</si>
  <si>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</si>
  <si>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</si>
  <si>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</si>
  <si>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</si>
  <si>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</si>
  <si>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</si>
  <si>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</si>
  <si>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</si>
  <si>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</si>
  <si>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</si>
  <si>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</si>
  <si>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</si>
  <si>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</si>
  <si>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</si>
  <si>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</si>
  <si>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</si>
  <si>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</si>
  <si>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</si>
  <si>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</si>
  <si>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</si>
  <si>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</si>
  <si>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</si>
  <si>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</si>
  <si>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</si>
  <si>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</si>
  <si>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</si>
  <si>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</si>
  <si>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</si>
  <si>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</si>
  <si>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</si>
  <si>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</si>
  <si>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</si>
  <si>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</si>
  <si>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</si>
  <si>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</si>
  <si>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</si>
  <si>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</si>
  <si>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</si>
  <si>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</si>
  <si>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</si>
  <si>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</si>
  <si>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</si>
  <si>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</si>
  <si>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</si>
  <si>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</si>
  <si>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</si>
  <si>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</si>
  <si>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</si>
  <si>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</si>
  <si>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</si>
  <si>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</si>
  <si>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</si>
  <si>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</si>
  <si>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</si>
  <si>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</si>
  <si>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</si>
  <si>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</si>
  <si>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</si>
  <si>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</si>
  <si>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</si>
  <si>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</si>
  <si>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</si>
  <si>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</si>
  <si>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</si>
  <si>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</si>
  <si>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</si>
  <si>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</si>
  <si>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</si>
  <si>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</si>
  <si>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</si>
  <si>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</si>
  <si>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</si>
  <si>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</si>
  <si>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</si>
  <si>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</si>
  <si>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</si>
  <si>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</si>
  <si>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</si>
  <si>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</si>
  <si>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</si>
  <si>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</si>
  <si>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</si>
  <si>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</si>
  <si>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</si>
  <si>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</si>
  <si>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</si>
  <si>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</si>
  <si>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</si>
  <si>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</si>
  <si>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</si>
  <si>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</si>
  <si>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</si>
  <si>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</si>
  <si>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</si>
  <si>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</si>
  <si>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</si>
  <si>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</si>
  <si>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</si>
  <si>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</si>
  <si>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</si>
  <si>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</si>
  <si>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</si>
  <si>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</si>
  <si>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</si>
  <si>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</si>
  <si>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</si>
  <si>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</si>
  <si>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</si>
  <si>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</si>
  <si>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</si>
  <si>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</si>
  <si>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</si>
  <si>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</si>
  <si>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</si>
  <si>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</si>
  <si>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</si>
  <si>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</si>
  <si>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</si>
  <si>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</si>
  <si>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</si>
  <si>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</si>
  <si>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</si>
  <si>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</si>
  <si>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</si>
  <si>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</si>
  <si>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</si>
  <si>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</si>
  <si>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</si>
  <si>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</si>
  <si>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</si>
  <si>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</si>
  <si>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</si>
  <si>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</si>
  <si>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</si>
  <si>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</si>
  <si>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</si>
  <si>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</si>
  <si>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</si>
  <si>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</si>
  <si>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</si>
  <si>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</si>
  <si>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</si>
  <si>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</si>
  <si>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</si>
  <si>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</si>
  <si>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</si>
  <si>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</si>
  <si>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</si>
  <si>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</si>
  <si>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</si>
  <si>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</si>
  <si>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</si>
  <si>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</si>
  <si>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</si>
  <si>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</si>
  <si>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</si>
  <si>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</si>
  <si>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</si>
  <si>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</si>
  <si>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</si>
  <si>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</si>
  <si>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</si>
  <si>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</si>
  <si>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</si>
  <si>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</si>
  <si>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</si>
  <si>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</si>
  <si>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</si>
  <si>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</si>
  <si>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</si>
  <si>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</si>
  <si>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</si>
  <si>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</si>
  <si>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</si>
  <si>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</si>
  <si>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</si>
  <si>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</si>
  <si>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</si>
  <si>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</si>
  <si>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</si>
  <si>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</si>
  <si>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</si>
  <si>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</si>
  <si>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</si>
  <si>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</si>
  <si>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</si>
  <si>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</si>
  <si>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</si>
  <si>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</si>
  <si>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</si>
  <si>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</si>
  <si>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</si>
  <si>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</si>
  <si>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</si>
  <si>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</si>
  <si>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</si>
  <si>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</si>
  <si>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</si>
  <si>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</si>
  <si>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</si>
  <si>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</si>
  <si>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</si>
  <si>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</si>
  <si>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</si>
  <si>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</si>
  <si>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</si>
  <si>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</si>
  <si>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</si>
  <si>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</si>
  <si>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</si>
  <si>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</si>
  <si>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</si>
  <si>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</si>
  <si>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</si>
  <si>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</si>
  <si>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</si>
  <si>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</si>
  <si>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</si>
  <si>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</si>
  <si>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</si>
  <si>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</si>
  <si>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</si>
  <si>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</si>
  <si>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</si>
  <si>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</si>
  <si>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</si>
  <si>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</si>
  <si>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</si>
  <si>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</si>
  <si>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</si>
  <si>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</si>
  <si>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</si>
  <si>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</si>
  <si>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</si>
  <si>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</si>
  <si>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</si>
  <si>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</si>
  <si>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</si>
  <si>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</si>
  <si>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</si>
  <si>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</si>
  <si>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</si>
  <si>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</si>
  <si>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</si>
  <si>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</si>
  <si>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</si>
  <si>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</si>
  <si>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</si>
  <si>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</si>
  <si>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</si>
  <si>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</si>
  <si>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</si>
  <si>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</si>
  <si>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</si>
  <si>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</si>
  <si>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</si>
  <si>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</si>
  <si>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</si>
  <si>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</si>
  <si>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</si>
  <si>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</si>
  <si>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</si>
  <si>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</si>
  <si>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</si>
  <si>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</si>
  <si>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</si>
  <si>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</si>
  <si>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</si>
  <si>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</si>
  <si>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</si>
  <si>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</si>
  <si>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</si>
  <si>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</si>
  <si>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</si>
  <si>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</si>
  <si>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</si>
  <si>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</si>
  <si>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</si>
  <si>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</si>
  <si>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</si>
  <si>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</si>
  <si>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</si>
  <si>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</si>
  <si>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</si>
  <si>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</si>
  <si>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</si>
  <si>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</si>
  <si>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</si>
  <si>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</si>
  <si>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</si>
  <si>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</si>
  <si>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</si>
  <si>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</si>
  <si>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</si>
  <si>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</si>
  <si>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</si>
  <si>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</si>
  <si>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</si>
  <si>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</si>
  <si>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</si>
  <si>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</si>
  <si>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</si>
  <si>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</si>
  <si>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</si>
  <si>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</si>
  <si>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</si>
  <si>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</si>
  <si>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</si>
  <si>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</si>
  <si>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</si>
  <si>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</si>
  <si>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</si>
  <si>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</si>
  <si>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</si>
  <si>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</si>
  <si>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</si>
  <si>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</si>
  <si>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</si>
  <si>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</si>
  <si>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</si>
  <si>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</si>
  <si>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</si>
  <si>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</si>
  <si>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</si>
  <si>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</si>
  <si>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</si>
  <si>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</si>
  <si>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</si>
  <si>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</si>
  <si>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</si>
  <si>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</si>
  <si>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</si>
  <si>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</si>
  <si>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</si>
  <si>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</si>
  <si>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</si>
  <si>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</si>
  <si>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</si>
  <si>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</si>
  <si>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</si>
  <si>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</si>
  <si>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</si>
  <si>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</si>
  <si>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</si>
  <si>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</si>
  <si>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</si>
  <si>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</si>
  <si>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</si>
  <si>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</si>
  <si>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</si>
  <si>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</si>
  <si>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</si>
  <si>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</si>
  <si>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</si>
  <si>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</si>
  <si>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</si>
  <si>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</si>
  <si>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</si>
  <si>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</si>
  <si>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</si>
  <si>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</si>
  <si>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</si>
  <si>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</si>
  <si>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</si>
  <si>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</si>
  <si>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</si>
  <si>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</si>
  <si>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</si>
  <si>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</si>
  <si>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</si>
  <si>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</si>
  <si>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</si>
  <si>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</si>
  <si>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</si>
  <si>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</si>
  <si>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</si>
  <si>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</si>
  <si>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</si>
  <si>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</si>
  <si>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</si>
  <si>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</si>
  <si>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</si>
  <si>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</si>
  <si>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</si>
  <si>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</si>
  <si>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</si>
  <si>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</si>
  <si>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</si>
  <si>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</si>
  <si>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</si>
  <si>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</si>
  <si>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</si>
  <si>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</si>
  <si>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</si>
  <si>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</si>
  <si>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</si>
  <si>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</si>
  <si>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</si>
  <si>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</si>
  <si>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</si>
  <si>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</si>
  <si>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</si>
  <si>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</si>
  <si>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</si>
  <si>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</si>
  <si>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</si>
  <si>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</si>
  <si>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</si>
  <si>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</si>
  <si>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</si>
  <si>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</si>
  <si>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</si>
  <si>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</si>
  <si>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</si>
  <si>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</si>
  <si>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</si>
  <si>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</si>
  <si>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</si>
  <si>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</si>
  <si>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</si>
  <si>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</si>
  <si>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</si>
  <si>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</si>
  <si>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</si>
  <si>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</si>
  <si>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</si>
  <si>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</si>
  <si>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</si>
  <si>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</si>
  <si>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</si>
  <si>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</si>
  <si>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</si>
  <si>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</si>
  <si>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</si>
  <si>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</si>
  <si>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</si>
  <si>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</si>
  <si>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</si>
  <si>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</si>
  <si>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</si>
  <si>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</si>
  <si>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</si>
  <si>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</si>
  <si>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</si>
  <si>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</si>
  <si>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</si>
  <si>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</si>
  <si>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</si>
  <si>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</si>
  <si>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</si>
  <si>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</si>
  <si>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</si>
  <si>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</si>
  <si>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</si>
  <si>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</si>
  <si>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</si>
  <si>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</si>
  <si>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</si>
  <si>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</si>
  <si>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</si>
  <si>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</si>
  <si>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</si>
  <si>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</si>
  <si>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</si>
  <si>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</si>
  <si>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</si>
  <si>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</si>
  <si>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</si>
  <si>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</si>
  <si>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</si>
  <si>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</si>
  <si>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</si>
  <si>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</si>
  <si>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</si>
  <si>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</si>
  <si>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</si>
  <si>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</si>
  <si>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</si>
  <si>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</si>
  <si>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</si>
  <si>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</si>
  <si>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</si>
  <si>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</si>
  <si>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</si>
  <si>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</si>
  <si>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</si>
  <si>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</si>
  <si>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</si>
  <si>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</si>
  <si>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</si>
  <si>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</si>
  <si>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</si>
  <si>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</si>
  <si>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</si>
  <si>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</si>
  <si>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</si>
  <si>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</si>
  <si>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</si>
  <si>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</si>
  <si>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</si>
  <si>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</si>
  <si>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</si>
  <si>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</si>
  <si>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</si>
  <si>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</si>
  <si>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</si>
  <si>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</si>
  <si>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</si>
  <si>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</si>
  <si>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</si>
  <si>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</si>
  <si>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</si>
  <si>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</si>
  <si>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</si>
  <si>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</si>
  <si>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</si>
  <si>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</si>
  <si>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</si>
  <si>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</si>
  <si>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</si>
  <si>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</si>
  <si>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</si>
  <si>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</si>
  <si>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</si>
  <si>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</si>
  <si>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</si>
  <si>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</si>
  <si>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</si>
  <si>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</si>
  <si>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</si>
  <si>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</si>
  <si>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</si>
  <si>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</si>
  <si>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</si>
  <si>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</si>
  <si>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</si>
  <si>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</si>
  <si>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</si>
  <si>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</si>
  <si>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</si>
  <si>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</si>
  <si>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</si>
  <si>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</si>
  <si>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</si>
  <si>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</si>
  <si>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</si>
  <si>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</si>
  <si>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</si>
  <si>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</si>
  <si>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</si>
  <si>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</si>
  <si>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</si>
  <si>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</si>
  <si>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</si>
  <si>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</si>
  <si>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</si>
  <si>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</si>
  <si>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</si>
  <si>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</si>
  <si>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</si>
  <si>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</si>
  <si>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</si>
  <si>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</si>
  <si>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</si>
  <si>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</si>
  <si>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</si>
  <si>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</si>
  <si>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</si>
  <si>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</si>
  <si>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</si>
  <si>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</si>
  <si>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</si>
  <si>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</si>
  <si>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</si>
  <si>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</si>
  <si>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</si>
  <si>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</si>
  <si>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</si>
  <si>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</si>
  <si>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</si>
  <si>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</si>
  <si>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</si>
  <si>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</si>
  <si>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</si>
  <si>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</si>
  <si>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</si>
  <si>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</si>
  <si>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</si>
  <si>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</si>
  <si>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</si>
  <si>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</si>
  <si>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</si>
  <si>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</si>
  <si>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</si>
  <si>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</si>
  <si>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</si>
  <si>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</si>
  <si>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</si>
  <si>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</si>
  <si>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</si>
  <si>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</si>
  <si>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</si>
  <si>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</si>
  <si>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</si>
  <si>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</si>
  <si>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</si>
  <si>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</si>
  <si>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</si>
  <si>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</si>
  <si>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</si>
  <si>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</si>
  <si>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</si>
  <si>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</si>
  <si>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</si>
  <si>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</si>
  <si>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</si>
  <si>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</si>
  <si>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</si>
  <si>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</si>
  <si>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</si>
  <si>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</si>
  <si>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</si>
  <si>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</si>
  <si>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</si>
  <si>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</si>
  <si>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</si>
  <si>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</si>
  <si>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</si>
  <si>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</si>
  <si>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</si>
  <si>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</si>
  <si>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</si>
  <si>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</si>
  <si>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</si>
  <si>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</si>
  <si>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</si>
  <si>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</si>
  <si>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</si>
  <si>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</si>
  <si>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</si>
  <si>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</si>
  <si>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</si>
  <si>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</si>
  <si>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</si>
  <si>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</si>
  <si>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</si>
  <si>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</si>
  <si>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</si>
  <si>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</si>
  <si>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</si>
  <si>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</si>
  <si>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</si>
  <si>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</si>
  <si>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</si>
  <si>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</si>
  <si>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</si>
  <si>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</si>
  <si>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</si>
  <si>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</si>
  <si>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</si>
  <si>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</si>
  <si>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</si>
  <si>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</si>
  <si>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</si>
  <si>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</si>
  <si>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</si>
  <si>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</si>
  <si>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</si>
  <si>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</si>
  <si>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</si>
  <si>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</si>
  <si>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</si>
  <si>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</si>
  <si>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</si>
  <si>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</si>
  <si>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</si>
  <si>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</si>
  <si>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</si>
  <si>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</si>
  <si>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</si>
  <si>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</si>
  <si>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</si>
  <si>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</si>
  <si>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</si>
  <si>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</si>
  <si>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</si>
  <si>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</si>
  <si>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</si>
  <si>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</si>
  <si>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</si>
  <si>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</si>
  <si>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</si>
  <si>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</si>
  <si>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</si>
  <si>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</si>
  <si>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</si>
  <si>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</si>
  <si>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</si>
  <si>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</si>
  <si>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</si>
  <si>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</si>
  <si>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</si>
  <si>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</si>
  <si>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</si>
  <si>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</si>
  <si>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</si>
  <si>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</si>
  <si>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</si>
  <si>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</si>
  <si>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</si>
  <si>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</si>
  <si>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</si>
  <si>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</si>
  <si>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</si>
  <si>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</si>
  <si>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</si>
  <si>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</si>
  <si>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</si>
  <si>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</si>
  <si>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</si>
  <si>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</si>
  <si>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</si>
  <si>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</si>
  <si>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</si>
  <si>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</si>
  <si>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</si>
  <si>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</si>
  <si>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</si>
  <si>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</si>
  <si>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</si>
  <si>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</si>
  <si>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</si>
  <si>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</si>
  <si>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</si>
  <si>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</si>
  <si>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</si>
  <si>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</si>
  <si>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</si>
  <si>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</si>
  <si>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</si>
  <si>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</si>
  <si>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</si>
  <si>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</si>
  <si>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</si>
  <si>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</si>
  <si>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</si>
  <si>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</si>
  <si>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</si>
  <si>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</si>
  <si>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</si>
  <si>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</si>
  <si>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</si>
  <si>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</si>
  <si>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</si>
  <si>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</si>
  <si>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</si>
  <si>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</si>
  <si>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</si>
  <si>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</si>
  <si>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</si>
  <si>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</si>
  <si>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</si>
  <si>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</si>
  <si>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</si>
  <si>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</si>
  <si>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</si>
  <si>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</si>
  <si>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</si>
  <si>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</si>
  <si>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</si>
  <si>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</si>
  <si>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</si>
  <si>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</si>
  <si>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</si>
  <si>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</si>
  <si>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</si>
  <si>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</si>
  <si>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</si>
  <si>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</si>
  <si>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</si>
  <si>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</si>
  <si>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</si>
  <si>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</si>
  <si>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</si>
  <si>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</si>
  <si>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</si>
  <si>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</si>
  <si>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</si>
  <si>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</si>
  <si>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</si>
  <si>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</si>
  <si>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</si>
  <si>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</si>
  <si>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</si>
  <si>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</si>
  <si>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</si>
  <si>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</si>
  <si>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</si>
  <si>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</si>
  <si>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</si>
  <si>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</si>
  <si>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</si>
  <si>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</si>
  <si>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</si>
  <si>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</si>
  <si>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</si>
  <si>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</si>
  <si>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</si>
  <si>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</si>
  <si>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</si>
  <si>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</si>
  <si>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</si>
  <si>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</si>
  <si>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</si>
  <si>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</si>
  <si>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</si>
  <si>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</si>
  <si>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</si>
  <si>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</si>
  <si>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</si>
  <si>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</si>
  <si>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</si>
  <si>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</si>
  <si>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</si>
  <si>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</si>
  <si>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</si>
  <si>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</si>
  <si>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</si>
  <si>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</si>
  <si>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</si>
  <si>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</si>
  <si>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</si>
  <si>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</si>
  <si>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</si>
  <si>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</si>
  <si>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</si>
  <si>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</si>
  <si>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</si>
  <si>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</si>
  <si>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</si>
  <si>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</si>
  <si>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</si>
  <si>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</si>
  <si>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</si>
  <si>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</si>
  <si>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</si>
  <si>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</si>
  <si>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</si>
  <si>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</si>
  <si>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</si>
  <si>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</si>
  <si>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</si>
  <si>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</si>
  <si>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</si>
  <si>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</si>
  <si>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</si>
  <si>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</si>
  <si>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</si>
  <si>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</si>
  <si>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</si>
  <si>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</si>
  <si>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</si>
  <si>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</si>
  <si>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</si>
  <si>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</si>
  <si>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</si>
  <si>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</si>
  <si>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</si>
  <si>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</si>
  <si>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</si>
  <si>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</si>
  <si>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</si>
  <si>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</si>
  <si>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</si>
  <si>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</si>
  <si>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</si>
  <si>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</si>
  <si>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</si>
  <si>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</si>
  <si>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</si>
  <si>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</si>
  <si>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</si>
  <si>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</si>
  <si>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</si>
  <si>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</si>
  <si>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</si>
  <si>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</si>
  <si>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</si>
  <si>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</si>
  <si>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</si>
  <si>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</si>
  <si>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</si>
  <si>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</si>
  <si>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</si>
  <si>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</si>
  <si>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</si>
  <si>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</si>
  <si>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</si>
  <si>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</si>
  <si>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</si>
  <si>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</si>
  <si>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</si>
  <si>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</si>
  <si>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</si>
  <si>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</si>
  <si>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</si>
  <si>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</si>
  <si>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</si>
  <si>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</si>
  <si>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</si>
  <si>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</si>
  <si>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</si>
  <si>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</si>
  <si>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</si>
  <si>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</si>
  <si>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</si>
  <si>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</si>
  <si>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</si>
  <si>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</si>
  <si>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</si>
  <si>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</si>
  <si>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</si>
  <si>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</si>
  <si>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</si>
  <si>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</si>
  <si>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</si>
  <si>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</si>
  <si>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</si>
  <si>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</si>
  <si>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</si>
  <si>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</si>
  <si>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</si>
  <si>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</si>
  <si>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</si>
  <si>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</si>
  <si>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</si>
  <si>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</si>
  <si>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</si>
  <si>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</si>
  <si>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</si>
  <si>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</si>
  <si>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</si>
  <si>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</si>
  <si>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</si>
  <si>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</si>
  <si>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</si>
  <si>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</si>
  <si>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</si>
  <si>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</si>
  <si>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</si>
  <si>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</si>
  <si>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</si>
  <si>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</si>
  <si>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</si>
  <si>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</si>
  <si>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</si>
  <si>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</si>
  <si>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</si>
  <si>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</si>
  <si>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</si>
  <si>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</si>
  <si>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</si>
  <si>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</si>
  <si>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</si>
  <si>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</si>
  <si>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</si>
  <si>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</si>
  <si>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</si>
  <si>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</si>
  <si>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</si>
  <si>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</si>
  <si>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</si>
  <si>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</si>
  <si>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</si>
  <si>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</si>
  <si>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</si>
  <si>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</si>
  <si>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</si>
  <si>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</si>
  <si>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</si>
  <si>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</si>
  <si>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</si>
  <si>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</si>
  <si>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</si>
  <si>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</si>
  <si>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</si>
  <si>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</si>
  <si>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</si>
  <si>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</si>
  <si>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</si>
  <si>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</si>
  <si>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</si>
  <si>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</si>
  <si>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</si>
  <si>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</si>
  <si>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</si>
  <si>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</si>
  <si>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</si>
  <si>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</si>
  <si>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</si>
  <si>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</si>
  <si>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</si>
  <si>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</si>
  <si>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</si>
  <si>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</si>
  <si>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</si>
  <si>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</si>
  <si>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</si>
  <si>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</si>
  <si>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</si>
  <si>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</si>
  <si>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</si>
  <si>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</si>
  <si>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</si>
  <si>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</si>
  <si>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</si>
  <si>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</si>
  <si>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</si>
  <si>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</si>
  <si>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</si>
  <si>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</si>
  <si>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</si>
  <si>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</si>
  <si>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</si>
  <si>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</si>
  <si>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</si>
  <si>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</si>
  <si>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</si>
  <si>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</si>
  <si>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</si>
  <si>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</si>
  <si>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</si>
  <si>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</si>
  <si>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</si>
  <si>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</si>
  <si>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</si>
  <si>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</si>
  <si>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</si>
  <si>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</si>
  <si>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</si>
  <si>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</si>
  <si>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</si>
  <si>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</si>
  <si>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</si>
  <si>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</si>
  <si>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</si>
  <si>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</si>
  <si>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</si>
  <si>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</si>
  <si>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</si>
  <si>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</si>
  <si>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</si>
  <si>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</si>
  <si>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</si>
  <si>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</si>
  <si>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</si>
  <si>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</si>
  <si>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</si>
  <si>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</si>
  <si>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</si>
  <si>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</si>
  <si>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</si>
  <si>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</si>
  <si>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</si>
  <si>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</si>
  <si>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</si>
  <si>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</si>
  <si>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</si>
  <si>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</si>
  <si>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</si>
  <si>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</si>
  <si>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</si>
  <si>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</si>
  <si>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</si>
  <si>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</si>
  <si>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</si>
  <si>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</si>
  <si>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</si>
  <si>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</si>
  <si>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</si>
  <si>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</si>
  <si>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</si>
  <si>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</si>
  <si>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</si>
  <si>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</si>
  <si>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</si>
  <si>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</si>
  <si>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</si>
  <si>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</si>
  <si>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</si>
  <si>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</si>
  <si>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</si>
  <si>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</si>
  <si>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</si>
  <si>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</si>
  <si>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</si>
  <si>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</si>
  <si>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</si>
  <si>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</si>
  <si>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</si>
  <si>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</si>
  <si>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</si>
  <si>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</si>
  <si>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</si>
  <si>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</si>
  <si>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</si>
  <si>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</si>
  <si>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</si>
  <si>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</si>
  <si>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</si>
  <si>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</si>
  <si>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</si>
  <si>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</si>
  <si>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</si>
  <si>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</si>
  <si>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</si>
  <si>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</si>
  <si>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</si>
  <si>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</si>
  <si>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</si>
  <si>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</si>
  <si>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</si>
  <si>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</si>
  <si>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</si>
  <si>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</si>
  <si>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</si>
  <si>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</si>
  <si>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</si>
  <si>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</si>
  <si>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</si>
  <si>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</si>
  <si>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</si>
  <si>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</si>
  <si>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</si>
  <si>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</si>
  <si>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</si>
  <si>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</si>
  <si>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</si>
  <si>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</si>
  <si>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</si>
  <si>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</si>
  <si>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</si>
  <si>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</si>
  <si>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</si>
  <si>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</si>
  <si>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</si>
  <si>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</si>
  <si>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</si>
  <si>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</si>
  <si>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</si>
  <si>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</si>
  <si>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</si>
  <si>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</si>
  <si>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</si>
  <si>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</si>
  <si>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</si>
  <si>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</si>
  <si>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</si>
  <si>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</si>
  <si>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</si>
  <si>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</si>
  <si>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</si>
  <si>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</si>
  <si>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</si>
  <si>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</si>
  <si>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</si>
  <si>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</si>
  <si>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</si>
  <si>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</si>
  <si>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</si>
  <si>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</si>
  <si>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</si>
  <si>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</si>
  <si>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</si>
  <si>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</si>
  <si>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</si>
  <si>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</si>
  <si>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</si>
  <si>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</si>
  <si>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</si>
  <si>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</si>
  <si>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</si>
  <si>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</si>
  <si>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</si>
  <si>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</si>
  <si>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</si>
  <si>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</si>
  <si>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</si>
  <si>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</si>
  <si>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</si>
  <si>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</si>
  <si>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</si>
  <si>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</si>
  <si>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</si>
  <si>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</si>
  <si>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</si>
  <si>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</si>
  <si>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</si>
  <si>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</si>
  <si>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</si>
  <si>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</si>
  <si>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</si>
  <si>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</si>
  <si>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</si>
  <si>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</si>
  <si>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</si>
  <si>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</si>
  <si>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</si>
  <si>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</si>
  <si>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</si>
  <si>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</si>
  <si>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</si>
  <si>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</si>
  <si>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</si>
  <si>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</si>
  <si>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</si>
  <si>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</si>
  <si>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</si>
  <si>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</si>
  <si>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</si>
  <si>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</si>
  <si>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</si>
  <si>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</si>
  <si>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</si>
  <si>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</si>
  <si>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</si>
  <si>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</si>
  <si>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</si>
  <si>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</si>
  <si>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</si>
  <si>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</si>
  <si>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</si>
  <si>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</si>
  <si>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</si>
  <si>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</si>
  <si>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</si>
  <si>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</si>
  <si>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</si>
  <si>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</si>
  <si>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</si>
  <si>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</si>
  <si>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</si>
  <si>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</si>
  <si>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</si>
  <si>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</si>
  <si>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</si>
  <si>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</si>
  <si>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</si>
  <si>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</si>
  <si>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</si>
  <si>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</si>
  <si>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</si>
  <si>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</si>
  <si>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</si>
  <si>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</si>
  <si>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</si>
  <si>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</si>
  <si>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</si>
  <si>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</si>
  <si>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</si>
  <si>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</si>
  <si>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</si>
  <si>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</si>
  <si>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</si>
  <si>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</si>
  <si>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</si>
  <si>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</si>
  <si>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</si>
  <si>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</si>
  <si>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</si>
  <si>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</si>
  <si>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</si>
  <si>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</si>
  <si>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</si>
  <si>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</si>
  <si>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</si>
  <si>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</si>
  <si>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</si>
  <si>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</si>
  <si>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</si>
  <si>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</si>
  <si>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</si>
  <si>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</si>
  <si>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</si>
  <si>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</si>
  <si>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</si>
  <si>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</si>
  <si>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</si>
  <si>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</si>
  <si>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</si>
  <si>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</si>
  <si>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</si>
  <si>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</si>
  <si>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</si>
  <si>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</si>
  <si>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</si>
  <si>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</si>
  <si>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</si>
  <si>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</si>
  <si>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</si>
  <si>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</si>
  <si>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</si>
  <si>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</si>
  <si>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</si>
  <si>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</si>
  <si>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</si>
  <si>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</si>
  <si>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</si>
  <si>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</si>
  <si>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</si>
  <si>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</si>
  <si>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</si>
  <si>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</si>
  <si>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</si>
  <si>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</si>
  <si>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</si>
  <si>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</si>
  <si>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</si>
  <si>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</si>
  <si>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</si>
  <si>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</si>
  <si>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</si>
  <si>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</si>
  <si>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</si>
  <si>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</si>
  <si>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</si>
  <si>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</si>
  <si>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</si>
  <si>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</si>
  <si>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</si>
  <si>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</si>
  <si>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</si>
  <si>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</si>
  <si>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</si>
  <si>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</si>
  <si>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</si>
  <si>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</si>
  <si>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</si>
  <si>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</si>
  <si>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</si>
  <si>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</si>
  <si>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</si>
  <si>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</si>
  <si>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</si>
  <si>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</si>
  <si>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</si>
  <si>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</si>
  <si>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</si>
  <si>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</si>
  <si>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</si>
  <si>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</si>
  <si>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</si>
  <si>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</si>
  <si>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</si>
  <si>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</si>
  <si>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</si>
  <si>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</si>
  <si>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</si>
  <si>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</si>
  <si>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</si>
  <si>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</si>
  <si>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</si>
  <si>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</si>
  <si>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</si>
  <si>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</si>
  <si>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</si>
  <si>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</si>
  <si>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</si>
  <si>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</si>
  <si>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</si>
  <si>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</si>
  <si>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</si>
  <si>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</si>
  <si>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</si>
  <si>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</si>
  <si>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</si>
  <si>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</si>
  <si>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</si>
  <si>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</si>
  <si>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</si>
  <si>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</si>
  <si>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</si>
  <si>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</si>
  <si>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</si>
  <si>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</si>
  <si>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</si>
  <si>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</si>
  <si>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</si>
  <si>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</si>
  <si>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</si>
  <si>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</si>
  <si>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</si>
  <si>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</si>
  <si>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</si>
  <si>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</si>
  <si>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</si>
  <si>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</si>
  <si>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</si>
  <si>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</si>
  <si>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</si>
  <si>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</si>
  <si>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</si>
  <si>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</si>
  <si>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</si>
  <si>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</si>
  <si>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</si>
  <si>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</si>
  <si>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</si>
  <si>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</si>
  <si>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</si>
  <si>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</si>
  <si>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</si>
  <si>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</si>
  <si>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</si>
  <si>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</si>
  <si>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</si>
  <si>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</si>
  <si>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</si>
  <si>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</si>
  <si>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</si>
  <si>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</si>
  <si>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</si>
  <si>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</si>
  <si>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</si>
  <si>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</si>
  <si>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</si>
  <si>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</si>
  <si>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</si>
  <si>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</si>
  <si>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</si>
  <si>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</si>
  <si>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</si>
  <si>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</si>
  <si>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</si>
  <si>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</si>
  <si>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</si>
  <si>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</si>
  <si>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</si>
  <si>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</si>
  <si>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</si>
  <si>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</si>
  <si>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</si>
  <si>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</si>
  <si>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</si>
  <si>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</si>
  <si>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</si>
  <si>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</si>
  <si>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</si>
  <si>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</si>
  <si>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</si>
  <si>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</si>
  <si>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</si>
  <si>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</si>
  <si>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</si>
  <si>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</si>
  <si>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</si>
  <si>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</si>
  <si>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</si>
  <si>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</si>
  <si>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</si>
  <si>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</si>
  <si>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</si>
  <si>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</si>
  <si>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</si>
  <si>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</si>
  <si>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</si>
  <si>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</si>
  <si>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</si>
  <si>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</si>
  <si>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</si>
  <si>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</si>
  <si>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</si>
  <si>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</si>
  <si>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</si>
  <si>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</si>
  <si>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</si>
  <si>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</si>
  <si>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</si>
  <si>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</si>
  <si>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</si>
  <si>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</si>
  <si>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</si>
  <si>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</si>
  <si>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</si>
  <si>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</si>
  <si>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</si>
  <si>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</si>
  <si>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</si>
  <si>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</si>
  <si>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</si>
  <si>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</si>
  <si>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</si>
  <si>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</si>
  <si>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</si>
  <si>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</si>
  <si>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</si>
  <si>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</si>
  <si>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</si>
  <si>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</si>
  <si>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</si>
  <si>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</si>
  <si>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</si>
  <si>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</si>
  <si>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</si>
  <si>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</si>
  <si>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</si>
  <si>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</si>
  <si>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</si>
  <si>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</si>
  <si>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</si>
  <si>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</si>
  <si>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</si>
  <si>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</si>
  <si>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</si>
  <si>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</si>
  <si>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</si>
  <si>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</si>
  <si>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</si>
  <si>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</si>
  <si>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</si>
  <si>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</si>
  <si>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</si>
  <si>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</si>
  <si>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</si>
  <si>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</si>
  <si>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</si>
  <si>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</si>
  <si>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</si>
  <si>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</si>
  <si>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</si>
  <si>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</si>
  <si>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</si>
  <si>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</si>
  <si>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</si>
  <si>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</si>
  <si>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</si>
  <si>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</si>
  <si>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</si>
  <si>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</si>
  <si>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</si>
  <si>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</si>
  <si>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</si>
  <si>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</si>
  <si>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</si>
  <si>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</si>
  <si>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</si>
  <si>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</si>
  <si>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</si>
  <si>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</si>
  <si>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</si>
  <si>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</si>
  <si>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</si>
  <si>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</si>
  <si>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</si>
  <si>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</si>
  <si>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</si>
  <si>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</si>
  <si>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</si>
  <si>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</si>
  <si>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</si>
  <si>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</si>
  <si>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</si>
  <si>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</si>
  <si>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</si>
  <si>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</si>
  <si>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</si>
  <si>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</si>
  <si>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</si>
  <si>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</si>
  <si>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</si>
  <si>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</si>
  <si>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</si>
  <si>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</si>
  <si>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</si>
  <si>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</si>
  <si>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</si>
  <si>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</si>
  <si>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</si>
  <si>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</si>
  <si>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</si>
  <si>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</si>
  <si>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</si>
  <si>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</si>
  <si>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</si>
  <si>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</si>
  <si>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</si>
  <si>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</si>
  <si>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</si>
  <si>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</si>
  <si>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</si>
  <si>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</si>
  <si>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</si>
  <si>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</si>
  <si>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</si>
  <si>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</si>
  <si>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</si>
  <si>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</si>
  <si>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</si>
  <si>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</si>
  <si>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</si>
  <si>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</si>
  <si>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</si>
  <si>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</si>
  <si>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</si>
  <si>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</si>
  <si>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</si>
  <si>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</si>
  <si>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</si>
  <si>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</si>
  <si>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</si>
  <si>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</si>
  <si>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</si>
  <si>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</si>
  <si>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</si>
  <si>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</si>
  <si>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</si>
  <si>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</si>
  <si>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</si>
  <si>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</si>
  <si>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</si>
  <si>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</si>
  <si>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</si>
  <si>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</si>
  <si>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</si>
  <si>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</si>
  <si>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</si>
  <si>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</si>
  <si>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</si>
  <si>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</si>
  <si>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</si>
  <si>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</si>
  <si>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</si>
  <si>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</si>
  <si>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</si>
  <si>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</si>
  <si>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</si>
  <si>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</si>
  <si>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</si>
  <si>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</si>
  <si>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</si>
  <si>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</si>
  <si>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</si>
  <si>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</si>
  <si>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</si>
  <si>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</si>
  <si>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</si>
  <si>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</si>
  <si>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</si>
  <si>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</si>
  <si>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</si>
  <si>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</si>
  <si>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</si>
  <si>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</si>
  <si>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</si>
  <si>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</si>
  <si>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</si>
  <si>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</si>
  <si>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</si>
  <si>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</si>
  <si>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</si>
  <si>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</si>
  <si>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</si>
  <si>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</si>
  <si>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</si>
  <si>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</si>
  <si>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</si>
  <si>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</si>
  <si>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</si>
  <si>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</si>
  <si>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</si>
  <si>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</si>
  <si>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</si>
  <si>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</si>
  <si>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</si>
  <si>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</si>
  <si>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</si>
  <si>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</si>
  <si>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</si>
  <si>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</si>
  <si>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</si>
  <si>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</si>
  <si>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</si>
  <si>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</si>
  <si>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</si>
  <si>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</si>
  <si>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</si>
  <si>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</si>
  <si>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</si>
  <si>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</si>
  <si>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</si>
  <si>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</si>
  <si>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</si>
  <si>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</si>
  <si>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</si>
  <si>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</si>
  <si>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</si>
  <si>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</si>
  <si>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</si>
  <si>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</si>
  <si>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</si>
  <si>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</si>
  <si>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</si>
  <si>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</si>
  <si>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</si>
  <si>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</si>
  <si>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</si>
  <si>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</si>
  <si>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</si>
  <si>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</si>
  <si>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</si>
  <si>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</si>
  <si>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</si>
  <si>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</si>
  <si>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</si>
  <si>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</si>
  <si>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</si>
  <si>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</si>
  <si>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</si>
  <si>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</si>
  <si>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</si>
  <si>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</si>
  <si>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</si>
  <si>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</si>
  <si>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</si>
  <si>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</si>
  <si>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</si>
  <si>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</si>
  <si>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</si>
  <si>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</si>
  <si>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</si>
  <si>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</si>
  <si>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</si>
  <si>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</si>
  <si>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</si>
  <si>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</si>
  <si>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</si>
  <si>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</si>
  <si>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</si>
  <si>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</si>
  <si>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</si>
  <si>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</si>
  <si>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</si>
  <si>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</si>
  <si>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</si>
  <si>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</si>
  <si>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</si>
  <si>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</si>
  <si>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</si>
  <si>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</si>
  <si>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</si>
  <si>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</si>
  <si>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</si>
  <si>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</si>
  <si>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</si>
  <si>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</si>
  <si>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</si>
  <si>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</si>
  <si>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</si>
  <si>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</si>
  <si>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</si>
  <si>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</si>
  <si>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</si>
  <si>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</si>
  <si>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</si>
  <si>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</si>
  <si>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</si>
  <si>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</si>
  <si>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</si>
  <si>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</si>
  <si>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</si>
  <si>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</si>
  <si>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</si>
  <si>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</si>
  <si>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</si>
  <si>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</si>
  <si>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</si>
  <si>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</si>
  <si>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</si>
  <si>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</si>
  <si>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</si>
  <si>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</si>
  <si>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</si>
  <si>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</si>
  <si>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</si>
  <si>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</si>
  <si>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</si>
  <si>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</si>
  <si>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</si>
  <si>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</si>
  <si>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</si>
  <si>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</si>
  <si>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</si>
  <si>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</si>
  <si>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</si>
  <si>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</si>
  <si>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</si>
  <si>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</si>
  <si>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</si>
  <si>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</si>
  <si>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</si>
  <si>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</si>
  <si>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</si>
  <si>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</si>
  <si>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</si>
  <si>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</si>
  <si>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</si>
  <si>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</si>
  <si>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</si>
  <si>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</si>
  <si>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</si>
  <si>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</si>
  <si>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</si>
  <si>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</si>
  <si>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</si>
  <si>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</si>
  <si>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</si>
  <si>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</si>
  <si>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</si>
  <si>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</si>
  <si>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</si>
  <si>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</si>
  <si>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</si>
  <si>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</si>
  <si>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</si>
  <si>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</si>
  <si>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</si>
  <si>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</si>
  <si>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</si>
  <si>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</si>
  <si>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</si>
  <si>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</si>
  <si>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</si>
  <si>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</si>
  <si>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</si>
  <si>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</si>
  <si>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</si>
  <si>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</si>
  <si>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</si>
  <si>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</si>
  <si>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</si>
  <si>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</si>
  <si>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</si>
  <si>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</si>
  <si>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</si>
  <si>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</si>
  <si>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</si>
  <si>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</si>
  <si>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</si>
  <si>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</si>
  <si>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</si>
  <si>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</si>
  <si>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</si>
  <si>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</si>
  <si>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</si>
  <si>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</si>
  <si>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</si>
  <si>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</si>
  <si>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</si>
  <si>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</si>
  <si>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</si>
  <si>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</si>
  <si>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</si>
  <si>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</si>
  <si>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</si>
  <si>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</si>
  <si>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</si>
  <si>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</si>
  <si>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</si>
  <si>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</si>
  <si>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</si>
  <si>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</si>
  <si>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</si>
  <si>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</si>
  <si>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</si>
  <si>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</si>
  <si>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</si>
  <si>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</si>
  <si>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</si>
  <si>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</si>
  <si>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</si>
  <si>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</si>
  <si>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</si>
  <si>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</si>
  <si>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</si>
  <si>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</si>
  <si>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</si>
  <si>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</si>
  <si>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</si>
  <si>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</si>
  <si>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</si>
  <si>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</si>
  <si>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</si>
  <si>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</si>
  <si>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</si>
  <si>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</si>
  <si>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</si>
  <si>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</si>
  <si>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</si>
  <si>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</si>
  <si>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</si>
  <si>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</si>
  <si>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</si>
  <si>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</si>
  <si>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</si>
  <si>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</si>
  <si>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</si>
  <si>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</si>
  <si>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</si>
  <si>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</si>
  <si>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</si>
  <si>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</si>
  <si>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</si>
  <si>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</si>
  <si>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</si>
  <si>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</si>
  <si>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</si>
  <si>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</si>
  <si>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</si>
  <si>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</si>
  <si>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</si>
  <si>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</si>
  <si>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</si>
  <si>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</si>
  <si>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</si>
  <si>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</si>
  <si>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</si>
  <si>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</si>
  <si>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</si>
  <si>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</si>
  <si>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</si>
  <si>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</si>
  <si>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</si>
  <si>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</si>
  <si>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</si>
  <si>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</si>
  <si>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</si>
  <si>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</si>
  <si>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</si>
  <si>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</si>
  <si>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</si>
  <si>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</si>
  <si>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</si>
  <si>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</si>
  <si>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</si>
  <si>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</si>
  <si>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</si>
  <si>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</si>
  <si>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</si>
  <si>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</si>
  <si>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</si>
  <si>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</si>
  <si>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</si>
  <si>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</si>
  <si>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</si>
  <si>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</si>
  <si>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</si>
  <si>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</si>
  <si>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</si>
  <si>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</si>
  <si>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</si>
  <si>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</si>
  <si>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</si>
  <si>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</si>
  <si>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</si>
  <si>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</si>
  <si>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</si>
  <si>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</si>
  <si>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</si>
  <si>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</si>
  <si>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</si>
  <si>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</si>
  <si>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</si>
  <si>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</si>
  <si>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</si>
  <si>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</si>
  <si>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</si>
  <si>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</si>
  <si>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</si>
  <si>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</si>
  <si>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</si>
  <si>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</si>
  <si>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</si>
  <si>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</si>
  <si>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</si>
  <si>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</si>
  <si>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</si>
  <si>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</si>
  <si>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</si>
  <si>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</si>
  <si>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</si>
  <si>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</si>
  <si>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</si>
  <si>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</si>
  <si>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</si>
  <si>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</si>
  <si>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</si>
  <si>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</si>
  <si>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</si>
  <si>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</si>
  <si>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</si>
  <si>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</si>
  <si>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</si>
  <si>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</si>
  <si>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</si>
  <si>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</si>
  <si>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</si>
  <si>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</si>
  <si>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</si>
  <si>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</si>
  <si>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</si>
  <si>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</si>
  <si>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</si>
  <si>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</si>
  <si>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</si>
  <si>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</si>
  <si>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</si>
  <si>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</si>
  <si>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</si>
  <si>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</si>
  <si>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</si>
  <si>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</si>
  <si>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</si>
  <si>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</si>
  <si>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</si>
  <si>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</si>
  <si>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</si>
  <si>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</si>
  <si>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</si>
  <si>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</si>
  <si>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</si>
  <si>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</si>
  <si>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</si>
  <si>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</si>
  <si>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</si>
  <si>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</si>
  <si>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</si>
  <si>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</si>
  <si>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</si>
  <si>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</si>
  <si>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</si>
  <si>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</si>
  <si>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</si>
  <si>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</si>
  <si>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</si>
  <si>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</si>
  <si>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</si>
  <si>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</si>
  <si>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</si>
  <si>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</si>
  <si>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</si>
  <si>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</si>
  <si>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</si>
  <si>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</si>
  <si>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</si>
  <si>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</si>
  <si>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</si>
  <si>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</si>
  <si>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</si>
  <si>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</si>
  <si>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</si>
  <si>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</si>
  <si>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</si>
  <si>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</si>
  <si>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</si>
  <si>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</si>
  <si>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</si>
  <si>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</si>
  <si>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</si>
  <si>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</si>
  <si>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</si>
  <si>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</si>
  <si>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</si>
  <si>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</si>
  <si>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</si>
  <si>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</si>
  <si>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</si>
  <si>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</si>
  <si>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</si>
  <si>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</si>
  <si>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</si>
  <si>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</si>
  <si>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</si>
  <si>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</si>
  <si>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</si>
  <si>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</si>
  <si>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</si>
  <si>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</si>
  <si>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</si>
  <si>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</si>
  <si>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</si>
  <si>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</si>
  <si>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</si>
  <si>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</si>
  <si>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</si>
  <si>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</si>
  <si>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</si>
  <si>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</si>
  <si>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</si>
  <si>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</si>
  <si>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</si>
  <si>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</si>
  <si>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</si>
  <si>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</si>
  <si>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</si>
  <si>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</si>
  <si>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</si>
  <si>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</si>
  <si>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</si>
  <si>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</si>
  <si>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</si>
  <si>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</si>
  <si>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</si>
  <si>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</si>
  <si>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</si>
  <si>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</si>
  <si>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</si>
  <si>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</si>
  <si>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</si>
  <si>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</si>
  <si>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</si>
  <si>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</si>
  <si>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</si>
  <si>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</si>
  <si>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</si>
  <si>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</si>
  <si>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</si>
  <si>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</si>
  <si>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</si>
  <si>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</si>
  <si>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</si>
  <si>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</si>
  <si>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</si>
  <si>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</si>
  <si>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</si>
  <si>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</si>
  <si>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</si>
  <si>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</si>
  <si>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</si>
  <si>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</si>
  <si>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</si>
  <si>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</si>
  <si>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</si>
  <si>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</si>
  <si>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</si>
  <si>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</si>
  <si>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</si>
  <si>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</si>
  <si>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</si>
  <si>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</si>
  <si>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</si>
  <si>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</si>
  <si>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</si>
  <si>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</si>
  <si>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</si>
  <si>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</si>
  <si>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</si>
  <si>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</si>
  <si>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</si>
  <si>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</si>
  <si>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</si>
  <si>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</si>
  <si>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</si>
  <si>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</si>
  <si>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</si>
  <si>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</si>
  <si>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</si>
  <si>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</si>
  <si>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</si>
  <si>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</si>
  <si>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</si>
  <si>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</si>
  <si>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</si>
  <si>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</si>
  <si>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</si>
  <si>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</si>
  <si>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</si>
  <si>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</si>
  <si>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</si>
  <si>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</si>
  <si>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</si>
  <si>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</si>
  <si>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</si>
  <si>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</si>
  <si>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</si>
  <si>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</si>
  <si>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</si>
  <si>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</si>
  <si>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</si>
  <si>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</si>
  <si>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</si>
  <si>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</si>
  <si>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</si>
  <si>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</si>
  <si>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</si>
  <si>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</si>
  <si>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</si>
  <si>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</si>
  <si>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</si>
  <si>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</si>
  <si>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</si>
  <si>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</si>
  <si>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</si>
  <si>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</si>
  <si>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</si>
  <si>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</si>
  <si>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</si>
  <si>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</si>
  <si>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</si>
  <si>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</si>
  <si>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</si>
  <si>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</si>
  <si>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</si>
  <si>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</si>
  <si>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</si>
  <si>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</si>
  <si>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</si>
  <si>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</si>
  <si>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</si>
  <si>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</si>
  <si>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</si>
  <si>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</si>
  <si>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</si>
  <si>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</si>
  <si>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</si>
  <si>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</si>
  <si>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</si>
  <si>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</si>
  <si>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</si>
  <si>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</si>
  <si>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</si>
  <si>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</si>
  <si>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</si>
  <si>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</si>
  <si>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</si>
  <si>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</si>
  <si>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</si>
  <si>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</si>
  <si>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</si>
  <si>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</si>
  <si>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</si>
  <si>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</si>
  <si>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</si>
  <si>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</si>
  <si>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</si>
  <si>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</si>
  <si>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</si>
  <si>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</si>
  <si>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</si>
  <si>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</si>
  <si>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</si>
  <si>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</si>
  <si>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</si>
  <si>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</si>
  <si>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</si>
  <si>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</si>
  <si>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</si>
  <si>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</si>
  <si>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</si>
  <si>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</si>
  <si>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</si>
  <si>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</si>
  <si>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</si>
  <si>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</si>
  <si>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</si>
  <si>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</si>
  <si>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</si>
  <si>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</si>
  <si>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</si>
  <si>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</si>
  <si>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</si>
  <si>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</si>
  <si>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</si>
  <si>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</si>
  <si>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</si>
  <si>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</si>
  <si>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</si>
  <si>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</si>
  <si>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</si>
  <si>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</si>
  <si>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</si>
  <si>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</si>
  <si>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</si>
  <si>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</si>
  <si>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</si>
  <si>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</si>
  <si>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</si>
  <si>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</si>
  <si>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</si>
  <si>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</si>
  <si>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</si>
  <si>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</si>
  <si>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</si>
  <si>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</si>
  <si>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</si>
  <si>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</si>
  <si>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</si>
  <si>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</si>
  <si>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</si>
  <si>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</si>
  <si>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</si>
  <si>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</si>
  <si>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</si>
  <si>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</si>
  <si>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</si>
  <si>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</si>
  <si>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</si>
  <si>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</si>
  <si>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</si>
  <si>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</si>
  <si>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</si>
  <si>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</si>
  <si>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</si>
  <si>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</si>
  <si>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</si>
  <si>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</si>
  <si>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</si>
  <si>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</si>
  <si>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</si>
  <si>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</si>
  <si>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</si>
  <si>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</si>
  <si>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</si>
  <si>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</si>
  <si>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</si>
  <si>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</si>
  <si>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</si>
  <si>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</si>
  <si>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</si>
  <si>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</si>
  <si>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</si>
  <si>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</si>
  <si>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</si>
  <si>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</si>
  <si>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</si>
  <si>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</si>
  <si>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</si>
  <si>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</si>
  <si>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</si>
  <si>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</si>
  <si>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</si>
  <si>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</si>
  <si>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</si>
  <si>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</si>
  <si>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</si>
  <si>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</si>
  <si>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</si>
  <si>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</si>
  <si>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</si>
  <si>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</si>
  <si>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</si>
  <si>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</si>
  <si>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</si>
  <si>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</si>
  <si>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</si>
  <si>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</si>
  <si>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</si>
  <si>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</si>
  <si>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</si>
  <si>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</si>
  <si>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</si>
  <si>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</si>
  <si>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</si>
  <si>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</si>
  <si>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</si>
  <si>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</si>
  <si>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</si>
  <si>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</si>
  <si>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</si>
  <si>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</si>
  <si>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</si>
  <si>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</si>
  <si>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</si>
  <si>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</si>
  <si>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</si>
  <si>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</si>
  <si>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</si>
  <si>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</si>
  <si>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</si>
  <si>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</si>
  <si>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</si>
  <si>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</si>
  <si>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</si>
  <si>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</si>
  <si>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</si>
  <si>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</si>
  <si>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</si>
  <si>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</si>
  <si>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</si>
  <si>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</si>
  <si>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</si>
  <si>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</si>
  <si>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</si>
  <si>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</si>
  <si>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</si>
  <si>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</si>
  <si>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</si>
  <si>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</si>
  <si>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</si>
  <si>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</si>
  <si>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</si>
  <si>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</si>
  <si>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</si>
  <si>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</si>
  <si>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</si>
  <si>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</si>
  <si>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</si>
  <si>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</si>
  <si>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</si>
  <si>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</si>
  <si>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</si>
  <si>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</si>
  <si>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</si>
  <si>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</si>
  <si>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</si>
  <si>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</si>
  <si>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</si>
  <si>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</si>
  <si>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</si>
  <si>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</si>
  <si>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</si>
  <si>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</si>
  <si>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</si>
  <si>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</si>
  <si>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</si>
  <si>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</si>
  <si>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</si>
  <si>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</si>
  <si>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</si>
  <si>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</si>
  <si>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</si>
  <si>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</si>
  <si>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</si>
  <si>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</si>
  <si>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</si>
  <si>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</si>
  <si>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</si>
  <si>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</si>
  <si>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</si>
  <si>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</si>
  <si>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</si>
  <si>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</si>
  <si>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</si>
  <si>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</si>
  <si>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</si>
  <si>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</si>
  <si>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</si>
  <si>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</si>
  <si>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</si>
  <si>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</si>
  <si>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</si>
  <si>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</si>
  <si>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</si>
  <si>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</si>
  <si>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</si>
  <si>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</si>
  <si>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</si>
  <si>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</si>
  <si>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</si>
  <si>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</si>
  <si>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</si>
  <si>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</si>
  <si>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</si>
  <si>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</si>
  <si>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</si>
  <si>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</si>
  <si>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</si>
  <si>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</si>
  <si>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</si>
  <si>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</si>
  <si>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</si>
  <si>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</si>
  <si>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</si>
  <si>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</si>
  <si>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</si>
  <si>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</si>
  <si>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</si>
  <si>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</si>
  <si>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</si>
  <si>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</si>
  <si>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</si>
  <si>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</si>
  <si>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</si>
  <si>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</si>
  <si>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</si>
  <si>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</si>
  <si>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</si>
  <si>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</si>
  <si>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</si>
  <si>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</si>
  <si>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</si>
  <si>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</si>
  <si>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</si>
  <si>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</si>
  <si>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</si>
  <si>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</si>
  <si>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</si>
  <si>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</si>
  <si>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</si>
  <si>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</si>
  <si>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</si>
  <si>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</si>
  <si>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</si>
  <si>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</si>
  <si>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</si>
  <si>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</si>
  <si>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</si>
  <si>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</si>
  <si>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</si>
  <si>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</si>
  <si>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</si>
  <si>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</si>
  <si>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</si>
  <si>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</si>
  <si>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</si>
  <si>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</si>
  <si>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</si>
  <si>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</si>
  <si>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</si>
  <si>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</si>
  <si>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</si>
  <si>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</si>
  <si>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</si>
  <si>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</si>
  <si>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</si>
  <si>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</si>
  <si>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</si>
  <si>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</si>
  <si>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</si>
  <si>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</si>
  <si>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</si>
  <si>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</si>
  <si>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</si>
  <si>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</si>
  <si>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</si>
  <si>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</si>
  <si>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</si>
  <si>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</si>
  <si>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是</t>
  </si>
  <si>
    <t>地上</t>
  </si>
  <si>
    <t>成新度</t>
  </si>
  <si>
    <t>自定义容积率</t>
  </si>
  <si>
    <t>不临65条商业街</t>
  </si>
  <si>
    <t>通路</t>
  </si>
  <si>
    <t>通电</t>
  </si>
  <si>
    <t>通讯</t>
  </si>
  <si>
    <t>通上水</t>
  </si>
  <si>
    <t>通下水</t>
  </si>
  <si>
    <t>平整</t>
  </si>
  <si>
    <t>一般</t>
  </si>
  <si>
    <t>较好</t>
  </si>
  <si>
    <t>好</t>
  </si>
  <si>
    <t>未包含在土地购买价格中</t>
  </si>
  <si>
    <t>已包含在土地取得成本中</t>
  </si>
  <si>
    <t>押一</t>
  </si>
  <si>
    <t>钢混</t>
  </si>
  <si>
    <t>非生产用房</t>
  </si>
  <si>
    <t>容积率修正</t>
  </si>
  <si>
    <t>商务金融用地</t>
  </si>
  <si>
    <t>部分缴纳</t>
  </si>
  <si>
    <t>总价</t>
  </si>
  <si>
    <t>成本比率</t>
  </si>
  <si>
    <t>建筑物价值</t>
  </si>
  <si>
    <t>朝阳区朝外大街乙12号</t>
    <phoneticPr fontId="6" type="noConversion"/>
  </si>
  <si>
    <t>中心城区</t>
  </si>
  <si>
    <t>情况3</t>
  </si>
  <si>
    <t>正常</t>
  </si>
  <si>
    <t>自行开发建设</t>
  </si>
  <si>
    <t>非个人房产</t>
  </si>
  <si>
    <t>房地产抵押价值</t>
  </si>
  <si>
    <t>地下</t>
  </si>
  <si>
    <t>与级别开发程度不一致</t>
  </si>
  <si>
    <t>较差</t>
  </si>
  <si>
    <t>企业</t>
  </si>
  <si>
    <t>自定义</t>
  </si>
  <si>
    <t>否</t>
  </si>
  <si>
    <t>楼层修正</t>
  </si>
  <si>
    <t>收益法-商业</t>
  </si>
  <si>
    <t>收益法-办公</t>
    <phoneticPr fontId="16" type="noConversion"/>
  </si>
  <si>
    <t>收益法-车库</t>
    <phoneticPr fontId="16" type="noConversion"/>
  </si>
  <si>
    <t>估价对象容积率</t>
  </si>
  <si>
    <t>需扣减承租人权益</t>
  </si>
  <si>
    <t>5/-1</t>
    <phoneticPr fontId="3" type="noConversion"/>
  </si>
  <si>
    <t>1#</t>
    <phoneticPr fontId="3" type="noConversion"/>
  </si>
  <si>
    <t>2#</t>
    <phoneticPr fontId="3" type="noConversion"/>
  </si>
  <si>
    <t>3#</t>
    <phoneticPr fontId="3" type="noConversion"/>
  </si>
  <si>
    <t>4#</t>
    <phoneticPr fontId="3" type="noConversion"/>
  </si>
  <si>
    <t>地下车库</t>
    <phoneticPr fontId="3" type="noConversion"/>
  </si>
  <si>
    <t>戊类库房</t>
  </si>
  <si>
    <t>工业</t>
    <phoneticPr fontId="7" type="noConversion"/>
  </si>
  <si>
    <t>收益法-工业</t>
  </si>
  <si>
    <t>收益法-工业</t>
    <phoneticPr fontId="16" type="noConversion"/>
  </si>
  <si>
    <t>与级别开发程度一致</t>
  </si>
  <si>
    <t>成本法</t>
  </si>
  <si>
    <t>出让金+开发费</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</si>
  <si>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</si>
  <si>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</si>
  <si>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</si>
  <si>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</si>
  <si>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</si>
  <si>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</si>
  <si>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</si>
  <si>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</si>
  <si>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</si>
  <si>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</si>
  <si>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</si>
  <si>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</si>
  <si>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</si>
  <si>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</si>
  <si>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</si>
  <si>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</si>
  <si>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</si>
  <si>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</si>
  <si>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</si>
  <si>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</si>
  <si>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</si>
  <si>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</si>
  <si>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</si>
  <si>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</si>
  <si>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</si>
  <si>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</si>
  <si>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</si>
  <si>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</si>
  <si>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</si>
  <si>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</si>
  <si>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</si>
  <si>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</si>
  <si>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</si>
  <si>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</si>
  <si>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</si>
  <si>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</si>
  <si>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</si>
  <si>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</si>
  <si>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</si>
  <si>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</si>
  <si>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</si>
  <si>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三通</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</si>
  <si>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</si>
  <si>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</si>
  <si>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</si>
  <si>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</si>
  <si>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临时三通</t>
  </si>
  <si>
    <t>顺义新城第30街区30-27-02地块M1工业用地国有建设用地使用权出让</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</si>
  <si>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</si>
  <si>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</si>
  <si>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</si>
  <si>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</si>
  <si>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</si>
  <si>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</si>
  <si>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</si>
  <si>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</si>
  <si>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</si>
  <si>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</si>
  <si>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</si>
  <si>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</si>
  <si>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</si>
  <si>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</si>
  <si>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</si>
  <si>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</si>
  <si>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</si>
  <si>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</si>
  <si>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</si>
  <si>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</si>
  <si>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</si>
  <si>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</si>
  <si>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</si>
  <si>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</si>
  <si>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</si>
  <si>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</si>
  <si>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</si>
  <si>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</si>
  <si>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</si>
  <si>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</si>
  <si>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</si>
  <si>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</si>
  <si>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</si>
  <si>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</si>
  <si>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</si>
  <si>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</si>
  <si>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</si>
  <si>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</si>
  <si>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</si>
  <si>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</si>
  <si>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</si>
  <si>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</si>
  <si>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</si>
  <si>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</si>
  <si>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楼面地价</t>
  </si>
  <si>
    <t>工业</t>
    <phoneticPr fontId="32" type="noConversion"/>
  </si>
  <si>
    <t>七通</t>
  </si>
  <si>
    <t>较规则</t>
  </si>
  <si>
    <t>较规则</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</si>
  <si>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</si>
  <si>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</si>
  <si>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</si>
  <si>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</si>
  <si>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</si>
  <si>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</si>
  <si>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规证面积</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</si>
  <si>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</si>
  <si>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</si>
  <si>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t>3#</t>
    <phoneticPr fontId="134" type="noConversion"/>
  </si>
  <si>
    <t>4#</t>
    <phoneticPr fontId="134" type="noConversion"/>
  </si>
  <si>
    <t>5#</t>
    <phoneticPr fontId="134" type="noConversion"/>
  </si>
  <si>
    <t>地上</t>
    <phoneticPr fontId="134" type="noConversion"/>
  </si>
  <si>
    <t>地下</t>
    <phoneticPr fontId="134" type="noConversion"/>
  </si>
  <si>
    <t>合计</t>
    <phoneticPr fontId="134" type="noConversion"/>
  </si>
  <si>
    <t>10#</t>
    <phoneticPr fontId="134" type="noConversion"/>
  </si>
  <si>
    <t>11#</t>
    <phoneticPr fontId="134" type="noConversion"/>
  </si>
  <si>
    <t>车库</t>
    <phoneticPr fontId="134" type="noConversion"/>
  </si>
  <si>
    <t>测绘面积</t>
    <phoneticPr fontId="134" type="noConversion"/>
  </si>
  <si>
    <t>5#</t>
    <phoneticPr fontId="3" type="noConversion"/>
  </si>
  <si>
    <t>10#</t>
    <phoneticPr fontId="3" type="noConversion"/>
  </si>
  <si>
    <t>11#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</si>
</sst>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_GB2312"/>
      <charset val="134"/>
    </font>
    <font>
      <sz val="12"/>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69" fillId="0" borderId="0">
      <alignment vertical="center"/>
    </xf>
    <xf numFmtId="0" fontId="269" fillId="0" borderId="0">
      <alignment vertical="center"/>
    </xf>
    <xf numFmtId="0" fontId="269" fillId="0" borderId="0">
      <alignment vertical="center"/>
    </xf>
    <xf numFmtId="0" fontId="95" fillId="0" borderId="0"/>
  </cellStyleXfs>
  <cellXfs count="38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4" fillId="5" borderId="23"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0" fontId="98" fillId="0" borderId="23" xfId="0" applyNumberFormat="1" applyFont="1" applyFill="1" applyBorder="1" applyProtection="1">
      <alignment vertical="center"/>
      <protection locked="0"/>
    </xf>
    <xf numFmtId="0" fontId="77" fillId="0" borderId="1" xfId="0" applyFont="1" applyBorder="1" applyAlignment="1" applyProtection="1">
      <alignment vertical="center" wrapText="1"/>
      <protection locked="0"/>
    </xf>
    <xf numFmtId="14" fontId="47" fillId="12" borderId="0" xfId="0" applyNumberFormat="1"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5" xfId="0" applyFont="1" applyFill="1" applyBorder="1" applyAlignment="1" applyProtection="1">
      <alignment vertical="center" wrapText="1"/>
    </xf>
    <xf numFmtId="0" fontId="53" fillId="6" borderId="3" xfId="8" applyFont="1" applyFill="1" applyBorder="1" applyAlignment="1" applyProtection="1">
      <alignment horizontal="center" vertical="center" wrapText="1"/>
      <protection locked="0"/>
    </xf>
    <xf numFmtId="14" fontId="77" fillId="12"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190" fontId="47" fillId="7" borderId="0" xfId="0" applyNumberFormat="1" applyFont="1" applyFill="1" applyProtection="1">
      <alignment vertical="center"/>
      <protection locked="0"/>
    </xf>
    <xf numFmtId="181" fontId="99" fillId="7" borderId="1" xfId="0" applyNumberFormat="1" applyFont="1" applyFill="1" applyBorder="1" applyAlignment="1" applyProtection="1">
      <alignment horizontal="center" vertical="center"/>
      <protection locked="0"/>
    </xf>
    <xf numFmtId="181" fontId="44" fillId="7" borderId="1"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0" fontId="147" fillId="0" borderId="0" xfId="10" applyNumberFormat="1" applyFont="1" applyFill="1" applyAlignment="1"/>
    <xf numFmtId="14" fontId="147" fillId="0" borderId="0" xfId="10" applyNumberFormat="1" applyFont="1" applyFill="1" applyAlignment="1"/>
    <xf numFmtId="177" fontId="47" fillId="22" borderId="1" xfId="1"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0" fillId="7" borderId="0" xfId="10" applyNumberFormat="1" applyFont="1" applyFill="1" applyAlignment="1"/>
    <xf numFmtId="14" fontId="270" fillId="7" borderId="0" xfId="10" applyNumberFormat="1" applyFont="1" applyFill="1" applyAlignment="1"/>
    <xf numFmtId="0" fontId="271" fillId="7" borderId="0" xfId="0" applyFont="1" applyFill="1">
      <alignment vertical="center"/>
    </xf>
    <xf numFmtId="0" fontId="270" fillId="5" borderId="0" xfId="10" applyNumberFormat="1" applyFont="1" applyFill="1" applyAlignment="1"/>
    <xf numFmtId="14" fontId="270" fillId="5" borderId="0" xfId="10" applyNumberFormat="1" applyFont="1" applyFill="1" applyAlignment="1"/>
    <xf numFmtId="0" fontId="271" fillId="5" borderId="0" xfId="0" applyFont="1" applyFill="1">
      <alignment vertical="center"/>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4">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1"/>
    <cellStyle name="常规 6 2 3" xfId="13"/>
    <cellStyle name="常规 6 2 4" xfId="20"/>
    <cellStyle name="常规 7" xfId="7"/>
    <cellStyle name="常规 8" xfId="11"/>
    <cellStyle name="常规 8 2" xfId="22"/>
    <cellStyle name="常规 9" xfId="12"/>
    <cellStyle name="常规 9 2" xfId="23"/>
  </cellStyles>
  <dxfs count="254">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北京市朝阳区朝外大街乙12号预评估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受贵公司委托，我公司对北京市朝阳区朝外大街乙12号进行了预评估。</v>
      </c>
    </row>
    <row r="7" spans="1:2" s="1198" customFormat="1">
      <c r="A7" s="1196" t="s">
        <v>566</v>
      </c>
      <c r="B7" s="1197" t="str">
        <f>'预评函-1'!A7</f>
        <v>估价对象为北京市朝阳区朝外大街乙12号房地产，为所有。根据《国有土地使用证》[]，估价对象（分摊）出让国有建设用地使用权面积为58598.03平方米，建筑面积为135125.57平方米。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朝阳区朝外大街乙12号房地产,属开发建设的，该项目尚在开发建设中。根据《国有土地使用证》[]，估价对象（分摊）出让国有建设用地使用权面积为58598.03平方米，规划建筑面积为135125.57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2024年4月10日</v>
      </c>
    </row>
    <row r="13" spans="1:2" s="1198" customFormat="1">
      <c r="A13" s="1196" t="s">
        <v>529</v>
      </c>
      <c r="B13" s="1197" t="str">
        <f>'预评函-1'!A18</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144697</v>
      </c>
    </row>
    <row r="21" spans="1:2" s="1198" customFormat="1">
      <c r="A21" s="1196" t="s">
        <v>537</v>
      </c>
      <c r="B21" s="1197">
        <f ca="1">'预评函-2'!D7</f>
        <v>10708</v>
      </c>
    </row>
    <row r="22" spans="1:2" s="1198" customFormat="1">
      <c r="A22" s="1196" t="s">
        <v>538</v>
      </c>
      <c r="B22" s="1197" t="str">
        <f ca="1">'预评函-2'!D6</f>
        <v>壹拾肆亿肆仟陆佰玖拾柒万元整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144697</v>
      </c>
    </row>
    <row r="31" spans="1:2" s="1198" customFormat="1">
      <c r="A31" s="1196" t="s">
        <v>576</v>
      </c>
      <c r="B31" s="1197">
        <f ca="1">'预评函-2'!D15</f>
        <v>10708</v>
      </c>
    </row>
    <row r="32" spans="1:2" s="1198" customFormat="1">
      <c r="A32" s="1196" t="s">
        <v>543</v>
      </c>
      <c r="B32" s="1197" t="str">
        <f ca="1">'预评函-2'!D14</f>
        <v>壹拾肆亿肆仟陆佰玖拾柒万元整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125824</v>
      </c>
    </row>
    <row r="39" spans="1:2" s="1198" customFormat="1">
      <c r="A39" s="1196" t="s">
        <v>545</v>
      </c>
      <c r="B39" s="1197">
        <f ca="1">'预评函-2'!D21</f>
        <v>9312</v>
      </c>
    </row>
    <row r="40" spans="1:2" s="1198" customFormat="1">
      <c r="A40" s="1196" t="s">
        <v>546</v>
      </c>
      <c r="B40" s="1197" t="str">
        <f ca="1">'预评函-2'!D20</f>
        <v>壹拾贰亿伍仟捌佰贰拾肆万元整</v>
      </c>
    </row>
    <row r="41" spans="1:2" s="1198" customFormat="1">
      <c r="A41" s="1196" t="s">
        <v>592</v>
      </c>
      <c r="B41" s="1197" t="str">
        <f>'预评函-3'!A4</f>
        <v>北京市朝阳区朝外大街乙12号房地产</v>
      </c>
    </row>
    <row r="42" spans="1:2" s="1198" customFormat="1">
      <c r="A42" s="1196" t="s">
        <v>590</v>
      </c>
      <c r="B42" s="1197" t="str">
        <f>'预评函-3'!B2</f>
        <v>建筑面积</v>
      </c>
    </row>
    <row r="43" spans="1:2" s="1198" customFormat="1">
      <c r="A43" s="1196" t="s">
        <v>591</v>
      </c>
      <c r="B43" s="1197">
        <f>'预评函-3'!B4</f>
        <v>135125.56999999998</v>
      </c>
    </row>
    <row r="44" spans="1:2" s="1198" customFormat="1">
      <c r="A44" s="1196" t="s">
        <v>575</v>
      </c>
      <c r="B44" s="1197" t="str">
        <f>'预评函-3'!C2</f>
        <v>(分摊)土地面积</v>
      </c>
    </row>
    <row r="45" spans="1:2" s="1198" customFormat="1">
      <c r="A45" s="1196" t="s">
        <v>547</v>
      </c>
      <c r="B45" s="1197">
        <f>'预评函-3'!C4</f>
        <v>58598.03</v>
      </c>
    </row>
    <row r="46" spans="1:2" s="1198" customFormat="1">
      <c r="A46" s="1196" t="s">
        <v>573</v>
      </c>
      <c r="B46" s="1197" t="str">
        <f>'预评函-3'!D2</f>
        <v>出让国有建设用地使用权价值</v>
      </c>
    </row>
    <row r="47" spans="1:2" s="1198" customFormat="1">
      <c r="A47" s="1196" t="s">
        <v>548</v>
      </c>
      <c r="B47" s="1197">
        <f ca="1">'预评函-3'!D4</f>
        <v>25756</v>
      </c>
    </row>
    <row r="48" spans="1:2" s="1198" customFormat="1">
      <c r="A48" s="1196" t="s">
        <v>549</v>
      </c>
      <c r="B48" s="1197">
        <f ca="1">'预评函-3'!E4</f>
        <v>1906</v>
      </c>
    </row>
    <row r="49" spans="1:2" s="1198" customFormat="1">
      <c r="A49" s="1196" t="s">
        <v>550</v>
      </c>
      <c r="B49" s="1197" t="str">
        <f ca="1">'预评函-3'!D5</f>
        <v>贰亿伍仟柒佰伍拾陆万元整</v>
      </c>
    </row>
    <row r="50" spans="1:2" s="1198" customFormat="1">
      <c r="A50" s="1196" t="s">
        <v>574</v>
      </c>
      <c r="B50" s="1197" t="str">
        <f>'预评函-3'!F2</f>
        <v>建筑物价值</v>
      </c>
    </row>
    <row r="51" spans="1:2" s="1198" customFormat="1">
      <c r="A51" s="1196" t="s">
        <v>551</v>
      </c>
      <c r="B51" s="1197">
        <f ca="1">'预评函-3'!F4</f>
        <v>118941</v>
      </c>
    </row>
    <row r="52" spans="1:2" s="1198" customFormat="1">
      <c r="A52" s="1196" t="s">
        <v>552</v>
      </c>
      <c r="B52" s="1197">
        <f ca="1">'预评函-3'!G4</f>
        <v>8802</v>
      </c>
    </row>
    <row r="53" spans="1:2" s="1198" customFormat="1">
      <c r="A53" s="1196" t="s">
        <v>580</v>
      </c>
      <c r="B53" s="1197" t="str">
        <f ca="1">'预评函-3'!F5</f>
        <v>壹拾壹亿捌仟玖佰肆拾壹万元整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抵押净值</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F26"/>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3351</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3337</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3338</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3339</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3340</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3341</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3342</v>
      </c>
    </row>
    <row r="8" spans="1:23">
      <c r="A8" s="1541" t="s">
        <v>1026</v>
      </c>
      <c r="B8" s="1541" t="s">
        <v>1027</v>
      </c>
      <c r="C8" s="1542" t="s">
        <v>319</v>
      </c>
      <c r="F8" s="1543" t="s">
        <v>1028</v>
      </c>
      <c r="H8" s="1543" t="s">
        <v>2579</v>
      </c>
      <c r="I8" s="1543" t="s">
        <v>3343</v>
      </c>
    </row>
    <row r="9" spans="1:23">
      <c r="A9" s="1541" t="s">
        <v>1029</v>
      </c>
      <c r="B9" s="1541" t="s">
        <v>1030</v>
      </c>
      <c r="C9" s="1542" t="s">
        <v>320</v>
      </c>
      <c r="F9" s="1543" t="s">
        <v>1031</v>
      </c>
      <c r="H9" s="1543"/>
      <c r="I9" s="1546" t="s">
        <v>3344</v>
      </c>
    </row>
    <row r="10" spans="1:23">
      <c r="A10" s="1541" t="s">
        <v>1032</v>
      </c>
      <c r="B10" s="1541" t="s">
        <v>1033</v>
      </c>
      <c r="C10" s="1542" t="s">
        <v>321</v>
      </c>
      <c r="F10" s="1543" t="s">
        <v>2580</v>
      </c>
      <c r="I10" s="1546" t="s">
        <v>3345</v>
      </c>
    </row>
    <row r="11" spans="1:23">
      <c r="A11" s="1541" t="s">
        <v>1034</v>
      </c>
      <c r="B11" s="1541" t="s">
        <v>1035</v>
      </c>
      <c r="C11" s="1542" t="s">
        <v>322</v>
      </c>
      <c r="F11" s="1543" t="s">
        <v>13</v>
      </c>
      <c r="I11" s="1546" t="s">
        <v>3346</v>
      </c>
    </row>
    <row r="12" spans="1:23">
      <c r="A12" s="1541" t="s">
        <v>1036</v>
      </c>
      <c r="B12" s="1541" t="s">
        <v>1037</v>
      </c>
      <c r="C12" s="1542" t="s">
        <v>323</v>
      </c>
      <c r="I12" s="1546" t="s">
        <v>3347</v>
      </c>
    </row>
    <row r="13" spans="1:23">
      <c r="A13" s="1541" t="s">
        <v>1038</v>
      </c>
      <c r="B13" s="1541" t="s">
        <v>1039</v>
      </c>
      <c r="C13" s="1542" t="s">
        <v>324</v>
      </c>
      <c r="I13" s="1546" t="s">
        <v>3348</v>
      </c>
    </row>
    <row r="14" spans="1:23">
      <c r="A14" s="1541" t="s">
        <v>1040</v>
      </c>
      <c r="B14" s="1541" t="s">
        <v>1041</v>
      </c>
      <c r="C14" s="1543" t="s">
        <v>13</v>
      </c>
      <c r="I14" s="1546" t="s">
        <v>3349</v>
      </c>
    </row>
    <row r="15" spans="1:23">
      <c r="A15" s="1541" t="s">
        <v>1042</v>
      </c>
      <c r="B15" s="1541" t="s">
        <v>1043</v>
      </c>
      <c r="C15" s="1542"/>
      <c r="I15" s="1546" t="s">
        <v>3350</v>
      </c>
    </row>
    <row r="16" spans="1:23">
      <c r="A16" s="1541" t="s">
        <v>1044</v>
      </c>
      <c r="B16" s="1541" t="s">
        <v>312</v>
      </c>
      <c r="C16" s="1542"/>
    </row>
    <row r="17" spans="1:3">
      <c r="A17" s="1541" t="s">
        <v>1045</v>
      </c>
      <c r="B17" s="1541" t="s">
        <v>2291</v>
      </c>
      <c r="C17" s="1542"/>
    </row>
    <row r="18" spans="1:3">
      <c r="A18" s="1541" t="s">
        <v>1046</v>
      </c>
      <c r="B18" s="1541" t="s">
        <v>2435</v>
      </c>
      <c r="C18" s="1542"/>
    </row>
    <row r="19" spans="1:3">
      <c r="A19" s="1541" t="s">
        <v>1047</v>
      </c>
      <c r="B19" s="1544" t="s">
        <v>3434</v>
      </c>
      <c r="C19" s="1542"/>
    </row>
    <row r="20" spans="1:3">
      <c r="A20" s="1541" t="s">
        <v>1048</v>
      </c>
      <c r="B20" s="1544" t="s">
        <v>3421</v>
      </c>
      <c r="C20" s="1542"/>
    </row>
    <row r="21" spans="1:3">
      <c r="A21" s="1541" t="s">
        <v>1049</v>
      </c>
      <c r="B21" s="1544" t="s">
        <v>3422</v>
      </c>
      <c r="C21" s="1542"/>
    </row>
    <row r="22" spans="1:3">
      <c r="A22" s="1541" t="s">
        <v>1050</v>
      </c>
      <c r="B22" s="1544"/>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53"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49" t="s">
        <v>385</v>
      </c>
      <c r="C54" s="1546" t="s">
        <v>583</v>
      </c>
    </row>
    <row r="55" spans="1:4">
      <c r="A55" s="3553"/>
      <c r="B55" s="1549" t="s">
        <v>386</v>
      </c>
      <c r="C55" s="1546" t="s">
        <v>584</v>
      </c>
    </row>
    <row r="56" spans="1:4">
      <c r="A56" s="3553"/>
      <c r="B56" s="1549" t="s">
        <v>387</v>
      </c>
      <c r="C56" s="1546" t="s">
        <v>588</v>
      </c>
    </row>
    <row r="57" spans="1:4">
      <c r="A57" s="3553"/>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14" sqref="M14"/>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4" t="s">
        <v>2582</v>
      </c>
      <c r="J2" s="3554"/>
      <c r="K2" s="3554"/>
      <c r="L2" s="3554"/>
      <c r="M2" s="3554"/>
      <c r="N2" s="3554"/>
      <c r="O2" s="3554"/>
      <c r="P2" s="3554"/>
      <c r="Q2" s="3554"/>
      <c r="R2" s="3554"/>
    </row>
    <row r="3" spans="1:18">
      <c r="A3" s="3013" t="s">
        <v>2503</v>
      </c>
      <c r="B3" s="3014">
        <f>项目基本情况!D3</f>
        <v>45392</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2.69</v>
      </c>
      <c r="D5" s="3018">
        <f>IF(ISERROR(ROUND(POWER(1+E5,A5-C5)*(POWER(1+E5,C5)-1)/(POWER(1+E5,A5)-1),3)),0,ROUND(POWER(1+E5,A5-C5)*(POWER(1+E5,C5)-1)/(POWER(1+E5,A5)-1),4))</f>
        <v>0.1265</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12.7</v>
      </c>
      <c r="D6" s="3018">
        <f>IF(ISERROR(ROUND(POWER(1+E6,A6-C6)*(POWER(1+E6,C6)-1)/(POWER(1+E6,A6)-1),3)),0,ROUND(POWER(1+E6,A6-C6)*(POWER(1+E6,C6)-1)/(POWER(1+E6,A6)-1),4))</f>
        <v>0.45660000000000001</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32.71</v>
      </c>
      <c r="D7" s="3018">
        <f>IF(ISERROR(ROUND(POWER(1+E7,A7-C7)*(POWER(1+E7,C7)-1)/(POWER(1+E7,A7)-1),3)),0,ROUND(POWER(1+E7,A7-C7)*(POWER(1+E7,C7)-1)/(POWER(1+E7,A7)-1),4))</f>
        <v>0.77239999999999998</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50</v>
      </c>
      <c r="C11" s="3016" t="s">
        <v>2512</v>
      </c>
      <c r="D11" s="3022">
        <v>4.4999999999999998E-2</v>
      </c>
      <c r="E11" s="3016" t="s">
        <v>2513</v>
      </c>
      <c r="F11" s="3023">
        <f>ROUND(1-(1/(POWER(1+D11,B11))),4)</f>
        <v>0.88929999999999998</v>
      </c>
    </row>
    <row r="12" spans="1:18">
      <c r="A12" s="3013" t="s">
        <v>2514</v>
      </c>
      <c r="B12" s="3021">
        <v>20</v>
      </c>
      <c r="C12" s="3016" t="s">
        <v>2515</v>
      </c>
      <c r="D12" s="3022">
        <v>4.4999999999999998E-2</v>
      </c>
      <c r="E12" s="3016" t="s">
        <v>2516</v>
      </c>
      <c r="F12" s="3023">
        <f>ROUND(1-(1/(POWER(1+D12,B12))),4)</f>
        <v>0.58540000000000003</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3291.35</v>
      </c>
      <c r="C15" s="3016">
        <f>ROUND(F12/F11,4)</f>
        <v>0.6583</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7307.03</v>
      </c>
      <c r="C18" s="3025">
        <f>ROUND(F11/F12,4)</f>
        <v>1.5190999999999999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3" sqref="K33"/>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2" customWidth="1"/>
    <col min="12" max="13" width="10" style="2623"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2166</v>
      </c>
      <c r="B1" s="3555" t="str">
        <f>IF(B10="北京市","北京市",C10)&amp;F10&amp;IF(结果表!G1="在建","出让国有建设用地使用权及在建建筑物",IF(结果表!G1="土地","出让国有建设用地使用权",))&amp;B9&amp;"预评估"</f>
        <v>北京市朝阳区朝外大街乙12号预评估</v>
      </c>
      <c r="C1" s="3556"/>
      <c r="D1" s="3556"/>
      <c r="E1" s="3556"/>
      <c r="F1" s="3556"/>
      <c r="G1" s="3556"/>
      <c r="H1" s="3556"/>
      <c r="I1" s="3557"/>
      <c r="J1" s="2465"/>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北京市朝阳区朝外大街乙12号</v>
      </c>
      <c r="T1" s="1740"/>
      <c r="U1" s="1740"/>
      <c r="V1" s="1740"/>
      <c r="W1" s="1740"/>
      <c r="X1" s="1740"/>
      <c r="Y1" s="1740"/>
      <c r="Z1" s="1740"/>
      <c r="AA1" s="1740"/>
      <c r="AB1" s="1740"/>
    </row>
    <row r="2" spans="1:30">
      <c r="A2" s="2361" t="s">
        <v>2167</v>
      </c>
      <c r="B2" s="2365"/>
      <c r="C2" s="2366"/>
      <c r="D2" s="2663"/>
      <c r="E2" s="2656"/>
      <c r="F2" s="2656"/>
      <c r="G2" s="2657"/>
      <c r="H2" s="2657"/>
      <c r="I2" s="2657"/>
      <c r="J2" s="2465"/>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北京市朝阳区朝外大街乙12号房地产</v>
      </c>
      <c r="T2" s="1740"/>
      <c r="U2" s="1740"/>
      <c r="V2" s="1740"/>
      <c r="W2" s="1740"/>
      <c r="X2" s="1740"/>
      <c r="Y2" s="1740"/>
      <c r="Z2" s="1740"/>
      <c r="AA2" s="1740"/>
      <c r="AB2" s="1740"/>
    </row>
    <row r="3" spans="1:30">
      <c r="A3" s="302" t="s">
        <v>2168</v>
      </c>
      <c r="B3" s="2367"/>
      <c r="C3" s="2368" t="s">
        <v>2169</v>
      </c>
      <c r="D3" s="2367">
        <v>45392</v>
      </c>
      <c r="E3" s="2657"/>
      <c r="F3" s="2657"/>
      <c r="G3" s="2657"/>
      <c r="H3" s="2657"/>
      <c r="I3" s="2657"/>
      <c r="J3" s="2465"/>
      <c r="K3" s="2362"/>
      <c r="L3" s="2363"/>
      <c r="M3" s="2363"/>
      <c r="N3" s="2364"/>
      <c r="O3" s="1571"/>
      <c r="P3" s="2364"/>
      <c r="Q3" s="2364"/>
      <c r="R3" s="2364"/>
      <c r="S3" s="1677"/>
      <c r="T3" s="1740"/>
      <c r="U3" s="1740"/>
      <c r="V3" s="1740"/>
      <c r="W3" s="1740"/>
      <c r="X3" s="1740"/>
      <c r="Y3" s="1740"/>
      <c r="Z3" s="1740"/>
      <c r="AA3" s="1740"/>
      <c r="AB3" s="1740"/>
    </row>
    <row r="4" spans="1:30" ht="13.5" thickBot="1">
      <c r="A4" s="1085" t="s">
        <v>2170</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1"/>
      <c r="P4" s="2364"/>
      <c r="Q4" s="2364"/>
      <c r="R4" s="2364"/>
      <c r="S4" s="1677"/>
      <c r="T4" s="1740"/>
      <c r="U4" s="1740"/>
      <c r="V4" s="1740"/>
      <c r="W4" s="1740"/>
      <c r="X4" s="1740"/>
      <c r="Y4" s="1740"/>
      <c r="Z4" s="1740"/>
      <c r="AA4" s="1740"/>
      <c r="AB4" s="1740"/>
    </row>
    <row r="5" spans="1:30" ht="13.5" thickTop="1">
      <c r="A5" s="2373" t="s">
        <v>2171</v>
      </c>
      <c r="B5" s="2374"/>
      <c r="C5" s="2375"/>
      <c r="D5" s="2376"/>
      <c r="E5" s="2658"/>
      <c r="F5" s="2658"/>
      <c r="G5" s="2658"/>
      <c r="H5" s="2658"/>
      <c r="I5" s="2658"/>
      <c r="J5" s="2433"/>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2172</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2173</v>
      </c>
      <c r="B7" s="2381"/>
      <c r="C7" s="2379"/>
      <c r="D7" s="2380"/>
      <c r="E7" s="2656"/>
      <c r="F7" s="2658"/>
      <c r="G7" s="2658"/>
      <c r="H7" s="2658"/>
      <c r="I7" s="2658"/>
      <c r="J7" s="2433"/>
      <c r="K7" s="2610"/>
      <c r="L7" s="2607"/>
      <c r="M7" s="2607"/>
      <c r="N7" s="2433"/>
      <c r="O7" s="2444"/>
      <c r="P7" s="2433"/>
      <c r="Q7" s="2433"/>
      <c r="R7" s="2433"/>
    </row>
    <row r="8" spans="1:30">
      <c r="A8" s="2382" t="s">
        <v>2174</v>
      </c>
      <c r="B8" s="2383" t="s">
        <v>3379</v>
      </c>
      <c r="C8" s="2384"/>
      <c r="D8" s="3558" t="s">
        <v>2175</v>
      </c>
      <c r="E8" s="2385" t="s">
        <v>3412</v>
      </c>
      <c r="F8" s="2386"/>
      <c r="G8" s="2657"/>
      <c r="H8" s="2657"/>
      <c r="I8" s="2657"/>
      <c r="J8" s="2433"/>
      <c r="K8" s="2608"/>
      <c r="L8" s="2607"/>
      <c r="M8" s="2607"/>
      <c r="N8" s="2433"/>
      <c r="O8" s="2444"/>
      <c r="P8" s="2433"/>
      <c r="Q8" s="2433"/>
      <c r="R8" s="2433"/>
    </row>
    <row r="9" spans="1:30" ht="13.5" thickBot="1">
      <c r="A9" s="2387" t="s">
        <v>2176</v>
      </c>
      <c r="B9" s="2388"/>
      <c r="C9" s="2389"/>
      <c r="D9" s="3559"/>
      <c r="E9" s="2388" t="s">
        <v>587</v>
      </c>
      <c r="F9" s="2390"/>
      <c r="G9" s="2659"/>
      <c r="H9" s="2659"/>
      <c r="I9" s="2659"/>
      <c r="J9" s="2433"/>
      <c r="K9" s="2610"/>
      <c r="L9" s="2607"/>
      <c r="M9" s="2607"/>
      <c r="N9" s="2433"/>
      <c r="O9" s="2444"/>
      <c r="P9" s="2433"/>
      <c r="Q9" s="2433"/>
      <c r="R9" s="2433"/>
    </row>
    <row r="10" spans="1:30" ht="13.5" thickTop="1">
      <c r="A10" s="2391" t="s">
        <v>2177</v>
      </c>
      <c r="B10" s="2392" t="s">
        <v>3380</v>
      </c>
      <c r="C10" s="2393"/>
      <c r="D10" s="2376"/>
      <c r="E10" s="2394" t="s">
        <v>2178</v>
      </c>
      <c r="F10" s="3444" t="s">
        <v>3406</v>
      </c>
      <c r="G10" s="2660"/>
      <c r="H10" s="2661"/>
      <c r="I10" s="2662"/>
      <c r="J10" s="2433"/>
      <c r="K10" s="2610"/>
      <c r="L10" s="2607"/>
      <c r="M10" s="2607"/>
      <c r="N10" s="2433"/>
      <c r="O10" s="2444"/>
      <c r="P10" s="2433"/>
      <c r="Q10" s="2433"/>
      <c r="R10" s="2433"/>
    </row>
    <row r="11" spans="1:30">
      <c r="A11" s="2395" t="s">
        <v>2179</v>
      </c>
      <c r="B11" s="2396" t="s">
        <v>3416</v>
      </c>
      <c r="C11" s="2397"/>
      <c r="D11" s="2398"/>
      <c r="E11" s="2364"/>
      <c r="F11" s="2364"/>
      <c r="G11" s="2364"/>
      <c r="H11" s="2364"/>
      <c r="I11" s="2364"/>
      <c r="J11" s="3054"/>
      <c r="K11" s="3053"/>
      <c r="L11" s="2607"/>
      <c r="M11" s="2607"/>
      <c r="N11" s="2433"/>
      <c r="O11" s="2444"/>
      <c r="P11" s="2433"/>
      <c r="Q11" s="2433"/>
      <c r="R11" s="2433"/>
    </row>
    <row r="12" spans="1:30">
      <c r="A12" s="2399" t="s">
        <v>2180</v>
      </c>
      <c r="B12" s="323" t="s">
        <v>2181</v>
      </c>
      <c r="C12" s="2400" t="s">
        <v>2182</v>
      </c>
      <c r="D12" s="2400" t="s">
        <v>2183</v>
      </c>
      <c r="E12" s="2400" t="s">
        <v>2184</v>
      </c>
      <c r="F12" s="2400" t="s">
        <v>2185</v>
      </c>
      <c r="G12" s="2400" t="s">
        <v>2186</v>
      </c>
      <c r="H12" s="2400" t="s">
        <v>2187</v>
      </c>
      <c r="I12" s="3052" t="s">
        <v>2578</v>
      </c>
      <c r="J12" s="3055"/>
      <c r="K12" s="2607"/>
      <c r="L12" s="2607"/>
      <c r="M12" s="2433"/>
      <c r="N12" s="2444"/>
      <c r="O12" s="2433"/>
      <c r="P12" s="2433"/>
      <c r="Q12" s="2433"/>
      <c r="AD12" s="1740"/>
    </row>
    <row r="13" spans="1:30">
      <c r="A13" s="3416" t="s">
        <v>3333</v>
      </c>
      <c r="B13" s="2401" t="s">
        <v>2188</v>
      </c>
      <c r="C13" s="851"/>
      <c r="D13" s="851"/>
      <c r="E13" s="851"/>
      <c r="F13" s="851"/>
      <c r="G13" s="851"/>
      <c r="H13" s="851">
        <v>60127</v>
      </c>
      <c r="I13" s="851"/>
      <c r="J13" s="3055"/>
      <c r="K13" s="2607"/>
      <c r="L13" s="2607"/>
      <c r="M13" s="2433"/>
      <c r="N13" s="2444"/>
      <c r="O13" s="2433"/>
      <c r="P13" s="2433"/>
      <c r="Q13" s="2433"/>
      <c r="AD13" s="1740"/>
    </row>
    <row r="14" spans="1:30">
      <c r="A14" s="1076"/>
      <c r="B14" s="2401" t="s">
        <v>2189</v>
      </c>
      <c r="C14" s="2402"/>
      <c r="D14" s="2402">
        <v>40</v>
      </c>
      <c r="E14" s="2402">
        <v>50</v>
      </c>
      <c r="F14" s="2402">
        <v>50</v>
      </c>
      <c r="G14" s="2402"/>
      <c r="H14" s="2402">
        <v>50</v>
      </c>
      <c r="I14" s="2402"/>
      <c r="J14" s="3056"/>
      <c r="K14" s="2607"/>
      <c r="L14" s="2607"/>
      <c r="M14" s="2433"/>
      <c r="N14" s="2444"/>
      <c r="O14" s="2433"/>
      <c r="P14" s="2433"/>
      <c r="Q14" s="2433"/>
      <c r="AD14" s="1740"/>
    </row>
    <row r="15" spans="1:30">
      <c r="A15" s="320"/>
      <c r="B15" s="2403" t="s">
        <v>2190</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40.36</v>
      </c>
      <c r="I15" s="2404" t="str">
        <f>IF(A13="出让",IF(I13="","",ROUNDDOWN(MIN((I13-$D$3)/365,I14),2)),I14)</f>
        <v/>
      </c>
      <c r="J15" s="3057"/>
      <c r="K15" s="2445"/>
      <c r="L15" s="2445"/>
      <c r="M15" s="2503"/>
      <c r="N15" s="2445"/>
      <c r="O15" s="2503"/>
      <c r="P15" s="2433"/>
      <c r="Q15" s="2433"/>
      <c r="AD15" s="1740"/>
    </row>
    <row r="16" spans="1:30">
      <c r="A16" s="2394" t="s">
        <v>2191</v>
      </c>
      <c r="B16" s="3565"/>
      <c r="C16" s="3566"/>
      <c r="D16" s="3567"/>
      <c r="E16" s="2407" t="s">
        <v>2192</v>
      </c>
      <c r="F16" s="3568"/>
      <c r="G16" s="3569"/>
      <c r="H16" s="3569"/>
      <c r="I16" s="3570"/>
      <c r="J16" s="2433"/>
      <c r="K16" s="2611"/>
      <c r="L16" s="2445"/>
      <c r="M16" s="2445"/>
      <c r="N16" s="2503"/>
      <c r="O16" s="2445"/>
      <c r="P16" s="2503"/>
      <c r="Q16" s="2433"/>
      <c r="R16" s="2433"/>
    </row>
    <row r="17" spans="1:28">
      <c r="A17" s="313" t="s">
        <v>2193</v>
      </c>
      <c r="B17" s="302" t="s">
        <v>2194</v>
      </c>
      <c r="C17" s="8">
        <f>'数据-汇总表'!E3</f>
        <v>135125.56999999998</v>
      </c>
      <c r="D17" s="2316" t="s">
        <v>2195</v>
      </c>
      <c r="E17" s="3571" t="s">
        <v>2196</v>
      </c>
      <c r="F17" s="3572"/>
      <c r="G17" s="3572"/>
      <c r="H17" s="3572"/>
      <c r="I17" s="3573"/>
      <c r="J17" s="2433"/>
      <c r="K17" s="2612"/>
      <c r="L17" s="2445"/>
      <c r="M17" s="2445"/>
      <c r="N17" s="2503"/>
      <c r="O17" s="2445"/>
      <c r="P17" s="2503"/>
      <c r="Q17" s="2433"/>
      <c r="R17" s="2433"/>
      <c r="S17" s="2433"/>
      <c r="T17" s="2433"/>
      <c r="U17" s="2433"/>
      <c r="V17" s="2433"/>
    </row>
    <row r="18" spans="1:28" ht="24.75" thickBot="1">
      <c r="A18" s="2408" t="s">
        <v>2197</v>
      </c>
      <c r="B18" s="1085" t="s">
        <v>2198</v>
      </c>
      <c r="C18" s="2409">
        <f>'数据-汇总表'!D3</f>
        <v>58598.03</v>
      </c>
      <c r="D18" s="1087" t="s">
        <v>2199</v>
      </c>
      <c r="E18" s="3574" t="s">
        <v>2200</v>
      </c>
      <c r="F18" s="3575"/>
      <c r="G18" s="3575"/>
      <c r="H18" s="3575"/>
      <c r="I18" s="3576"/>
      <c r="J18" s="2433"/>
      <c r="K18" s="2612"/>
      <c r="L18" s="2445"/>
      <c r="M18" s="2445"/>
      <c r="N18" s="2503"/>
      <c r="O18" s="2445"/>
      <c r="P18" s="2503"/>
      <c r="Q18" s="2433"/>
      <c r="R18" s="2433"/>
      <c r="S18" s="2433"/>
      <c r="T18" s="2433"/>
      <c r="U18" s="2433"/>
      <c r="V18" s="2433"/>
    </row>
    <row r="19" spans="1:28" ht="37.5" thickTop="1" thickBot="1">
      <c r="A19" s="327" t="s">
        <v>1055</v>
      </c>
      <c r="B19" s="307" t="s">
        <v>2201</v>
      </c>
      <c r="C19" s="1558"/>
      <c r="D19" s="1559" t="s">
        <v>2202</v>
      </c>
      <c r="E19" s="1560"/>
      <c r="F19" s="1561" t="str">
        <f>IF(AND(C19="是",E19="否"),"是否提供他项权证或相关说明","")</f>
        <v/>
      </c>
      <c r="G19" s="1562"/>
      <c r="H19" s="2658"/>
      <c r="I19" s="2658"/>
      <c r="J19" s="2433"/>
      <c r="K19" s="2610"/>
      <c r="L19" s="2607"/>
      <c r="M19" s="2607"/>
      <c r="N19" s="2503"/>
      <c r="O19" s="2445"/>
      <c r="P19" s="2503"/>
      <c r="Q19" s="2433"/>
      <c r="R19" s="2433"/>
      <c r="S19" s="2433"/>
      <c r="T19" s="2433"/>
      <c r="U19" s="2433"/>
      <c r="V19" s="2433"/>
    </row>
    <row r="20" spans="1:28">
      <c r="A20" s="2626" t="s">
        <v>2203</v>
      </c>
      <c r="B20" s="3561" t="s">
        <v>2204</v>
      </c>
      <c r="C20" s="3562"/>
      <c r="D20" s="3563" t="s">
        <v>2205</v>
      </c>
      <c r="E20" s="3564"/>
      <c r="F20" s="2641" t="s">
        <v>1056</v>
      </c>
      <c r="G20" s="2658"/>
      <c r="H20" s="2658"/>
      <c r="I20" s="2658"/>
      <c r="J20" s="2433"/>
      <c r="K20" s="3560"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40"/>
      <c r="X20" s="1740"/>
      <c r="Y20" s="1740"/>
      <c r="Z20" s="1740"/>
      <c r="AA20" s="1740"/>
      <c r="AB20" s="1740"/>
    </row>
    <row r="21" spans="1:28" ht="24.75" thickBot="1">
      <c r="A21" s="2626"/>
      <c r="B21" s="2627" t="s">
        <v>2207</v>
      </c>
      <c r="C21" s="2628" t="s">
        <v>1057</v>
      </c>
      <c r="D21" s="1563" t="s">
        <v>2208</v>
      </c>
      <c r="E21" s="2629" t="s">
        <v>1057</v>
      </c>
      <c r="F21" s="2642"/>
      <c r="G21" s="2658"/>
      <c r="H21" s="2658"/>
      <c r="I21" s="2658"/>
      <c r="J21" s="2433"/>
      <c r="K21" s="356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40"/>
      <c r="X21" s="1740"/>
      <c r="Y21" s="1740"/>
      <c r="Z21" s="1740"/>
      <c r="AA21" s="1740"/>
      <c r="AB21" s="1740"/>
    </row>
    <row r="22" spans="1:28" ht="24.75" thickBot="1">
      <c r="A22" s="2626"/>
      <c r="B22" s="2630" t="s">
        <v>2209</v>
      </c>
      <c r="C22" s="2628" t="s">
        <v>1058</v>
      </c>
      <c r="D22" s="2657"/>
      <c r="E22" s="2657"/>
      <c r="F22" s="2657"/>
      <c r="G22" s="2658"/>
      <c r="H22" s="2658"/>
      <c r="I22" s="2658"/>
      <c r="J22" s="2433"/>
      <c r="K22" s="356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40"/>
      <c r="X22" s="1740"/>
      <c r="Y22" s="1740"/>
      <c r="Z22" s="1740"/>
      <c r="AA22" s="1740"/>
      <c r="AB22" s="1740"/>
    </row>
    <row r="23" spans="1:28">
      <c r="A23" s="2631" t="s">
        <v>2210</v>
      </c>
      <c r="B23" s="2496" t="s">
        <v>2211</v>
      </c>
      <c r="C23" s="2632"/>
      <c r="D23" s="2633" t="s">
        <v>2211</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78" t="s">
        <v>2212</v>
      </c>
      <c r="B27" s="320" t="s">
        <v>2213</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78"/>
      <c r="B28" s="302" t="s">
        <v>2214</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78"/>
      <c r="B29" s="302" t="s">
        <v>2215</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79"/>
      <c r="B30" s="302" t="s">
        <v>2216</v>
      </c>
      <c r="C30" s="3580"/>
      <c r="D30" s="3581"/>
      <c r="E30" s="2658"/>
      <c r="F30" s="2658"/>
      <c r="G30" s="2658"/>
      <c r="H30" s="2658"/>
      <c r="I30" s="2658"/>
      <c r="J30" s="2433"/>
      <c r="K30" s="2610"/>
      <c r="L30" s="2607"/>
      <c r="M30" s="2607"/>
      <c r="N30" s="2433"/>
      <c r="O30" s="2444"/>
      <c r="P30" s="2433"/>
      <c r="Q30" s="2433"/>
      <c r="R30" s="2433"/>
      <c r="S30" s="2433"/>
      <c r="T30" s="2433"/>
      <c r="U30" s="2433"/>
      <c r="V30" s="2433"/>
    </row>
    <row r="31" spans="1:28">
      <c r="A31" s="3582" t="s">
        <v>2217</v>
      </c>
      <c r="B31" s="2416"/>
      <c r="C31" s="2317" t="str">
        <f>IF(B31="现房","成新及维护状况正常否",IF(B31="在建","工程状态是否正常",IF(B31="土地","是否闲置","-")))</f>
        <v>-</v>
      </c>
      <c r="D31" s="1368"/>
      <c r="E31" s="2417"/>
      <c r="F31" s="2658"/>
      <c r="G31" s="2658"/>
      <c r="H31" s="2658"/>
      <c r="I31" s="2658"/>
      <c r="J31" s="2433"/>
      <c r="K31" s="2609"/>
      <c r="L31" s="2607"/>
      <c r="M31" s="2607"/>
      <c r="N31" s="2433"/>
      <c r="O31" s="2444"/>
      <c r="P31" s="2433"/>
      <c r="Q31" s="2433"/>
      <c r="R31" s="2433"/>
      <c r="S31" s="2433"/>
      <c r="T31" s="2433"/>
      <c r="U31" s="2433"/>
      <c r="V31" s="2433"/>
    </row>
    <row r="32" spans="1:28">
      <c r="A32" s="3583"/>
      <c r="B32" s="2416"/>
      <c r="C32" s="2317" t="str">
        <f>IF(B32="现房","成新及维护状况是否正常",IF(B32="在建","工程状态是否正常",IF(B32="土地","是否闲置","-")))</f>
        <v>-</v>
      </c>
      <c r="D32" s="1368"/>
      <c r="E32" s="2417"/>
      <c r="F32" s="2658"/>
      <c r="G32" s="2658"/>
      <c r="H32" s="2658"/>
      <c r="I32" s="2658"/>
      <c r="J32" s="2433"/>
      <c r="K32" s="2610"/>
      <c r="L32" s="2607"/>
      <c r="M32" s="2607"/>
      <c r="N32" s="2433"/>
      <c r="O32" s="2444"/>
      <c r="P32" s="2433"/>
      <c r="Q32" s="2433"/>
      <c r="R32" s="2433"/>
      <c r="S32" s="2433"/>
      <c r="T32" s="2433"/>
      <c r="U32" s="2433"/>
      <c r="V32" s="2433"/>
    </row>
    <row r="33" spans="1:30">
      <c r="A33" s="3583"/>
      <c r="B33" s="2419"/>
      <c r="C33" s="1585" t="str">
        <f>IF(B33="现房","成新及维护状况是否正常",IF(B33="在建","工程状态是否正常",IF(B33="土地","是否闲置","-")))</f>
        <v>-</v>
      </c>
      <c r="D33" s="1360"/>
      <c r="E33" s="2420"/>
      <c r="F33" s="2658"/>
      <c r="G33" s="2658"/>
      <c r="H33" s="2658"/>
      <c r="I33" s="2658"/>
      <c r="J33" s="2433"/>
      <c r="K33" s="2610"/>
      <c r="L33" s="2607"/>
      <c r="M33" s="2607"/>
      <c r="N33" s="2433"/>
      <c r="O33" s="2444"/>
      <c r="P33" s="2433"/>
      <c r="Q33" s="2433"/>
      <c r="R33" s="2433"/>
      <c r="S33" s="2433"/>
      <c r="T33" s="2433"/>
      <c r="U33" s="2433"/>
      <c r="V33" s="2433"/>
    </row>
    <row r="34" spans="1:30">
      <c r="A34" s="302" t="s">
        <v>2218</v>
      </c>
      <c r="B34" s="2020"/>
      <c r="C34" s="2020"/>
      <c r="D34" s="2020"/>
      <c r="E34" s="2020"/>
      <c r="F34" s="2020"/>
      <c r="G34" s="2020"/>
      <c r="H34" s="2020"/>
      <c r="I34" s="2658"/>
      <c r="J34" s="2433"/>
      <c r="K34" s="2421">
        <f>COUNTIF(B34:H34,"——")</f>
        <v>0</v>
      </c>
      <c r="L34" s="323" t="s">
        <v>2219</v>
      </c>
      <c r="M34" s="323" t="s">
        <v>2220</v>
      </c>
      <c r="N34" s="323" t="s">
        <v>2221</v>
      </c>
      <c r="O34" s="323" t="s">
        <v>2222</v>
      </c>
      <c r="P34" s="323" t="s">
        <v>2223</v>
      </c>
      <c r="Q34" s="323" t="s">
        <v>2224</v>
      </c>
      <c r="R34" s="323" t="s">
        <v>2225</v>
      </c>
      <c r="S34" s="3577" t="s">
        <v>2226</v>
      </c>
      <c r="T34" s="2422" t="str">
        <f>NUMBERSTRING(7-K34,1)&amp;"通"</f>
        <v>七通</v>
      </c>
      <c r="U34" s="2433"/>
      <c r="V34" s="2433"/>
    </row>
    <row r="35" spans="1:30">
      <c r="A35" s="2423"/>
      <c r="B35" s="3584" t="s">
        <v>2227</v>
      </c>
      <c r="C35" s="3584"/>
      <c r="D35" s="3584"/>
      <c r="E35" s="358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7"/>
      <c r="T35" s="329" t="str">
        <f>IF(T34="一通",L35,IF(T34="二通",M35,IF(T34="三通",N35,IF(T34="四通",O35,IF(T34="五通",P35,IF(T34="六通",Q35,R35))))))</f>
        <v>、、、、、、</v>
      </c>
      <c r="U35" s="2433"/>
      <c r="V35" s="2433"/>
    </row>
    <row r="36" spans="1:30">
      <c r="A36" s="2424"/>
      <c r="B36" s="662" t="s">
        <v>2183</v>
      </c>
      <c r="C36" s="662" t="s">
        <v>2184</v>
      </c>
      <c r="D36" s="662" t="s">
        <v>2182</v>
      </c>
      <c r="E36" s="662" t="s">
        <v>2187</v>
      </c>
      <c r="F36" s="3058" t="s">
        <v>2581</v>
      </c>
      <c r="G36" s="2658"/>
      <c r="H36" s="2658"/>
      <c r="I36" s="2658"/>
      <c r="J36" s="2433"/>
      <c r="K36" s="2610"/>
      <c r="L36" s="2607"/>
      <c r="M36" s="2607"/>
      <c r="N36" s="2433"/>
      <c r="O36" s="2444"/>
      <c r="P36" s="2433"/>
      <c r="Q36" s="2433"/>
      <c r="R36" s="2433"/>
      <c r="S36" s="2433"/>
      <c r="T36" s="2433"/>
      <c r="U36" s="2433"/>
      <c r="V36" s="2433"/>
    </row>
    <row r="37" spans="1:30">
      <c r="A37" s="2624" t="s">
        <v>2228</v>
      </c>
      <c r="B37" s="2425"/>
      <c r="C37" s="2425"/>
      <c r="D37" s="2425"/>
      <c r="E37" s="2425" t="s">
        <v>306</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2229</v>
      </c>
      <c r="B38" s="2426"/>
      <c r="C38" s="2426"/>
      <c r="D38" s="2426"/>
      <c r="E38" s="2426" t="s">
        <v>2918</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2230</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3"/>
      <c r="J40" s="2503"/>
      <c r="K40" s="2609"/>
      <c r="L40" s="2445"/>
      <c r="M40" s="2445"/>
      <c r="N40" s="2503"/>
      <c r="O40" s="2445"/>
      <c r="P40" s="2433"/>
      <c r="Q40" s="2433"/>
      <c r="R40" s="2433"/>
      <c r="S40" s="2433"/>
      <c r="T40" s="2433"/>
      <c r="U40" s="2433"/>
      <c r="V40" s="2433"/>
    </row>
    <row r="41" spans="1:30">
      <c r="A41" s="2430" t="s">
        <v>2231</v>
      </c>
      <c r="B41" s="1752"/>
      <c r="C41" s="1368"/>
      <c r="D41" s="2364"/>
      <c r="E41" s="2364"/>
      <c r="F41" s="2364"/>
      <c r="G41" s="2364"/>
      <c r="H41" s="2364"/>
      <c r="I41" s="1571"/>
      <c r="J41" s="2433"/>
      <c r="K41" s="2610"/>
      <c r="L41" s="2607"/>
      <c r="M41" s="2607"/>
      <c r="N41" s="2433"/>
      <c r="O41" s="2444"/>
      <c r="P41" s="2433"/>
      <c r="Q41" s="2433"/>
      <c r="R41" s="2433"/>
      <c r="S41" s="2433"/>
      <c r="T41" s="2433"/>
      <c r="U41" s="2433"/>
      <c r="V41" s="2433"/>
    </row>
    <row r="42" spans="1:30" ht="25.5">
      <c r="A42" s="323" t="s">
        <v>2232</v>
      </c>
      <c r="B42" s="8" t="s">
        <v>2233</v>
      </c>
      <c r="C42" s="8" t="s">
        <v>2234</v>
      </c>
      <c r="D42" s="8" t="s">
        <v>2235</v>
      </c>
      <c r="E42" s="8" t="s">
        <v>2236</v>
      </c>
      <c r="F42" s="8" t="s">
        <v>2237</v>
      </c>
      <c r="G42" s="8" t="s">
        <v>2238</v>
      </c>
      <c r="H42" s="8" t="s">
        <v>2239</v>
      </c>
      <c r="I42" s="8" t="s">
        <v>2240</v>
      </c>
      <c r="J42" s="2620" t="s">
        <v>2241</v>
      </c>
      <c r="K42" s="2621" t="s">
        <v>2242</v>
      </c>
      <c r="L42" s="2621" t="s">
        <v>2243</v>
      </c>
      <c r="M42" s="2621" t="s">
        <v>2244</v>
      </c>
      <c r="N42" s="2614" t="s">
        <v>2245</v>
      </c>
      <c r="O42" s="2614" t="s">
        <v>2246</v>
      </c>
      <c r="P42" s="2614" t="s">
        <v>2247</v>
      </c>
      <c r="Q42" s="2615" t="s">
        <v>2248</v>
      </c>
      <c r="R42" s="2615" t="s">
        <v>2249</v>
      </c>
      <c r="S42" s="2433"/>
      <c r="T42" s="2433"/>
      <c r="U42" s="2433"/>
      <c r="V42" s="2433"/>
    </row>
    <row r="43" spans="1:30" s="1738" customFormat="1">
      <c r="A43" s="1565"/>
      <c r="B43" s="1046"/>
      <c r="C43" s="1046"/>
      <c r="D43" s="1046"/>
      <c r="E43" s="1046"/>
      <c r="F43" s="1046"/>
      <c r="G43" s="1046"/>
      <c r="H43" s="1046"/>
      <c r="I43" s="1046"/>
      <c r="J43" s="2431"/>
      <c r="K43" s="2432"/>
      <c r="L43" s="2432"/>
      <c r="M43" s="1046"/>
      <c r="N43" s="1046"/>
      <c r="O43" s="1046"/>
      <c r="P43" s="1046"/>
      <c r="Q43" s="1046"/>
      <c r="R43" s="1046"/>
      <c r="S43" s="2433"/>
      <c r="T43" s="2433"/>
      <c r="U43" s="2433"/>
      <c r="V43" s="2433"/>
    </row>
    <row r="44" spans="1:30" s="1738" customFormat="1">
      <c r="A44" s="1565"/>
      <c r="B44" s="1565"/>
      <c r="C44" s="1046"/>
      <c r="D44" s="1046"/>
      <c r="E44" s="1046"/>
      <c r="F44" s="1046"/>
      <c r="G44" s="1046"/>
      <c r="H44" s="1046"/>
      <c r="I44" s="1046"/>
      <c r="J44" s="2431"/>
      <c r="K44" s="2432"/>
      <c r="L44" s="2432"/>
      <c r="M44" s="1046"/>
      <c r="N44" s="1046"/>
      <c r="O44" s="1046"/>
      <c r="P44" s="1046"/>
      <c r="Q44" s="1046"/>
      <c r="R44" s="1046"/>
      <c r="S44" s="2433"/>
      <c r="T44" s="2433"/>
      <c r="U44" s="2433"/>
      <c r="V44" s="2433"/>
    </row>
    <row r="45" spans="1:30" s="1738" customFormat="1">
      <c r="A45" s="1565"/>
      <c r="B45" s="1565"/>
      <c r="C45" s="1046"/>
      <c r="D45" s="1046"/>
      <c r="E45" s="1046"/>
      <c r="F45" s="1046"/>
      <c r="G45" s="1046"/>
      <c r="H45" s="1046"/>
      <c r="I45" s="1046"/>
      <c r="J45" s="2431"/>
      <c r="K45" s="2432"/>
      <c r="L45" s="2432"/>
      <c r="M45" s="1046"/>
      <c r="N45" s="1046"/>
      <c r="O45" s="1046"/>
      <c r="P45" s="1046"/>
      <c r="Q45" s="1046"/>
      <c r="R45" s="1046"/>
      <c r="S45" s="2433"/>
      <c r="T45" s="2433"/>
      <c r="U45" s="2433"/>
      <c r="V45" s="2433"/>
    </row>
    <row r="46" spans="1:30" s="1738" customFormat="1">
      <c r="A46" s="1565"/>
      <c r="B46" s="1565"/>
      <c r="C46" s="1046"/>
      <c r="D46" s="1046"/>
      <c r="E46" s="1046"/>
      <c r="F46" s="1046"/>
      <c r="G46" s="1046"/>
      <c r="H46" s="1046"/>
      <c r="I46" s="1046"/>
      <c r="J46" s="2431"/>
      <c r="K46" s="2432"/>
      <c r="L46" s="2432"/>
      <c r="M46" s="1046"/>
      <c r="N46" s="1046"/>
      <c r="O46" s="1046"/>
      <c r="P46" s="1046"/>
      <c r="Q46" s="1046"/>
      <c r="R46" s="1046"/>
      <c r="S46" s="2433"/>
      <c r="T46" s="2433"/>
      <c r="U46" s="2433"/>
      <c r="V46" s="2433"/>
    </row>
    <row r="47" spans="1:30" s="1738" customFormat="1">
      <c r="A47" s="1565"/>
      <c r="B47" s="1565"/>
      <c r="C47" s="1046"/>
      <c r="D47" s="1046"/>
      <c r="E47" s="1046"/>
      <c r="F47" s="1046"/>
      <c r="G47" s="1046"/>
      <c r="H47" s="1046"/>
      <c r="I47" s="1046"/>
      <c r="J47" s="2431"/>
      <c r="K47" s="2432"/>
      <c r="L47" s="2432"/>
      <c r="M47" s="1046"/>
      <c r="N47" s="1046"/>
      <c r="O47" s="1046"/>
      <c r="P47" s="1046"/>
      <c r="Q47" s="1046"/>
      <c r="R47" s="1046"/>
      <c r="S47" s="2433"/>
      <c r="T47" s="2433"/>
      <c r="U47" s="2433"/>
      <c r="V47" s="2433"/>
    </row>
    <row r="48" spans="1:30" s="1738" customFormat="1">
      <c r="A48" s="1565"/>
      <c r="B48" s="1565"/>
      <c r="C48" s="1046"/>
      <c r="D48" s="1046"/>
      <c r="E48" s="1046"/>
      <c r="F48" s="1046"/>
      <c r="G48" s="1046"/>
      <c r="H48" s="1046"/>
      <c r="I48" s="1046"/>
      <c r="J48" s="2431"/>
      <c r="K48" s="2432"/>
      <c r="L48" s="2432"/>
      <c r="M48" s="1046"/>
      <c r="N48" s="1046"/>
      <c r="O48" s="1046"/>
      <c r="P48" s="1046"/>
      <c r="Q48" s="1046"/>
      <c r="R48" s="1046"/>
      <c r="S48" s="2433"/>
      <c r="T48" s="2433"/>
      <c r="U48" s="2433"/>
      <c r="V48" s="2433"/>
    </row>
    <row r="49" spans="1:22" s="1738" customFormat="1">
      <c r="A49" s="1565"/>
      <c r="B49" s="1565"/>
      <c r="C49" s="1046"/>
      <c r="D49" s="1046"/>
      <c r="E49" s="1046"/>
      <c r="F49" s="1046"/>
      <c r="G49" s="1046"/>
      <c r="H49" s="1046"/>
      <c r="I49" s="1046"/>
      <c r="J49" s="2431"/>
      <c r="K49" s="2432"/>
      <c r="L49" s="2432"/>
      <c r="M49" s="1046"/>
      <c r="N49" s="1046"/>
      <c r="O49" s="1046"/>
      <c r="P49" s="1046"/>
      <c r="Q49" s="1046"/>
      <c r="R49" s="1046"/>
      <c r="S49" s="2433"/>
      <c r="T49" s="2433"/>
      <c r="U49" s="2433"/>
      <c r="V49" s="2433"/>
    </row>
    <row r="50" spans="1:22" s="1738" customFormat="1">
      <c r="A50" s="1565"/>
      <c r="B50" s="1565"/>
      <c r="C50" s="1046"/>
      <c r="D50" s="1046"/>
      <c r="E50" s="1046"/>
      <c r="F50" s="1046"/>
      <c r="G50" s="1046"/>
      <c r="H50" s="1046"/>
      <c r="I50" s="1046"/>
      <c r="J50" s="2431"/>
      <c r="K50" s="2432"/>
      <c r="L50" s="2432"/>
      <c r="M50" s="1046"/>
      <c r="N50" s="1046"/>
      <c r="O50" s="1046"/>
      <c r="P50" s="1046"/>
      <c r="Q50" s="1046"/>
      <c r="R50" s="1046"/>
      <c r="S50" s="2433"/>
      <c r="T50" s="2433"/>
      <c r="U50" s="2433"/>
      <c r="V50" s="2433"/>
    </row>
    <row r="51" spans="1:22" s="1738" customFormat="1">
      <c r="A51" s="1565"/>
      <c r="B51" s="1565"/>
      <c r="C51" s="1046"/>
      <c r="D51" s="1046"/>
      <c r="E51" s="1046"/>
      <c r="F51" s="1046"/>
      <c r="G51" s="1046"/>
      <c r="H51" s="1046"/>
      <c r="I51" s="1046"/>
      <c r="J51" s="2431"/>
      <c r="K51" s="2432"/>
      <c r="L51" s="2432"/>
      <c r="M51" s="1046"/>
      <c r="N51" s="1046"/>
      <c r="O51" s="1046"/>
      <c r="P51" s="1046"/>
      <c r="Q51" s="1046"/>
      <c r="R51" s="1046"/>
    </row>
    <row r="52" spans="1:22" s="1738" customFormat="1">
      <c r="A52" s="1565"/>
      <c r="B52" s="1565"/>
      <c r="C52" s="1565"/>
      <c r="D52" s="1565"/>
      <c r="E52" s="1565"/>
      <c r="F52" s="1046"/>
      <c r="G52" s="1565"/>
      <c r="H52" s="1565"/>
      <c r="I52" s="1565"/>
      <c r="J52" s="2434"/>
      <c r="K52" s="2432"/>
      <c r="L52" s="2432"/>
      <c r="M52" s="2432"/>
      <c r="N52" s="1565"/>
      <c r="O52" s="1565"/>
      <c r="P52" s="1565"/>
      <c r="Q52" s="1565"/>
      <c r="R52" s="1565"/>
    </row>
    <row r="53" spans="1:22" s="1738" customFormat="1">
      <c r="A53" s="1565"/>
      <c r="B53" s="1565"/>
      <c r="C53" s="1565"/>
      <c r="D53" s="1565"/>
      <c r="E53" s="1565"/>
      <c r="F53" s="1046"/>
      <c r="G53" s="1565"/>
      <c r="H53" s="1565"/>
      <c r="I53" s="1565"/>
      <c r="J53" s="2434"/>
      <c r="K53" s="2432"/>
      <c r="L53" s="2432"/>
      <c r="M53" s="2432"/>
      <c r="N53" s="1565"/>
      <c r="O53" s="1565"/>
      <c r="P53" s="1565"/>
      <c r="Q53" s="1565"/>
      <c r="R53" s="1565"/>
    </row>
    <row r="54" spans="1:22" s="1738" customFormat="1">
      <c r="A54" s="1565"/>
      <c r="B54" s="1565"/>
      <c r="C54" s="1565"/>
      <c r="D54" s="1565"/>
      <c r="E54" s="1565"/>
      <c r="F54" s="1046"/>
      <c r="G54" s="1565"/>
      <c r="H54" s="1565"/>
      <c r="I54" s="1565"/>
      <c r="J54" s="2434"/>
      <c r="K54" s="2432"/>
      <c r="L54" s="2432"/>
      <c r="M54" s="2432"/>
      <c r="N54" s="1565"/>
      <c r="O54" s="1565"/>
      <c r="P54" s="1565"/>
      <c r="Q54" s="1565"/>
      <c r="R54" s="1565"/>
    </row>
    <row r="55" spans="1:22" s="1738" customFormat="1">
      <c r="A55" s="1565"/>
      <c r="B55" s="1565"/>
      <c r="C55" s="1565"/>
      <c r="D55" s="1565"/>
      <c r="E55" s="1565"/>
      <c r="F55" s="1046"/>
      <c r="G55" s="1565"/>
      <c r="H55" s="1565"/>
      <c r="I55" s="1565"/>
      <c r="J55" s="2434"/>
      <c r="K55" s="2432"/>
      <c r="L55" s="2432"/>
      <c r="M55" s="2432"/>
      <c r="N55" s="1565"/>
      <c r="O55" s="1565"/>
      <c r="P55" s="1565"/>
      <c r="Q55" s="1565"/>
      <c r="R55" s="1565"/>
    </row>
    <row r="56" spans="1:22" s="1738" customFormat="1">
      <c r="A56" s="1565"/>
      <c r="B56" s="1565"/>
      <c r="C56" s="1565"/>
      <c r="D56" s="1565"/>
      <c r="E56" s="1565"/>
      <c r="F56" s="1046"/>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5"/>
  <sheetViews>
    <sheetView workbookViewId="0">
      <selection activeCell="B25" sqref="B25"/>
    </sheetView>
  </sheetViews>
  <sheetFormatPr defaultRowHeight="13.5"/>
  <cols>
    <col min="2" max="2" width="10" customWidth="1"/>
  </cols>
  <sheetData>
    <row r="1" spans="1:4">
      <c r="A1" s="3512" t="s">
        <v>3541</v>
      </c>
    </row>
    <row r="2" spans="1:4">
      <c r="B2" s="3512" t="s">
        <v>3547</v>
      </c>
      <c r="C2" s="3512" t="s">
        <v>3548</v>
      </c>
      <c r="D2" s="3512" t="s">
        <v>3549</v>
      </c>
    </row>
    <row r="3" spans="1:4">
      <c r="A3" s="3512" t="s">
        <v>3542</v>
      </c>
      <c r="B3">
        <v>32362.13</v>
      </c>
      <c r="D3">
        <f>SUM(B3:C3)</f>
        <v>32362.13</v>
      </c>
    </row>
    <row r="4" spans="1:4">
      <c r="A4" s="3512" t="s">
        <v>3543</v>
      </c>
      <c r="B4">
        <v>32360.93</v>
      </c>
      <c r="D4">
        <f t="shared" ref="D4:D11" si="0">SUM(B4:C4)</f>
        <v>32360.93</v>
      </c>
    </row>
    <row r="5" spans="1:4">
      <c r="A5" s="3512" t="s">
        <v>3544</v>
      </c>
      <c r="B5">
        <v>24894.49</v>
      </c>
      <c r="D5">
        <f t="shared" si="0"/>
        <v>24894.49</v>
      </c>
    </row>
    <row r="6" spans="1:4">
      <c r="A6" s="3512" t="s">
        <v>3545</v>
      </c>
      <c r="B6">
        <v>24833.95</v>
      </c>
      <c r="D6">
        <f t="shared" si="0"/>
        <v>24833.95</v>
      </c>
    </row>
    <row r="7" spans="1:4">
      <c r="A7" s="3512" t="s">
        <v>3546</v>
      </c>
      <c r="B7">
        <v>2063.5300000000002</v>
      </c>
      <c r="D7">
        <f t="shared" si="0"/>
        <v>2063.5300000000002</v>
      </c>
    </row>
    <row r="8" spans="1:4">
      <c r="A8" s="3512" t="s">
        <v>3550</v>
      </c>
      <c r="B8">
        <v>56.61</v>
      </c>
      <c r="D8">
        <f t="shared" si="0"/>
        <v>56.61</v>
      </c>
    </row>
    <row r="9" spans="1:4">
      <c r="A9" s="3512" t="s">
        <v>3551</v>
      </c>
      <c r="B9">
        <v>4.2</v>
      </c>
      <c r="D9">
        <f t="shared" si="0"/>
        <v>4.2</v>
      </c>
    </row>
    <row r="10" spans="1:4">
      <c r="A10" s="3512" t="s">
        <v>3552</v>
      </c>
      <c r="B10">
        <v>620.22</v>
      </c>
      <c r="C10">
        <v>25635.23</v>
      </c>
      <c r="D10">
        <f t="shared" si="0"/>
        <v>26255.45</v>
      </c>
    </row>
    <row r="11" spans="1:4">
      <c r="A11" s="3512" t="s">
        <v>3549</v>
      </c>
      <c r="B11">
        <f>SUM(B3:B10)</f>
        <v>117196.06</v>
      </c>
      <c r="C11">
        <f>SUM(C3:C10)</f>
        <v>25635.23</v>
      </c>
      <c r="D11">
        <f t="shared" si="0"/>
        <v>142831.29</v>
      </c>
    </row>
    <row r="13" spans="1:4">
      <c r="A13" s="3512" t="s">
        <v>3553</v>
      </c>
    </row>
    <row r="14" spans="1:4">
      <c r="B14" s="3512" t="s">
        <v>3547</v>
      </c>
      <c r="C14" s="3512" t="s">
        <v>3548</v>
      </c>
      <c r="D14" s="3512" t="s">
        <v>3549</v>
      </c>
    </row>
    <row r="15" spans="1:4">
      <c r="A15" s="3512" t="s">
        <v>3542</v>
      </c>
      <c r="B15">
        <v>32499.279999999999</v>
      </c>
      <c r="D15">
        <f>SUM(B15:C15)</f>
        <v>32499.279999999999</v>
      </c>
    </row>
    <row r="16" spans="1:4">
      <c r="A16" s="3512" t="s">
        <v>3543</v>
      </c>
      <c r="B16">
        <v>32514.959999999999</v>
      </c>
      <c r="D16">
        <f t="shared" ref="D16:D23" si="1">SUM(B16:C16)</f>
        <v>32514.959999999999</v>
      </c>
    </row>
    <row r="17" spans="1:4">
      <c r="A17" s="3512" t="s">
        <v>3544</v>
      </c>
      <c r="B17">
        <v>25029.75</v>
      </c>
      <c r="D17">
        <f t="shared" si="1"/>
        <v>25029.75</v>
      </c>
    </row>
    <row r="18" spans="1:4">
      <c r="A18" s="3512" t="s">
        <v>3545</v>
      </c>
      <c r="B18">
        <v>24986.17</v>
      </c>
      <c r="D18">
        <f t="shared" si="1"/>
        <v>24986.17</v>
      </c>
    </row>
    <row r="19" spans="1:4">
      <c r="A19" s="3512" t="s">
        <v>3546</v>
      </c>
      <c r="B19">
        <v>1124.54</v>
      </c>
      <c r="D19">
        <f t="shared" si="1"/>
        <v>1124.54</v>
      </c>
    </row>
    <row r="20" spans="1:4">
      <c r="A20" s="3512" t="s">
        <v>3550</v>
      </c>
      <c r="B20">
        <v>55.12</v>
      </c>
      <c r="D20">
        <f t="shared" si="1"/>
        <v>55.12</v>
      </c>
    </row>
    <row r="21" spans="1:4">
      <c r="A21" s="3512" t="s">
        <v>3551</v>
      </c>
      <c r="B21">
        <v>4.5199999999999996</v>
      </c>
      <c r="D21">
        <f t="shared" si="1"/>
        <v>4.5199999999999996</v>
      </c>
    </row>
    <row r="22" spans="1:4">
      <c r="A22" s="3512" t="s">
        <v>3552</v>
      </c>
      <c r="B22">
        <v>623.69000000000005</v>
      </c>
      <c r="C22">
        <v>24992.82</v>
      </c>
      <c r="D22">
        <f t="shared" si="1"/>
        <v>25616.51</v>
      </c>
    </row>
    <row r="23" spans="1:4">
      <c r="A23" s="3512" t="s">
        <v>3549</v>
      </c>
      <c r="B23">
        <f>SUM(B15:B22)</f>
        <v>116838.02999999998</v>
      </c>
      <c r="C23">
        <f>SUM(C15:C22)</f>
        <v>24992.82</v>
      </c>
      <c r="D23">
        <f t="shared" si="1"/>
        <v>141830.84999999998</v>
      </c>
    </row>
    <row r="25" spans="1:4">
      <c r="B25">
        <f>B23-'数据-基础表'!AT16-64.04-65.93-246.65-247.07</f>
        <v>116204.73999999999</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0" sqref="M30"/>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58598.03</v>
      </c>
      <c r="B3" s="11">
        <f>IF(C3="否",G5-AT5,G5)</f>
        <v>135125.56999999998</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141830.84999999998</v>
      </c>
      <c r="H5" s="13">
        <f t="shared" ref="H5:AT5" si="0">SUM(H13:H656)</f>
        <v>131681.74</v>
      </c>
      <c r="I5" s="13">
        <f t="shared" si="0"/>
        <v>116204.73999999999</v>
      </c>
      <c r="J5" s="13">
        <f t="shared" si="0"/>
        <v>0</v>
      </c>
      <c r="K5" s="13">
        <f t="shared" si="0"/>
        <v>15359.769999999999</v>
      </c>
      <c r="L5" s="13">
        <f t="shared" si="0"/>
        <v>0</v>
      </c>
      <c r="M5" s="13">
        <f t="shared" si="0"/>
        <v>117.23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3443.83</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3443.83</v>
      </c>
      <c r="AO5" s="13">
        <f t="shared" si="0"/>
        <v>0</v>
      </c>
      <c r="AP5" s="13">
        <f t="shared" si="0"/>
        <v>0</v>
      </c>
      <c r="AQ5" s="13">
        <f t="shared" si="0"/>
        <v>0</v>
      </c>
      <c r="AR5" s="13">
        <f t="shared" si="0"/>
        <v>0</v>
      </c>
      <c r="AS5" s="13">
        <f t="shared" si="0"/>
        <v>0</v>
      </c>
      <c r="AT5" s="13">
        <f t="shared" si="0"/>
        <v>6705.2800000000007</v>
      </c>
      <c r="AU5" s="1341"/>
      <c r="AV5" s="12" t="s">
        <v>1071</v>
      </c>
      <c r="AW5" s="1342"/>
      <c r="AX5" s="1342"/>
      <c r="AY5" s="14" t="s">
        <v>2</v>
      </c>
      <c r="AZ5" s="15">
        <f t="shared" ref="AZ5:BT5" si="1">SUM(AZ13:AZ656)</f>
        <v>135125.56999999998</v>
      </c>
      <c r="BA5" s="15">
        <f t="shared" si="1"/>
        <v>131681.74</v>
      </c>
      <c r="BB5" s="15">
        <f t="shared" si="1"/>
        <v>116204.73999999999</v>
      </c>
      <c r="BC5" s="15">
        <f t="shared" si="1"/>
        <v>15359.769999999999</v>
      </c>
      <c r="BD5" s="15">
        <f t="shared" si="1"/>
        <v>117.23</v>
      </c>
      <c r="BE5" s="15">
        <f t="shared" si="1"/>
        <v>0</v>
      </c>
      <c r="BF5" s="15">
        <f t="shared" si="1"/>
        <v>0</v>
      </c>
      <c r="BG5" s="15">
        <f t="shared" si="1"/>
        <v>0</v>
      </c>
      <c r="BH5" s="15">
        <f t="shared" si="1"/>
        <v>0</v>
      </c>
      <c r="BI5" s="15">
        <f t="shared" si="1"/>
        <v>0</v>
      </c>
      <c r="BJ5" s="15">
        <f t="shared" si="1"/>
        <v>0</v>
      </c>
      <c r="BK5" s="15">
        <f t="shared" si="1"/>
        <v>0</v>
      </c>
      <c r="BL5" s="15">
        <f t="shared" si="1"/>
        <v>3443.83</v>
      </c>
      <c r="BM5" s="15">
        <f t="shared" si="1"/>
        <v>0</v>
      </c>
      <c r="BN5" s="15">
        <f t="shared" si="1"/>
        <v>0</v>
      </c>
      <c r="BO5" s="15">
        <f t="shared" si="1"/>
        <v>0</v>
      </c>
      <c r="BP5" s="15">
        <f t="shared" si="1"/>
        <v>0</v>
      </c>
      <c r="BQ5" s="15">
        <f t="shared" si="1"/>
        <v>0</v>
      </c>
      <c r="BR5" s="15">
        <f t="shared" si="1"/>
        <v>3443.83</v>
      </c>
      <c r="BS5" s="15">
        <f t="shared" si="1"/>
        <v>0</v>
      </c>
      <c r="BT5" s="16">
        <f t="shared" si="1"/>
        <v>0</v>
      </c>
    </row>
    <row r="6" spans="1:72" s="1584" customFormat="1" ht="12.75">
      <c r="A6" s="12" t="s">
        <v>1072</v>
      </c>
      <c r="B6" s="1581"/>
      <c r="C6" s="1581"/>
      <c r="D6" s="1582"/>
      <c r="E6" s="13">
        <f>H6+AC6+AT6</f>
        <v>58598.04</v>
      </c>
      <c r="F6" s="13" t="s">
        <v>0</v>
      </c>
      <c r="G6" s="13" t="s">
        <v>1</v>
      </c>
      <c r="H6" s="17">
        <f>SUMIF(I$12:AB$12,"总值",I6:AB6)</f>
        <v>57104.6</v>
      </c>
      <c r="I6" s="13">
        <f t="shared" ref="I6:AB6" si="2">ROUND($A$3*I5/$B$3,2)</f>
        <v>50392.9</v>
      </c>
      <c r="J6" s="13">
        <f t="shared" si="2"/>
        <v>0</v>
      </c>
      <c r="K6" s="13">
        <f t="shared" si="2"/>
        <v>6660.86</v>
      </c>
      <c r="L6" s="13">
        <f t="shared" si="2"/>
        <v>0</v>
      </c>
      <c r="M6" s="13">
        <f t="shared" si="2"/>
        <v>50.84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1493.44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1493.44</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58598.03</v>
      </c>
      <c r="AZ6" s="13" t="s">
        <v>2</v>
      </c>
      <c r="BA6" s="13">
        <f>ROUND($AY$6*BA5/$AZ$5,2)</f>
        <v>57104.59</v>
      </c>
      <c r="BB6" s="13">
        <f>ROUND($AY$6*BB5/$AZ$5,2)</f>
        <v>50392.9</v>
      </c>
      <c r="BC6" s="13">
        <f t="shared" ref="BC6:BH6" si="4">ROUND($AY$6*BC5/$AZ$5,2)</f>
        <v>6660.86</v>
      </c>
      <c r="BD6" s="13">
        <f t="shared" si="4"/>
        <v>50.84</v>
      </c>
      <c r="BE6" s="13">
        <f t="shared" si="4"/>
        <v>0</v>
      </c>
      <c r="BF6" s="13">
        <f t="shared" si="4"/>
        <v>0</v>
      </c>
      <c r="BG6" s="13">
        <f t="shared" si="4"/>
        <v>0</v>
      </c>
      <c r="BH6" s="13">
        <f t="shared" si="4"/>
        <v>0</v>
      </c>
      <c r="BI6" s="13">
        <f t="shared" ref="BI6:BT6" si="5">ROUND($AY$6*BI5/$AZ$5,2)</f>
        <v>0</v>
      </c>
      <c r="BJ6" s="13">
        <f t="shared" si="5"/>
        <v>0</v>
      </c>
      <c r="BK6" s="13">
        <f t="shared" si="5"/>
        <v>0</v>
      </c>
      <c r="BL6" s="13">
        <f t="shared" si="5"/>
        <v>1493.44</v>
      </c>
      <c r="BM6" s="13">
        <f t="shared" si="5"/>
        <v>0</v>
      </c>
      <c r="BN6" s="13">
        <f t="shared" si="5"/>
        <v>0</v>
      </c>
      <c r="BO6" s="13">
        <f t="shared" si="5"/>
        <v>0</v>
      </c>
      <c r="BP6" s="13">
        <f t="shared" si="5"/>
        <v>0</v>
      </c>
      <c r="BQ6" s="13">
        <f t="shared" si="5"/>
        <v>0</v>
      </c>
      <c r="BR6" s="13">
        <f t="shared" si="5"/>
        <v>1493.44</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3382</v>
      </c>
      <c r="J9" s="804"/>
      <c r="K9" s="1598" t="s">
        <v>3413</v>
      </c>
      <c r="L9" s="804"/>
      <c r="M9" s="1598" t="s">
        <v>3413</v>
      </c>
      <c r="N9" s="804"/>
      <c r="O9" s="1598"/>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3</v>
      </c>
      <c r="J10" s="804"/>
      <c r="K10" s="1604" t="s">
        <v>3</v>
      </c>
      <c r="L10" s="804"/>
      <c r="M10" s="1604" t="s">
        <v>3</v>
      </c>
      <c r="N10" s="804"/>
      <c r="O10" s="1604"/>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t="s">
        <v>3334</v>
      </c>
      <c r="L11" s="1610"/>
      <c r="M11" s="1609" t="s">
        <v>3431</v>
      </c>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工业</v>
      </c>
      <c r="BC11" s="1594" t="str">
        <f>K10</f>
        <v>工业</v>
      </c>
      <c r="BD11" s="1594" t="str">
        <f>M10</f>
        <v>工业</v>
      </c>
      <c r="BE11" s="1594">
        <f>O10</f>
        <v>0</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t="str">
        <f>K11</f>
        <v>车库</v>
      </c>
      <c r="BD12" s="1619" t="str">
        <f>M11</f>
        <v>戊类库房</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t="s">
        <v>3425</v>
      </c>
      <c r="B13" s="1046"/>
      <c r="C13" s="1046" t="s">
        <v>3426</v>
      </c>
      <c r="D13" s="1620" t="s">
        <v>3381</v>
      </c>
      <c r="E13" s="13">
        <f>IF($C$3="是",ROUND($A$3*G13/$B$3,2),ROUND($A$3*(G13-AT13)/$B$3,2))</f>
        <v>14093.51</v>
      </c>
      <c r="F13" s="29"/>
      <c r="G13" s="30">
        <f>H13+AC13+AT13</f>
        <v>32499.279999999999</v>
      </c>
      <c r="H13" s="17">
        <f>SUMIF(I$12:AB$12,"总值",I13:AB13)</f>
        <v>32499.279999999999</v>
      </c>
      <c r="I13" s="1621">
        <v>32499.279999999999</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t="str">
        <f t="shared" ref="AV13:AX17" si="6">A13</f>
        <v>5/-1</v>
      </c>
      <c r="AW13" s="8">
        <f t="shared" si="6"/>
        <v>0</v>
      </c>
      <c r="AX13" s="8" t="str">
        <f t="shared" si="6"/>
        <v>1#</v>
      </c>
      <c r="AY13" s="1344">
        <f>ROUND($AY$6*AZ13/$AZ$5,2)</f>
        <v>14093.51</v>
      </c>
      <c r="AZ13" s="13">
        <f>BA13+BL13</f>
        <v>32499.279999999999</v>
      </c>
      <c r="BA13" s="13">
        <f>SUM(BB13:BK13)</f>
        <v>32499.279999999999</v>
      </c>
      <c r="BB13" s="13">
        <f>IF($D13="是",I13-J13,0)</f>
        <v>32499.279999999999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t="s">
        <v>3425</v>
      </c>
      <c r="B14" s="1046"/>
      <c r="C14" s="1565" t="s">
        <v>3427</v>
      </c>
      <c r="D14" s="1620" t="s">
        <v>3381</v>
      </c>
      <c r="E14" s="13">
        <f>IF($C$3="是",ROUND($A$3*G14/$B$3,2),ROUND($A$3*(G14-AT14)/$B$3,2))</f>
        <v>14100.31</v>
      </c>
      <c r="F14" s="29"/>
      <c r="G14" s="30">
        <f>H14+AC14+AT14</f>
        <v>32514.959999999999</v>
      </c>
      <c r="H14" s="17">
        <f>SUMIF(I$12:AB$12,"总值",I14:AB14)</f>
        <v>32514.959999999999</v>
      </c>
      <c r="I14" s="1621">
        <v>32514.959999999999</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t="str">
        <f t="shared" si="6"/>
        <v>5/-1</v>
      </c>
      <c r="AW14" s="8">
        <f t="shared" si="6"/>
        <v>0</v>
      </c>
      <c r="AX14" s="8" t="str">
        <f t="shared" si="6"/>
        <v>2#</v>
      </c>
      <c r="AY14" s="1344">
        <f>ROUND($AY$6*AZ14/$AZ$5,2)</f>
        <v>14100.31</v>
      </c>
      <c r="AZ14" s="13">
        <f>BA14+BL14</f>
        <v>32514.959999999999</v>
      </c>
      <c r="BA14" s="13">
        <f>SUM(BB14:BK14)</f>
        <v>32514.959999999999</v>
      </c>
      <c r="BB14" s="13">
        <f>IF($D14="是",I14-J14,0)</f>
        <v>32514.959999999999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1565" t="s">
        <v>3428</v>
      </c>
      <c r="D15" s="1620" t="s">
        <v>3381</v>
      </c>
      <c r="E15" s="13">
        <f>IF($C$3="是",ROUND($A$3*G15/$B$3,2),ROUND($A$3*(G15-AT15)/$B$3,2))</f>
        <v>10854.3</v>
      </c>
      <c r="F15" s="29"/>
      <c r="G15" s="30">
        <f>H15+AC15+AT15</f>
        <v>25029.75</v>
      </c>
      <c r="H15" s="17">
        <f>SUMIF(I$12:AB$12,"总值",I15:AB15)</f>
        <v>25029.75</v>
      </c>
      <c r="I15" s="1621">
        <v>25029.75</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3#</v>
      </c>
      <c r="AY15" s="1344">
        <f>ROUND($AY$6*AZ15/$AZ$5,2)</f>
        <v>10854.3</v>
      </c>
      <c r="AZ15" s="13">
        <f>BA15+BL15</f>
        <v>25029.75</v>
      </c>
      <c r="BA15" s="13">
        <f>SUM(BB15:BK15)</f>
        <v>25029.75</v>
      </c>
      <c r="BB15" s="13">
        <f>IF($D15="是",I15-J15,0)</f>
        <v>25029.75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t="s">
        <v>3429</v>
      </c>
      <c r="D16" s="1620" t="s">
        <v>3381</v>
      </c>
      <c r="E16" s="13">
        <f>IF($C$3="是",ROUND($A$3*G16/$B$3,2),ROUND($A$3*(G16-AT16)/$B$3,2))</f>
        <v>10831.24</v>
      </c>
      <c r="F16" s="29"/>
      <c r="G16" s="30">
        <f>H16+AC16+AT16</f>
        <v>24986.17</v>
      </c>
      <c r="H16" s="17">
        <f>SUMIF(I$12:AB$12,"总值",I16:AB16)</f>
        <v>24976.57</v>
      </c>
      <c r="I16" s="1621">
        <f>24986.17-9.6</f>
        <v>24976.57</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v>9.6</v>
      </c>
      <c r="AU16" s="1624"/>
      <c r="AV16" s="8">
        <f t="shared" si="6"/>
        <v>0</v>
      </c>
      <c r="AW16" s="8">
        <f t="shared" si="6"/>
        <v>0</v>
      </c>
      <c r="AX16" s="8" t="str">
        <f t="shared" si="6"/>
        <v>4#</v>
      </c>
      <c r="AY16" s="1344">
        <f>ROUND($AY$6*AZ16/$AZ$5,2)</f>
        <v>10831.24</v>
      </c>
      <c r="AZ16" s="13">
        <f>BA16+BL16</f>
        <v>24976.57</v>
      </c>
      <c r="BA16" s="13">
        <f>SUM(BB16:BK16)</f>
        <v>24976.57</v>
      </c>
      <c r="BB16" s="13">
        <f>IF($D16="是",I16-J16,0)</f>
        <v>24976.57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3468" t="s">
        <v>3430</v>
      </c>
      <c r="D17" s="1620" t="s">
        <v>3381</v>
      </c>
      <c r="E17" s="13">
        <f>IF($C$3="是",ROUND($A$3*G17/$B$3,2),ROUND($A$3*(G17-AT17)/$B$3,2))</f>
        <v>8205.1299999999992</v>
      </c>
      <c r="F17" s="29"/>
      <c r="G17" s="30">
        <f>H17+AC17+AT17</f>
        <v>25616.51</v>
      </c>
      <c r="H17" s="17">
        <f>SUMIF(I$12:AB$12,"总值",I17:AB17)</f>
        <v>15476.999999999998</v>
      </c>
      <c r="I17" s="1621"/>
      <c r="J17" s="1621"/>
      <c r="K17" s="1621">
        <f>21431.76-5987.5-84.49</f>
        <v>15359.769999999999</v>
      </c>
      <c r="L17" s="1621"/>
      <c r="M17" s="1621">
        <v>117.23</v>
      </c>
      <c r="N17" s="1621"/>
      <c r="O17" s="1621"/>
      <c r="P17" s="1621"/>
      <c r="Q17" s="1621"/>
      <c r="R17" s="1621"/>
      <c r="S17" s="1621"/>
      <c r="T17" s="1621"/>
      <c r="U17" s="1621"/>
      <c r="V17" s="1621"/>
      <c r="W17" s="1621"/>
      <c r="X17" s="1621"/>
      <c r="Y17" s="1621"/>
      <c r="Z17" s="1621"/>
      <c r="AA17" s="1621"/>
      <c r="AB17" s="1621"/>
      <c r="AC17" s="13">
        <f>SUMIF(AD$12:AS$12,"总值",AD17:AS17)</f>
        <v>3443.83</v>
      </c>
      <c r="AD17" s="1622"/>
      <c r="AE17" s="1622"/>
      <c r="AF17" s="1622"/>
      <c r="AG17" s="1622"/>
      <c r="AH17" s="1622"/>
      <c r="AI17" s="1622"/>
      <c r="AJ17" s="1622"/>
      <c r="AK17" s="1622"/>
      <c r="AL17" s="1622"/>
      <c r="AM17" s="1622"/>
      <c r="AN17" s="1622">
        <f>3443.83</f>
        <v>3443.83</v>
      </c>
      <c r="AO17" s="1622"/>
      <c r="AP17" s="1622"/>
      <c r="AQ17" s="1622"/>
      <c r="AR17" s="1622"/>
      <c r="AS17" s="1622"/>
      <c r="AT17" s="1623">
        <f>64.04+65.93+246.65+247.07+5987.5+84.49</f>
        <v>6695.68</v>
      </c>
      <c r="AU17" s="1624"/>
      <c r="AV17" s="8">
        <f t="shared" si="6"/>
        <v>0</v>
      </c>
      <c r="AW17" s="8">
        <f t="shared" si="6"/>
        <v>0</v>
      </c>
      <c r="AX17" s="8" t="str">
        <f t="shared" si="6"/>
        <v>地下车库</v>
      </c>
      <c r="AY17" s="1344">
        <f>ROUND($AY$6*AZ17/$AZ$5,2)</f>
        <v>8205.1299999999992</v>
      </c>
      <c r="AZ17" s="13">
        <f>BA17+BL17</f>
        <v>18920.829999999998</v>
      </c>
      <c r="BA17" s="13">
        <f>SUM(BB17:BK17)</f>
        <v>15476.999999999998</v>
      </c>
      <c r="BB17" s="13">
        <f>IF($D17="是",I17-J17,0)</f>
        <v>0</v>
      </c>
      <c r="BC17" s="13">
        <f>IF($D17="是",K17-L17,0)</f>
        <v>15359.769999999999</v>
      </c>
      <c r="BD17" s="13">
        <f>IF($D17="是",M17-N17,0)</f>
        <v>117.23</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3443.83</v>
      </c>
      <c r="BM17" s="13">
        <f>IF($D17="是",AD17-AE17,0)</f>
        <v>0</v>
      </c>
      <c r="BN17" s="13">
        <f>IF($D17="是",AF17-AG17,0)</f>
        <v>0</v>
      </c>
      <c r="BO17" s="13">
        <f>IF($D17="是",AH17-AI17,0)</f>
        <v>0</v>
      </c>
      <c r="BP17" s="13">
        <f>IF($D17="是",AJ17-AK17,0)</f>
        <v>0</v>
      </c>
      <c r="BQ17" s="13">
        <f>IF($D17="是",AL17-AM17,0)</f>
        <v>0</v>
      </c>
      <c r="BR17" s="13">
        <f>IF($D17="是",AN17-AO17,0)</f>
        <v>3443.83</v>
      </c>
      <c r="BS17" s="13">
        <f>IF($D17="是",AP17-AQ17,0)</f>
        <v>0</v>
      </c>
      <c r="BT17" s="19">
        <f>IF($D17="是",AR17-AS17,0)</f>
        <v>0</v>
      </c>
    </row>
    <row r="18" spans="1:72">
      <c r="A18" s="6"/>
      <c r="B18" s="31"/>
      <c r="C18" s="31" t="s">
        <v>3554</v>
      </c>
      <c r="D18" s="1620" t="s">
        <v>3381</v>
      </c>
      <c r="E18" s="32">
        <f t="shared" ref="E18:E112" si="7">IF($C$3="是",ROUND($A$3*G18/$B$3,2),ROUND($A$3*(G18-AT18)/$B$3,2))</f>
        <v>487.66</v>
      </c>
      <c r="F18" s="33"/>
      <c r="G18" s="34">
        <f t="shared" ref="G18:G109" si="8">H18+AC18+AT18</f>
        <v>1124.54</v>
      </c>
      <c r="H18" s="35">
        <f t="shared" ref="H18:H109" si="9">SUMIF(I$12:AB$12,"总值",I18:AB18)</f>
        <v>1124.54</v>
      </c>
      <c r="I18" s="36">
        <v>1124.54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5#</v>
      </c>
      <c r="AY18" s="39">
        <f t="shared" ref="AY18:AY109" si="14">ROUND($AY$6*AZ18/$AZ$5,2)</f>
        <v>487.66</v>
      </c>
      <c r="AZ18" s="32">
        <f t="shared" ref="AZ18:AZ109" si="15">BA18+BL18</f>
        <v>1124.54</v>
      </c>
      <c r="BA18" s="32">
        <f t="shared" ref="BA18:BA109" si="16">SUM(BB18:BK18)</f>
        <v>1124.54</v>
      </c>
      <c r="BB18" s="32">
        <f t="shared" ref="BB18:BB109" si="17">IF($D18="是",I18-J18,0)</f>
        <v>1124.54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3555</v>
      </c>
      <c r="D19" s="1620" t="s">
        <v>3381</v>
      </c>
      <c r="E19" s="32">
        <f t="shared" si="7"/>
        <v>23.9</v>
      </c>
      <c r="F19" s="33"/>
      <c r="G19" s="34">
        <f t="shared" si="8"/>
        <v>55.12</v>
      </c>
      <c r="H19" s="35">
        <f t="shared" si="9"/>
        <v>55.12</v>
      </c>
      <c r="I19" s="36">
        <v>55.12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10#</v>
      </c>
      <c r="AY19" s="39">
        <f t="shared" si="14"/>
        <v>23.9</v>
      </c>
      <c r="AZ19" s="32">
        <f t="shared" si="15"/>
        <v>55.12</v>
      </c>
      <c r="BA19" s="32">
        <f t="shared" si="16"/>
        <v>55.12</v>
      </c>
      <c r="BB19" s="32">
        <f t="shared" si="17"/>
        <v>55.12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3556</v>
      </c>
      <c r="D20" s="1620" t="s">
        <v>3381</v>
      </c>
      <c r="E20" s="32">
        <f t="shared" si="7"/>
        <v>1.96</v>
      </c>
      <c r="F20" s="33"/>
      <c r="G20" s="34">
        <f t="shared" si="8"/>
        <v>4.5199999999999996</v>
      </c>
      <c r="H20" s="35">
        <f t="shared" si="9"/>
        <v>4.5199999999999996</v>
      </c>
      <c r="I20" s="36">
        <v>4.5199999999999996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11#</v>
      </c>
      <c r="AY20" s="39">
        <f t="shared" si="14"/>
        <v>1.96</v>
      </c>
      <c r="AZ20" s="32">
        <f t="shared" si="15"/>
        <v>4.5199999999999996</v>
      </c>
      <c r="BA20" s="32">
        <f t="shared" si="16"/>
        <v>4.5199999999999996</v>
      </c>
      <c r="BB20" s="32">
        <f t="shared" si="17"/>
        <v>4.5199999999999996</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8" sqref="I48"/>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3"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594" t="s">
        <v>1131</v>
      </c>
      <c r="B2" s="3594"/>
      <c r="C2" s="3594"/>
      <c r="D2" s="791" t="s">
        <v>1107</v>
      </c>
      <c r="E2" s="1634" t="s">
        <v>1108</v>
      </c>
      <c r="F2" s="2653"/>
      <c r="G2" s="2644"/>
      <c r="H2" s="2645"/>
      <c r="I2" s="2319" t="s">
        <v>1132</v>
      </c>
      <c r="J2" s="2653"/>
      <c r="K2" s="2653"/>
      <c r="L2" s="2653"/>
      <c r="M2" s="2653"/>
      <c r="N2" s="2655"/>
      <c r="O2" s="2653"/>
      <c r="P2" s="2653"/>
    </row>
    <row r="3" spans="1:16" ht="15.75" thickBot="1">
      <c r="A3" s="3595" t="s">
        <v>1105</v>
      </c>
      <c r="B3" s="3595"/>
      <c r="C3" s="3595"/>
      <c r="D3" s="43">
        <f>'数据-基础表'!AY6</f>
        <v>58598.03</v>
      </c>
      <c r="E3" s="43">
        <f>'数据-基础表'!AZ5</f>
        <v>135125.56999999998</v>
      </c>
      <c r="F3" s="2653"/>
      <c r="G3" s="1140"/>
      <c r="H3" s="1021" t="s">
        <v>1106</v>
      </c>
      <c r="I3" s="850">
        <f>ROUND('数据-基础表'!B3/'数据-基础表'!A3,2)</f>
        <v>2.31</v>
      </c>
      <c r="J3" s="2653"/>
      <c r="K3" s="2653"/>
      <c r="L3" s="2653"/>
      <c r="M3" s="2653"/>
      <c r="N3" s="2655"/>
      <c r="O3" s="2653"/>
      <c r="P3" s="2653"/>
    </row>
    <row r="4" spans="1:16" ht="15">
      <c r="A4" s="3596"/>
      <c r="B4" s="3597"/>
      <c r="C4" s="3598"/>
      <c r="D4" s="1636" t="s">
        <v>1107</v>
      </c>
      <c r="E4" s="1637" t="s">
        <v>1108</v>
      </c>
      <c r="F4" s="2653"/>
      <c r="G4" s="2646" t="s">
        <v>1133</v>
      </c>
      <c r="H4" s="1021" t="s">
        <v>1113</v>
      </c>
      <c r="I4" s="850">
        <f>ROUND(SUMIF('数据-基础表'!I9:AS9,"地上",'数据-基础表'!I5:AS5)/'数据-基础表'!A3,2)</f>
        <v>1.98</v>
      </c>
      <c r="J4" s="2653"/>
      <c r="K4" s="2653"/>
      <c r="L4" s="2653"/>
      <c r="M4" s="2653"/>
      <c r="N4" s="2655"/>
      <c r="O4" s="2653"/>
      <c r="P4" s="2653"/>
    </row>
    <row r="5" spans="1:16">
      <c r="A5" s="44" t="s">
        <v>1109</v>
      </c>
      <c r="B5" s="3599" t="s">
        <v>1110</v>
      </c>
      <c r="C5" s="3599"/>
      <c r="D5" s="45">
        <f>ROUND($D$3*E5/$E$3,2)</f>
        <v>0</v>
      </c>
      <c r="E5" s="46">
        <f>SUMIF('数据-基础表'!$11:$11,"住宅",'数据-基础表'!$5:$5)</f>
        <v>0</v>
      </c>
      <c r="F5" s="2653"/>
      <c r="G5" s="1140"/>
      <c r="H5" s="1021" t="s">
        <v>1106</v>
      </c>
      <c r="I5" s="850">
        <f>ROUND(E31/D31,2)</f>
        <v>2.31</v>
      </c>
      <c r="J5" s="2653"/>
      <c r="K5" s="2653"/>
      <c r="L5" s="2653"/>
      <c r="M5" s="2653"/>
      <c r="N5" s="2653"/>
      <c r="O5" s="2653"/>
      <c r="P5" s="2653"/>
    </row>
    <row r="6" spans="1:16" ht="15" thickBot="1">
      <c r="A6" s="1639"/>
      <c r="B6" s="3599" t="s">
        <v>1111</v>
      </c>
      <c r="C6" s="3599"/>
      <c r="D6" s="45">
        <f>ROUND($D$3*E6/$E$3,2)</f>
        <v>58598.03</v>
      </c>
      <c r="E6" s="46">
        <f>E3-E5</f>
        <v>135125.56999999998</v>
      </c>
      <c r="F6" s="2653"/>
      <c r="G6" s="2647" t="s">
        <v>1112</v>
      </c>
      <c r="H6" s="1141" t="s">
        <v>1113</v>
      </c>
      <c r="I6" s="2648">
        <f>ROUND(F31/D31,2)</f>
        <v>1.98</v>
      </c>
      <c r="J6" s="2653"/>
      <c r="K6" s="2653"/>
      <c r="L6" s="2653"/>
      <c r="M6" s="2653"/>
      <c r="N6" s="2653"/>
      <c r="O6" s="2653"/>
      <c r="P6" s="2653"/>
    </row>
    <row r="7" spans="1:16" ht="15.75" thickBot="1">
      <c r="A7" s="3591"/>
      <c r="B7" s="3592"/>
      <c r="C7" s="3593"/>
      <c r="D7" s="1636" t="s">
        <v>1107</v>
      </c>
      <c r="E7" s="1640" t="s">
        <v>1114</v>
      </c>
      <c r="F7" s="2653"/>
      <c r="G7" s="2649" t="s">
        <v>1115</v>
      </c>
      <c r="H7" s="2650"/>
      <c r="I7" s="2651">
        <f>ROUND(面积表!B23/'数据-基础表'!A3,2)</f>
        <v>1.99</v>
      </c>
      <c r="J7" s="2653"/>
      <c r="K7" s="2653"/>
      <c r="L7" s="2653"/>
      <c r="M7" s="2653"/>
      <c r="N7" s="2653"/>
      <c r="O7" s="2653"/>
      <c r="P7" s="2653"/>
    </row>
    <row r="8" spans="1:16">
      <c r="A8" s="44" t="s">
        <v>1116</v>
      </c>
      <c r="B8" s="47" t="s">
        <v>1117</v>
      </c>
      <c r="C8" s="45" t="s">
        <v>1118</v>
      </c>
      <c r="D8" s="45">
        <f t="shared" ref="D8:D15" si="0">ROUND($D$3*E8/$E$3,2)</f>
        <v>50392.9</v>
      </c>
      <c r="E8" s="48">
        <f>SUMIF('数据-基础表'!BB10:BK10,"地上",'数据-基础表'!BB5:BK5)</f>
        <v>116204.73999999999</v>
      </c>
      <c r="F8" s="2653"/>
      <c r="G8" s="2654"/>
      <c r="H8" s="2654"/>
      <c r="I8" s="2653"/>
      <c r="J8" s="2653"/>
      <c r="K8" s="2653"/>
      <c r="L8" s="2653"/>
      <c r="M8" s="2653"/>
      <c r="N8" s="2653"/>
      <c r="O8" s="2653"/>
      <c r="P8" s="2653"/>
    </row>
    <row r="9" spans="1:16">
      <c r="A9" s="1641"/>
      <c r="B9" s="1642"/>
      <c r="C9" s="45" t="s">
        <v>1119</v>
      </c>
      <c r="D9" s="45">
        <f t="shared" si="0"/>
        <v>0</v>
      </c>
      <c r="E9" s="49">
        <v>0</v>
      </c>
      <c r="F9" s="2653"/>
      <c r="G9" s="2654"/>
      <c r="H9" s="2654"/>
      <c r="I9" s="2653"/>
      <c r="J9" s="2653"/>
      <c r="K9" s="2653"/>
      <c r="L9" s="2653"/>
      <c r="M9" s="2653"/>
      <c r="N9" s="2653"/>
      <c r="O9" s="2653"/>
      <c r="P9" s="2653"/>
    </row>
    <row r="10" spans="1:16">
      <c r="A10" s="1641"/>
      <c r="B10" s="1642"/>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1"/>
      <c r="B11" s="1642"/>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1"/>
      <c r="B12" s="1642"/>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1"/>
      <c r="B13" s="1642"/>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1"/>
      <c r="B14" s="1642"/>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1"/>
      <c r="B15" s="1642"/>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9"/>
      <c r="B16" s="1642"/>
      <c r="C16" s="47" t="s">
        <v>1123</v>
      </c>
      <c r="D16" s="47">
        <f>SUM(D8:D15)</f>
        <v>50392.9</v>
      </c>
      <c r="E16" s="50">
        <f>SUM(E8:E15)</f>
        <v>116204.73999999999</v>
      </c>
      <c r="F16" s="2653"/>
      <c r="G16" s="2654"/>
      <c r="H16" s="1643" t="s">
        <v>1135</v>
      </c>
      <c r="I16" s="1644"/>
      <c r="J16" s="1134"/>
      <c r="K16" s="3588" t="s">
        <v>1135</v>
      </c>
      <c r="L16" s="3589"/>
      <c r="M16" s="3589"/>
      <c r="N16" s="3589"/>
      <c r="O16" s="3589"/>
      <c r="P16" s="3590"/>
    </row>
    <row r="17" spans="1:19" ht="15">
      <c r="A17" s="1645" t="s">
        <v>1136</v>
      </c>
      <c r="B17" s="1646" t="s">
        <v>1137</v>
      </c>
      <c r="C17" s="1647" t="s">
        <v>1138</v>
      </c>
      <c r="D17" s="1648" t="s">
        <v>1126</v>
      </c>
      <c r="E17" s="1649" t="s">
        <v>1127</v>
      </c>
      <c r="F17" s="1650"/>
      <c r="G17" s="1651"/>
      <c r="H17" s="1652" t="s">
        <v>1139</v>
      </c>
      <c r="I17" s="1653" t="s">
        <v>1124</v>
      </c>
      <c r="J17" s="1134"/>
      <c r="K17" s="3585" t="s">
        <v>1140</v>
      </c>
      <c r="L17" s="3586"/>
      <c r="M17" s="3587"/>
      <c r="N17" s="3585" t="s">
        <v>1141</v>
      </c>
      <c r="O17" s="3586"/>
      <c r="P17" s="3587"/>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0" t="s">
        <v>3432</v>
      </c>
      <c r="D19" s="45">
        <f>ROUND($D$3*E19/$E$3,2)</f>
        <v>57104.59</v>
      </c>
      <c r="E19" s="53">
        <f t="shared" ref="E19:E26" si="1">SUM(F19:G19)</f>
        <v>131681.74</v>
      </c>
      <c r="F19" s="2788">
        <f>'数据-基础表'!I5</f>
        <v>116204.73999999999</v>
      </c>
      <c r="G19" s="2789">
        <f>'数据-基础表'!K5+'数据-基础表'!M5</f>
        <v>15476.999999999998</v>
      </c>
      <c r="H19" s="668">
        <f>ROUND($D$3*I19/$E$3,2)</f>
        <v>1493.44</v>
      </c>
      <c r="I19" s="48">
        <f t="shared" ref="I19:I26" si="2">IF($I$17="自定义",P19,M19)</f>
        <v>3443.83</v>
      </c>
      <c r="J19" s="1134"/>
      <c r="K19" s="1133">
        <f t="shared" ref="K19:K26" si="3">ROUND(E$28*E19/E$27,2)</f>
        <v>3443.83</v>
      </c>
      <c r="L19" s="1021">
        <f t="shared" ref="L19:L26" si="4">ROUND(IF(COUNTIF(C19,"*住宅*")&gt;0,E$29*E19/E$32,0),2)</f>
        <v>0</v>
      </c>
      <c r="M19" s="1145">
        <f>K19+L19</f>
        <v>3443.83</v>
      </c>
      <c r="N19" s="1663"/>
      <c r="O19" s="1664"/>
      <c r="P19" s="1145">
        <f>N19+O19</f>
        <v>0</v>
      </c>
      <c r="R19" s="1021">
        <f t="shared" ref="R19:S26" si="5">D19+H19</f>
        <v>58598.03</v>
      </c>
      <c r="S19" s="1022">
        <f t="shared" si="5"/>
        <v>135125.56999999998</v>
      </c>
    </row>
    <row r="20" spans="1:19">
      <c r="A20" s="1665"/>
      <c r="B20" s="47" t="s">
        <v>1153</v>
      </c>
      <c r="C20" s="3410"/>
      <c r="D20" s="45">
        <f t="shared" ref="D20:D26" si="6">ROUND($D$3*E20/$E$3,2)</f>
        <v>0</v>
      </c>
      <c r="E20" s="53">
        <f t="shared" si="1"/>
        <v>0</v>
      </c>
      <c r="F20" s="2788"/>
      <c r="G20" s="2789"/>
      <c r="H20" s="668">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0</v>
      </c>
    </row>
    <row r="21" spans="1:19">
      <c r="A21" s="1665"/>
      <c r="B21" s="47" t="s">
        <v>1153</v>
      </c>
      <c r="C21" s="3410"/>
      <c r="D21" s="45">
        <f t="shared" si="6"/>
        <v>0</v>
      </c>
      <c r="E21" s="53">
        <f t="shared" si="1"/>
        <v>0</v>
      </c>
      <c r="F21" s="2788"/>
      <c r="G21" s="2789"/>
      <c r="H21" s="668">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1"/>
      <c r="D22" s="45">
        <f t="shared" si="6"/>
        <v>0</v>
      </c>
      <c r="E22" s="53">
        <f t="shared" si="1"/>
        <v>0</v>
      </c>
      <c r="F22" s="2790"/>
      <c r="G22" s="2791"/>
      <c r="H22" s="668">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1"/>
      <c r="D23" s="45">
        <f>ROUND($D$3*E23/$E$3,2)</f>
        <v>0</v>
      </c>
      <c r="E23" s="53">
        <f>SUM(F23:G23)</f>
        <v>0</v>
      </c>
      <c r="F23" s="2790"/>
      <c r="G23" s="2791"/>
      <c r="H23" s="668">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1"/>
      <c r="D24" s="45">
        <f>ROUND($D$3*E24/$E$3,2)</f>
        <v>0</v>
      </c>
      <c r="E24" s="53">
        <f>SUM(F24:G24)</f>
        <v>0</v>
      </c>
      <c r="F24" s="2790"/>
      <c r="G24" s="2791"/>
      <c r="H24" s="668">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1"/>
      <c r="D25" s="45">
        <f t="shared" si="6"/>
        <v>0</v>
      </c>
      <c r="E25" s="53">
        <f t="shared" si="1"/>
        <v>0</v>
      </c>
      <c r="F25" s="2790"/>
      <c r="G25" s="2791"/>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0"/>
      <c r="G26" s="2791"/>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57104.59</v>
      </c>
      <c r="E27" s="1136">
        <f>IF(SUM(E19:E26)='数据-基础表'!BA5,SUM(E19:E26),IF(F27="地上面积有误","面积有误","地下面积有误"))</f>
        <v>131681.74</v>
      </c>
      <c r="F27" s="1135">
        <f>IF(SUM(F19:F26)=E8,SUM(F19:F26),"地上面积有误")</f>
        <v>116204.73999999999</v>
      </c>
      <c r="G27" s="1137">
        <f>SUM(G19:G26)</f>
        <v>15476.999999999998</v>
      </c>
      <c r="H27" s="1138">
        <f>SUM(H19:H26)</f>
        <v>1493.44</v>
      </c>
      <c r="I27" s="1139">
        <f>SUM(I19:I26)</f>
        <v>3443.83</v>
      </c>
      <c r="J27" s="1134"/>
      <c r="K27" s="1142">
        <f>SUM(K19:K26)</f>
        <v>3443.83</v>
      </c>
      <c r="L27" s="1143">
        <f>SUM(L19:L26)</f>
        <v>0</v>
      </c>
      <c r="M27" s="1146">
        <f>SUM(M19:M26)</f>
        <v>3443.83</v>
      </c>
      <c r="N27" s="1142">
        <f t="shared" ref="N27:O27" si="10">SUM(N19:N26)</f>
        <v>0</v>
      </c>
      <c r="O27" s="1143">
        <f t="shared" si="10"/>
        <v>0</v>
      </c>
      <c r="P27" s="1144">
        <f>SUM(P19:P26)</f>
        <v>0</v>
      </c>
      <c r="R27" s="1023">
        <f>IF(SUM(R19:R26)=$D$3,SUM(R19:R26),SUM(R19:R26)&amp;"误差"&amp;ROUND(SUM(R19:R26)-$D$3,2))</f>
        <v>58598.03</v>
      </c>
      <c r="S27" s="1021">
        <f>IF(SUM(S19:S26)=$E$3,SUM(S19:S26),SUM(S19:S26)&amp;"误差"&amp;ROUND(SUM(S19:S26)-E3,2))</f>
        <v>135125.56999999998</v>
      </c>
    </row>
    <row r="28" spans="1:19">
      <c r="A28" s="1665"/>
      <c r="B28" s="47" t="s">
        <v>1155</v>
      </c>
      <c r="C28" s="1033" t="s">
        <v>1156</v>
      </c>
      <c r="D28" s="45">
        <f>ROUND($D$3*E28/$E$3,2)</f>
        <v>1493.44</v>
      </c>
      <c r="E28" s="53">
        <f>SUM(F28:G28)</f>
        <v>3443.83</v>
      </c>
      <c r="F28" s="56">
        <f>'数据-基础表'!BQ5+'数据-基础表'!BS5</f>
        <v>0</v>
      </c>
      <c r="G28" s="57">
        <f>'数据-基础表'!BR5+'数据-基础表'!BT5</f>
        <v>3443.83</v>
      </c>
      <c r="H28" s="2653"/>
      <c r="I28" s="2653"/>
      <c r="J28" s="2653"/>
      <c r="K28" s="2653"/>
      <c r="L28" s="2653"/>
      <c r="M28" s="2653"/>
      <c r="N28" s="2653"/>
      <c r="O28" s="2653"/>
      <c r="P28" s="2653"/>
    </row>
    <row r="29" spans="1:19">
      <c r="A29" s="1665"/>
      <c r="B29" s="47" t="s">
        <v>1155</v>
      </c>
      <c r="C29" s="1669"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5"/>
      <c r="B30" s="47"/>
      <c r="C30" s="1670" t="s">
        <v>1154</v>
      </c>
      <c r="D30" s="1135">
        <f>SUM(D28:D29)</f>
        <v>1493.44</v>
      </c>
      <c r="E30" s="1135">
        <f>SUM(E28:E29)</f>
        <v>3443.83</v>
      </c>
      <c r="F30" s="1135">
        <f>SUM(F28:F29)</f>
        <v>0</v>
      </c>
      <c r="G30" s="1137">
        <f>SUM(G28:G29)</f>
        <v>3443.83</v>
      </c>
      <c r="H30" s="2653"/>
      <c r="I30" s="2653"/>
      <c r="J30" s="2653"/>
      <c r="K30" s="2653"/>
      <c r="L30" s="2653"/>
      <c r="M30" s="2653"/>
      <c r="N30" s="2653"/>
      <c r="O30" s="2653"/>
      <c r="P30" s="2653"/>
    </row>
    <row r="31" spans="1:19" ht="15.75" thickBot="1">
      <c r="A31" s="1671"/>
      <c r="B31" s="1672"/>
      <c r="C31" s="830" t="s">
        <v>1158</v>
      </c>
      <c r="D31" s="674">
        <f>D27+D30</f>
        <v>58598.03</v>
      </c>
      <c r="E31" s="674">
        <f>E27+E30</f>
        <v>135125.56999999998</v>
      </c>
      <c r="F31" s="675">
        <f>F27+F30</f>
        <v>116204.73999999999</v>
      </c>
      <c r="G31" s="676">
        <f>G27+G30</f>
        <v>18920.829999999998</v>
      </c>
      <c r="H31" s="2653"/>
      <c r="I31" s="2653"/>
      <c r="J31" s="2653"/>
      <c r="K31" s="2653"/>
      <c r="L31" s="2653"/>
      <c r="M31" s="2653"/>
      <c r="N31" s="2653"/>
      <c r="O31" s="2653"/>
      <c r="P31" s="2653"/>
    </row>
    <row r="32" spans="1:19">
      <c r="A32" s="1638"/>
      <c r="B32" s="1638" t="s">
        <v>1159</v>
      </c>
      <c r="C32" s="1638"/>
      <c r="D32" s="1638"/>
      <c r="E32" s="1048">
        <f>SUMIF(C19:C26,"*住宅*",E19:E26)</f>
        <v>0</v>
      </c>
      <c r="F32" s="1638"/>
      <c r="G32" s="1638"/>
      <c r="H32" s="2653"/>
      <c r="I32" s="2653"/>
      <c r="J32" s="2653"/>
      <c r="K32" s="2653"/>
      <c r="L32" s="2653"/>
      <c r="M32" s="2653"/>
      <c r="N32" s="2653"/>
      <c r="O32" s="2653"/>
      <c r="P32" s="2653"/>
    </row>
    <row r="33" spans="4:7">
      <c r="D33" s="1673"/>
      <c r="G33" s="1633">
        <f>G31/E31</f>
        <v>0.14002405318253239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2" width="9.5" style="1677" customWidth="1"/>
    <col min="23" max="23" width="11.125" style="1677" customWidth="1"/>
    <col min="24" max="24" width="6.75" style="1677" customWidth="1"/>
    <col min="25" max="25" width="8.75" style="1677" customWidth="1"/>
    <col min="26"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7"/>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4"/>
      <c r="AO1" s="2664"/>
      <c r="AP1" s="2664"/>
      <c r="AQ1" s="2664"/>
      <c r="AR1" s="2664"/>
    </row>
    <row r="2" spans="1:67" s="1554" customFormat="1" ht="15.75" thickBot="1">
      <c r="A2" s="1678" t="s">
        <v>1161</v>
      </c>
      <c r="B2" s="1040">
        <f>项目基本情况!D3</f>
        <v>45392</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6"/>
      <c r="AO2" s="2666"/>
      <c r="AP2" s="2666"/>
      <c r="AQ2" s="2666"/>
      <c r="AR2" s="2666"/>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6"/>
      <c r="AO3" s="2666"/>
      <c r="AP3" s="2666"/>
      <c r="AQ3" s="2666"/>
      <c r="AR3" s="2666"/>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2"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6"/>
      <c r="AO4" s="2666"/>
      <c r="AP4" s="2666"/>
      <c r="AQ4" s="2666"/>
      <c r="AR4" s="2666"/>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3383</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工业</v>
      </c>
      <c r="B6" s="1708" t="str">
        <f>IF(A6=0,"","经营性")</f>
        <v>经营性</v>
      </c>
      <c r="C6" s="1709" t="s">
        <v>3</v>
      </c>
      <c r="D6" s="853">
        <f>SUMIF(项目基本情况!C$12:I$12,C6,项目基本情况!C$14:I$14)</f>
        <v>50</v>
      </c>
      <c r="E6" s="852">
        <f>IF(B6="","",SUMIF(项目基本情况!C$12:I$12,C6,项目基本情况!C$13:I$13))</f>
        <v>60127</v>
      </c>
      <c r="F6" s="64">
        <f>SUMIF(项目基本情况!C$12:I$12,C6,项目基本情况!C$15:I$15)</f>
        <v>40.36</v>
      </c>
      <c r="G6" s="65">
        <f>IF(ISERROR(ROUND(POWER(1+H6,D6-F6)*(POWER(1+H6,F6)-1)/(POWER(1+H6,D6)-1),3)),0,ROUND(POWER(1+H6,D6-F6)*(POWER(1+H6,F6)-1)/(POWER(1+H6,D6)-1),3))</f>
        <v>0.93400000000000005</v>
      </c>
      <c r="H6" s="730">
        <v>4.4999999999999998E-2</v>
      </c>
      <c r="I6" s="3497">
        <v>0.05</v>
      </c>
      <c r="J6" s="3498">
        <v>7.0000000000000007E-2</v>
      </c>
      <c r="K6" s="1025">
        <f>SUMIF('数据-汇总表'!C$19:C$33,A6,'数据-汇总表'!E$19:E$33)</f>
        <v>131681.74</v>
      </c>
      <c r="L6" s="3502">
        <v>5600</v>
      </c>
      <c r="M6" s="67">
        <f t="shared" ref="M6:M14" si="0">ROUND(K6*L6/10000,0)</f>
        <v>73742</v>
      </c>
      <c r="N6" s="729">
        <f>N20</f>
        <v>0.98</v>
      </c>
      <c r="O6" s="67" t="str">
        <f>IF($N$5="成新度","——",ROUND(M6*N6,0))</f>
        <v>——</v>
      </c>
      <c r="P6" s="68" t="str">
        <f>IF($N$5="成新度","——",M6-O6)</f>
        <v>——</v>
      </c>
      <c r="Q6" s="3499">
        <v>0.08</v>
      </c>
      <c r="R6" s="69">
        <f ca="1">SUMIF('数据-汇总表'!C$19:C$33,A6,'数据-汇总表'!R$19:R$27)</f>
        <v>58598.03</v>
      </c>
      <c r="S6" s="51">
        <f>IF('数据-汇总表'!$I$17="按面积比例",SUMIF('数据-汇总表'!C$19:C$33,A6,'数据-汇总表'!K$19:K$33),SUMIF('数据-汇总表'!C$19:C$33,A6,'数据-汇总表'!N$19:N$33))</f>
        <v>3443.83</v>
      </c>
      <c r="T6" s="1167">
        <f>ROUND($L$14*S6/10000,0)</f>
        <v>1929</v>
      </c>
      <c r="U6" s="3442">
        <v>2.2000000000000002</v>
      </c>
      <c r="V6" s="70">
        <v>0.02</v>
      </c>
      <c r="W6" s="70">
        <v>0.05</v>
      </c>
      <c r="X6" s="1035"/>
      <c r="Y6" s="71">
        <f>N6</f>
        <v>0.98</v>
      </c>
      <c r="Z6" s="72"/>
      <c r="AA6" s="66"/>
      <c r="AB6" s="66"/>
      <c r="AC6" s="1035"/>
      <c r="AD6" s="73"/>
      <c r="AE6" s="1036">
        <f ca="1">IF(AN6="",0,SUMIF(INDIRECT("'"&amp;AN6&amp;"'"&amp;"!E:E"),$AE$5,INDIRECT("'"&amp;AN6&amp;"'"&amp;"!F:F")))</f>
        <v>40.36</v>
      </c>
      <c r="AF6" s="1343"/>
      <c r="AG6" s="138">
        <f>IF(AF6="",0,AE6-AF6)</f>
        <v>0</v>
      </c>
      <c r="AH6" s="74">
        <f>'数据-汇总表'!F31</f>
        <v>116204.73999999999</v>
      </c>
      <c r="AI6" s="76">
        <v>365</v>
      </c>
      <c r="AJ6" s="77"/>
      <c r="AK6" s="78">
        <v>4.0000000000000001E-3</v>
      </c>
      <c r="AL6" s="79">
        <v>1E-3</v>
      </c>
      <c r="AM6" s="80">
        <v>4.0000000000000001E-3</v>
      </c>
      <c r="AN6" s="1710" t="s">
        <v>3433</v>
      </c>
      <c r="AO6" s="52">
        <f ca="1">SUMIF(INDIRECT("'"&amp;AN6&amp;"'"&amp;"!A:A"),"总价",INDIRECT("'"&amp;AN6&amp;"'"&amp;"!B:B"))</f>
        <v>159498</v>
      </c>
      <c r="AP6" s="1711">
        <f>IF(C6="住宅",K6*L6,0)</f>
        <v>0</v>
      </c>
      <c r="AQ6" s="52">
        <f>ROUND($L$14*$N$14*S6/10000,0)</f>
        <v>1890</v>
      </c>
      <c r="AR6" s="52">
        <f>ROUND($L$14*(1-$N$14)*S6/10000,0)</f>
        <v>39</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5">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1"/>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8"/>
      <c r="AM7" s="78"/>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30"/>
      <c r="I8" s="730"/>
      <c r="J8" s="66"/>
      <c r="K8" s="1025">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7">
        <f t="shared" si="5"/>
        <v>0</v>
      </c>
      <c r="U8" s="3422"/>
      <c r="V8" s="733"/>
      <c r="W8" s="70"/>
      <c r="X8" s="1035"/>
      <c r="Y8" s="71"/>
      <c r="Z8" s="72"/>
      <c r="AA8" s="66"/>
      <c r="AB8" s="66"/>
      <c r="AC8" s="1035"/>
      <c r="AD8" s="73"/>
      <c r="AE8" s="1036">
        <f t="shared" ca="1" si="6"/>
        <v>0</v>
      </c>
      <c r="AF8" s="1343"/>
      <c r="AG8" s="138">
        <f t="shared" si="7"/>
        <v>0</v>
      </c>
      <c r="AH8" s="734"/>
      <c r="AI8" s="76"/>
      <c r="AJ8" s="77"/>
      <c r="AK8" s="78"/>
      <c r="AL8" s="78"/>
      <c r="AM8" s="78"/>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1"/>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1"/>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1"/>
      <c r="V11" s="66"/>
      <c r="W11" s="66"/>
      <c r="X11" s="1035"/>
      <c r="Y11" s="71"/>
      <c r="Z11" s="84"/>
      <c r="AA11" s="66"/>
      <c r="AB11" s="66"/>
      <c r="AC11" s="1035"/>
      <c r="AD11" s="73"/>
      <c r="AE11" s="1036">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1"/>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3443.83</v>
      </c>
      <c r="L14" s="82">
        <f>L6</f>
        <v>5600</v>
      </c>
      <c r="M14" s="67">
        <f t="shared" si="0"/>
        <v>1929</v>
      </c>
      <c r="N14" s="83">
        <f>N6</f>
        <v>0.98</v>
      </c>
      <c r="O14" s="67" t="str">
        <f t="shared" si="3"/>
        <v>——</v>
      </c>
      <c r="P14" s="68" t="str">
        <f t="shared" si="4"/>
        <v>——</v>
      </c>
      <c r="Q14" s="1028"/>
      <c r="R14" s="69"/>
      <c r="S14" s="51"/>
      <c r="T14" s="1167"/>
      <c r="U14" s="668"/>
      <c r="V14" s="1030"/>
      <c r="W14" s="1030"/>
      <c r="X14" s="1031"/>
      <c r="Y14" s="1032"/>
      <c r="Z14" s="1033"/>
      <c r="AA14" s="1034"/>
      <c r="AB14" s="1034"/>
      <c r="AC14" s="1035"/>
      <c r="AD14" s="1031"/>
      <c r="AE14" s="1036"/>
      <c r="AF14" s="52"/>
      <c r="AG14" s="138"/>
      <c r="AH14" s="1036"/>
      <c r="AI14" s="1352"/>
      <c r="AJ14" s="702"/>
      <c r="AK14" s="1037"/>
      <c r="AL14" s="1038"/>
      <c r="AM14" s="1039"/>
      <c r="AN14" s="2664"/>
      <c r="AO14" s="2666"/>
      <c r="AP14" s="2666"/>
      <c r="AQ14" s="2666"/>
      <c r="AR14" s="2666"/>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68"/>
      <c r="V15" s="1030"/>
      <c r="W15" s="1030"/>
      <c r="X15" s="1031"/>
      <c r="Y15" s="1032"/>
      <c r="Z15" s="1033"/>
      <c r="AA15" s="1034"/>
      <c r="AB15" s="1034"/>
      <c r="AC15" s="1035"/>
      <c r="AD15" s="1031"/>
      <c r="AE15" s="1036"/>
      <c r="AF15" s="52"/>
      <c r="AG15" s="138"/>
      <c r="AH15" s="1036"/>
      <c r="AI15" s="1352"/>
      <c r="AJ15" s="702"/>
      <c r="AK15" s="1037"/>
      <c r="AL15" s="1038"/>
      <c r="AM15" s="1039"/>
      <c r="AN15" s="2664"/>
      <c r="AO15" s="2666"/>
      <c r="AP15" s="2666"/>
      <c r="AQ15" s="2666"/>
      <c r="AR15" s="2666"/>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0.93400000000000005</v>
      </c>
      <c r="H16" s="90">
        <f>ROUND(SUMPRODUCT(H6:H13,K6:K13)/SUMPRODUCT((H6:H13&gt;0)*(K6:K13)),3)</f>
        <v>4.4999999999999998E-2</v>
      </c>
      <c r="I16" s="91"/>
      <c r="J16" s="91"/>
      <c r="K16" s="92">
        <f>SUM(K6:K15)</f>
        <v>135125.56999999998</v>
      </c>
      <c r="L16" s="93">
        <f>ROUND(M16*10000/SUM(K6:K14),0)</f>
        <v>5600</v>
      </c>
      <c r="M16" s="93">
        <f>SUM(M6:M14)</f>
        <v>75671</v>
      </c>
      <c r="N16" s="94">
        <f>ROUND(SUMPRODUCT(M6:M14,N6:N14)/M16,3)</f>
        <v>0.98</v>
      </c>
      <c r="O16" s="93">
        <f>SUM(O6:O14)</f>
        <v>0</v>
      </c>
      <c r="P16" s="93">
        <f>SUM(P6:P14)</f>
        <v>0</v>
      </c>
      <c r="Q16" s="95">
        <f>ROUND(SUMPRODUCT(Q6:Q13,K6:K13)/SUMPRODUCT((Q6:Q13&gt;0)*(K6:K13)),2)</f>
        <v>0.08</v>
      </c>
      <c r="R16" s="1029">
        <f ca="1">SUM(R6:R13)</f>
        <v>58598.03</v>
      </c>
      <c r="S16" s="96">
        <f>SUM(S6:S13)</f>
        <v>3443.83</v>
      </c>
      <c r="T16" s="97">
        <f>IF(SUMIF(T6:T13,"&lt;9E307")=M14,SUMIF(T6:T13,"&lt;9E307"),"有误，请检查")</f>
        <v>1929</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f>ROUND(U6*(1+V6)^AF6,2)</f>
        <v>2.2000000000000002</v>
      </c>
      <c r="AA18" s="2664"/>
      <c r="AB18" s="2664"/>
      <c r="AC18" s="2664"/>
      <c r="AD18" s="2664"/>
      <c r="AE18" s="2664"/>
      <c r="AF18" s="2664">
        <f>ROUND(1-(2044-2023)/60,2)</f>
        <v>0.65</v>
      </c>
      <c r="AG18" s="2664"/>
      <c r="AH18" s="2664"/>
      <c r="AI18" s="2664"/>
      <c r="AJ18" s="2664"/>
      <c r="AK18" s="2664"/>
      <c r="AL18" s="2664"/>
      <c r="AM18" s="2664"/>
      <c r="AN18" s="2664"/>
      <c r="AO18" s="2664"/>
      <c r="AP18" s="2664"/>
      <c r="AQ18" s="2664"/>
      <c r="AR18" s="2664"/>
    </row>
    <row r="19" spans="1:67" ht="14.25">
      <c r="A19" s="1717" t="s">
        <v>1211</v>
      </c>
      <c r="B19" s="103">
        <v>0</v>
      </c>
      <c r="C19" s="2792" t="s">
        <v>2303</v>
      </c>
      <c r="D19" s="2669"/>
      <c r="E19" s="2666"/>
      <c r="F19" s="2666"/>
      <c r="G19" s="2666"/>
      <c r="H19" s="2666"/>
      <c r="I19" s="2666"/>
      <c r="J19" s="2666"/>
      <c r="K19" s="2665"/>
      <c r="L19" s="2665"/>
      <c r="M19" s="2664"/>
      <c r="N19" s="2664">
        <v>2023</v>
      </c>
      <c r="O19" s="2664"/>
      <c r="P19" s="2664"/>
      <c r="Q19" s="2664"/>
      <c r="R19" s="2664"/>
      <c r="S19" s="2664"/>
      <c r="T19" s="2664"/>
      <c r="U19" s="2664"/>
      <c r="V19" s="2664"/>
      <c r="W19" s="3469"/>
      <c r="X19" s="2664"/>
      <c r="Y19" s="2664"/>
      <c r="Z19" s="2664"/>
      <c r="AA19" s="2664"/>
      <c r="AB19" s="2664"/>
      <c r="AC19" s="2664"/>
      <c r="AD19" s="2664"/>
      <c r="AE19" s="2664"/>
      <c r="AF19" s="2664"/>
      <c r="AG19" s="2664"/>
      <c r="AH19" s="2664">
        <f>'数据-汇总表'!G21/35</f>
        <v>0</v>
      </c>
      <c r="AI19" s="2664"/>
      <c r="AJ19" s="2664"/>
      <c r="AK19" s="2664"/>
      <c r="AL19" s="2664"/>
      <c r="AM19" s="2664"/>
      <c r="AN19" s="2664"/>
      <c r="AO19" s="2664"/>
      <c r="AP19" s="2664"/>
      <c r="AQ19" s="2664"/>
      <c r="AR19" s="2664"/>
    </row>
    <row r="20" spans="1:67" ht="14.25">
      <c r="A20" s="1718" t="s">
        <v>1212</v>
      </c>
      <c r="B20" s="104">
        <v>2</v>
      </c>
      <c r="C20" s="2793" t="s">
        <v>2301</v>
      </c>
      <c r="D20" s="2669"/>
      <c r="E20" s="2666"/>
      <c r="F20" s="2666"/>
      <c r="G20" s="2666"/>
      <c r="H20" s="2666"/>
      <c r="I20" s="2666"/>
      <c r="J20" s="2666"/>
      <c r="K20" s="2665"/>
      <c r="L20" s="2665"/>
      <c r="M20" s="2664"/>
      <c r="N20" s="2664">
        <f>ROUND(1-(2024-N19)/60,2)</f>
        <v>0.98</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9" t="s">
        <v>1213</v>
      </c>
      <c r="B21" s="104">
        <v>2</v>
      </c>
      <c r="C21" s="2666"/>
      <c r="D21" s="2669"/>
      <c r="E21" s="2666"/>
      <c r="F21" s="2666"/>
      <c r="G21" s="2666"/>
      <c r="H21" s="2666"/>
      <c r="I21" s="2666"/>
      <c r="J21" s="2666"/>
      <c r="K21" s="2665"/>
      <c r="L21" s="2665"/>
      <c r="M21" s="2664"/>
      <c r="N21" s="2664">
        <v>0.85</v>
      </c>
      <c r="O21" s="2664"/>
      <c r="P21" s="2664"/>
      <c r="Q21" s="2664"/>
      <c r="R21" s="2664"/>
      <c r="S21" s="2664"/>
      <c r="T21" s="2664"/>
      <c r="U21" s="3443"/>
      <c r="V21" s="3443"/>
      <c r="W21" s="3492"/>
      <c r="X21" s="3443"/>
      <c r="Y21" s="3443"/>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8" t="s">
        <v>1214</v>
      </c>
      <c r="B22" s="105">
        <f>B19+B20</f>
        <v>2</v>
      </c>
      <c r="C22" s="2666"/>
      <c r="D22" s="2669"/>
      <c r="E22" s="2666"/>
      <c r="F22" s="2666"/>
      <c r="G22" s="2666"/>
      <c r="H22" s="2666"/>
      <c r="I22" s="2666"/>
      <c r="J22" s="2666"/>
      <c r="K22" s="2665"/>
      <c r="L22" s="2665"/>
      <c r="M22" s="2664"/>
      <c r="N22" s="2664"/>
      <c r="O22" s="2664"/>
      <c r="P22" s="2664"/>
      <c r="Q22" s="2664"/>
      <c r="R22" s="2664"/>
      <c r="S22" s="2664"/>
      <c r="T22" s="2664"/>
      <c r="U22" s="3493"/>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9" t="s">
        <v>1215</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0" t="s">
        <v>1216</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2"/>
      <c r="B25" s="1682"/>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8" t="s">
        <v>1217</v>
      </c>
      <c r="B26" s="1721"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3" customFormat="1" ht="27.75">
      <c r="A27" s="1722" t="s">
        <v>1220</v>
      </c>
      <c r="B27" s="107"/>
      <c r="C27" s="2794" t="s">
        <v>2305</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f ca="1">成本法!C10</f>
        <v>2703</v>
      </c>
      <c r="C29" s="2795" t="s">
        <v>2292</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0">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1">
        <v>0.05</v>
      </c>
      <c r="C33" s="2796" t="s">
        <v>2293</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v>0</v>
      </c>
      <c r="C34" s="2796" t="s">
        <v>2294</v>
      </c>
      <c r="D34" s="2677" t="s">
        <v>2302</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v>200</v>
      </c>
      <c r="C35" s="2796" t="s">
        <v>2295</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v>0.02</v>
      </c>
      <c r="C36" s="2796" t="s">
        <v>2296</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6" t="s">
        <v>1230</v>
      </c>
      <c r="B37" s="115">
        <v>0.02</v>
      </c>
      <c r="C37" s="2796" t="s">
        <v>2297</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4" t="s">
        <v>1231</v>
      </c>
      <c r="B38" s="113">
        <v>0.02</v>
      </c>
      <c r="C38" s="2796" t="s">
        <v>2297</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7" t="s">
        <v>1232</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2312</v>
      </c>
      <c r="B40" s="1073">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2" t="s">
        <v>1233</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8" t="s">
        <v>1234</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8" t="s">
        <v>1235</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9" t="s">
        <v>1236</v>
      </c>
      <c r="B44" s="119">
        <v>0.05</v>
      </c>
      <c r="C44" s="2796" t="s">
        <v>2306</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9" t="s">
        <v>1237</v>
      </c>
      <c r="B45" s="117">
        <v>0.03</v>
      </c>
      <c r="C45" s="2795" t="s">
        <v>2298</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9" t="s">
        <v>1238</v>
      </c>
      <c r="B46" s="117">
        <v>0.02</v>
      </c>
      <c r="C46" s="2795" t="s">
        <v>2299</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0" t="s">
        <v>1239</v>
      </c>
      <c r="B47" s="120">
        <v>0</v>
      </c>
      <c r="C47" s="2798" t="s">
        <v>2307</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1" t="s">
        <v>1240</v>
      </c>
      <c r="B48" s="121">
        <v>0.03</v>
      </c>
      <c r="C48" s="2795" t="s">
        <v>2298</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7" t="s">
        <v>1241</v>
      </c>
      <c r="B49" s="117">
        <v>5.0000000000000001E-4</v>
      </c>
      <c r="C49" s="2795" t="s">
        <v>2300</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2" t="s">
        <v>1242</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5" t="s">
        <v>1243</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2" t="s">
        <v>1244</v>
      </c>
      <c r="B52" s="124">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4" t="s">
        <v>1245</v>
      </c>
      <c r="B53" s="1733" t="s">
        <v>29</v>
      </c>
      <c r="C53" s="2655" t="s">
        <v>1246</v>
      </c>
      <c r="D53" s="2797" t="s">
        <v>2304</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4" t="s">
        <v>1247</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4" t="s">
        <v>1248</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4" t="s">
        <v>1249</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4" t="s">
        <v>1250</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4" t="s">
        <v>1251</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4" t="s">
        <v>1252</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4"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4"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4"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5" t="s">
        <v>1256</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8"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8"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8"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8"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8"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8" customFormat="1">
      <c r="A69" s="1736"/>
      <c r="D69" s="1737"/>
      <c r="K69" s="726"/>
      <c r="L69" s="726"/>
    </row>
    <row r="70" spans="1:44" s="788" customFormat="1">
      <c r="A70" s="1736"/>
      <c r="D70" s="1737"/>
      <c r="K70" s="726"/>
      <c r="L70" s="726"/>
    </row>
    <row r="71" spans="1:44" s="788" customFormat="1">
      <c r="A71" s="1736"/>
      <c r="D71" s="1737"/>
      <c r="K71" s="726"/>
      <c r="L71" s="726"/>
    </row>
    <row r="72" spans="1:44" s="788" customFormat="1">
      <c r="A72" s="1736"/>
      <c r="D72" s="1737"/>
      <c r="K72" s="726"/>
      <c r="L72" s="726"/>
    </row>
    <row r="73" spans="1:44" s="788" customFormat="1">
      <c r="A73" s="1736"/>
      <c r="D73" s="1737"/>
      <c r="K73" s="726"/>
      <c r="L73" s="726"/>
    </row>
    <row r="74" spans="1:44" s="788" customFormat="1">
      <c r="A74" s="1736"/>
      <c r="D74" s="1737"/>
      <c r="K74" s="726"/>
      <c r="L74" s="726"/>
    </row>
    <row r="75" spans="1:44" s="788" customFormat="1">
      <c r="A75" s="1736"/>
      <c r="D75" s="1737"/>
      <c r="K75" s="726"/>
      <c r="L75" s="726"/>
    </row>
    <row r="76" spans="1:44" s="788" customFormat="1">
      <c r="A76" s="1736"/>
      <c r="D76" s="1737"/>
      <c r="K76" s="726"/>
      <c r="L76" s="726"/>
    </row>
    <row r="77" spans="1:44" s="788" customFormat="1">
      <c r="A77" s="1736"/>
      <c r="D77" s="1737"/>
      <c r="K77" s="726"/>
      <c r="L77" s="726"/>
    </row>
    <row r="78" spans="1:44" s="788" customFormat="1">
      <c r="A78" s="1736"/>
      <c r="D78" s="1737"/>
      <c r="K78" s="726"/>
      <c r="L78" s="726"/>
    </row>
    <row r="79" spans="1:44" s="788" customFormat="1">
      <c r="A79" s="1736"/>
      <c r="D79" s="1737"/>
      <c r="K79" s="726"/>
      <c r="L79" s="726"/>
    </row>
    <row r="80" spans="1:44" s="788" customFormat="1">
      <c r="A80" s="1736"/>
      <c r="D80" s="1737"/>
      <c r="K80" s="726"/>
      <c r="L80" s="726"/>
    </row>
    <row r="81" spans="1:12" s="788" customFormat="1">
      <c r="A81" s="1736"/>
      <c r="D81" s="1737"/>
      <c r="K81" s="726"/>
      <c r="L81" s="726"/>
    </row>
    <row r="82" spans="1:12" s="788" customFormat="1">
      <c r="A82" s="1736"/>
      <c r="D82" s="1737"/>
      <c r="K82" s="726"/>
      <c r="L82" s="726"/>
    </row>
    <row r="83" spans="1:12" s="788" customFormat="1">
      <c r="A83" s="1736"/>
      <c r="D83" s="1737"/>
      <c r="K83" s="726"/>
      <c r="L83" s="726"/>
    </row>
    <row r="84" spans="1:12" s="788" customFormat="1">
      <c r="A84" s="1736"/>
      <c r="D84" s="1737"/>
      <c r="K84" s="726"/>
      <c r="L84" s="726"/>
    </row>
    <row r="85" spans="1:12" s="788" customFormat="1">
      <c r="A85" s="1736"/>
      <c r="D85" s="1737"/>
      <c r="K85" s="726"/>
      <c r="L85" s="726"/>
    </row>
    <row r="86" spans="1:12" s="788" customFormat="1">
      <c r="A86" s="1736"/>
      <c r="D86" s="1737"/>
      <c r="K86" s="726"/>
      <c r="L86" s="726"/>
    </row>
    <row r="87" spans="1:12" s="788" customFormat="1">
      <c r="A87" s="1736"/>
      <c r="D87" s="1737"/>
      <c r="K87" s="726"/>
      <c r="L87" s="726"/>
    </row>
    <row r="88" spans="1:12" s="788" customFormat="1">
      <c r="A88" s="1736"/>
      <c r="D88" s="1737"/>
      <c r="K88" s="726"/>
      <c r="L88" s="726"/>
    </row>
    <row r="89" spans="1:12" s="788" customFormat="1">
      <c r="A89" s="1736"/>
      <c r="D89" s="1737"/>
      <c r="K89" s="726"/>
      <c r="L89" s="726"/>
    </row>
    <row r="90" spans="1:12" s="788" customFormat="1">
      <c r="A90" s="1736"/>
      <c r="D90" s="1737"/>
      <c r="K90" s="726"/>
      <c r="L90" s="726"/>
    </row>
    <row r="91" spans="1:12" s="788" customFormat="1">
      <c r="A91" s="1736"/>
      <c r="D91" s="1737"/>
      <c r="K91" s="726"/>
      <c r="L91" s="726"/>
    </row>
    <row r="92" spans="1:12" s="788" customFormat="1">
      <c r="A92" s="1736"/>
      <c r="D92" s="1737"/>
      <c r="K92" s="726"/>
      <c r="L92" s="726"/>
    </row>
    <row r="93" spans="1:12" s="788" customFormat="1">
      <c r="A93" s="1736"/>
      <c r="D93" s="1737"/>
      <c r="K93" s="726"/>
      <c r="L93" s="726"/>
    </row>
    <row r="94" spans="1:12" s="788" customFormat="1">
      <c r="A94" s="1736"/>
      <c r="D94" s="1737"/>
      <c r="K94" s="726"/>
      <c r="L94" s="726"/>
    </row>
    <row r="95" spans="1:12" s="788" customFormat="1">
      <c r="A95" s="1736"/>
      <c r="D95" s="1737"/>
      <c r="K95" s="726"/>
      <c r="L95" s="726"/>
    </row>
    <row r="96" spans="1:12" s="788" customFormat="1">
      <c r="A96" s="1736"/>
      <c r="D96" s="1737"/>
      <c r="K96" s="726"/>
      <c r="L96" s="726"/>
    </row>
    <row r="97" spans="1:12" s="788" customFormat="1">
      <c r="A97" s="1736"/>
      <c r="D97" s="1737"/>
      <c r="K97" s="726"/>
      <c r="L97" s="726"/>
    </row>
    <row r="98" spans="1:12" s="788" customFormat="1">
      <c r="A98" s="1736"/>
      <c r="D98" s="1737"/>
      <c r="K98" s="726"/>
      <c r="L98" s="726"/>
    </row>
    <row r="99" spans="1:12" s="788" customFormat="1">
      <c r="A99" s="1736"/>
      <c r="D99" s="1737"/>
      <c r="K99" s="726"/>
      <c r="L99" s="726"/>
    </row>
    <row r="100" spans="1:12" s="788" customFormat="1">
      <c r="A100" s="1736"/>
      <c r="D100" s="1737"/>
      <c r="K100" s="726"/>
      <c r="L100" s="726"/>
    </row>
    <row r="101" spans="1:12" s="788" customFormat="1">
      <c r="A101" s="1736"/>
      <c r="D101" s="1737"/>
      <c r="K101" s="726"/>
      <c r="L101" s="726"/>
    </row>
    <row r="102" spans="1:12" s="788" customFormat="1">
      <c r="A102" s="1736"/>
      <c r="D102" s="1737"/>
      <c r="K102" s="726"/>
      <c r="L102" s="726"/>
    </row>
    <row r="103" spans="1:12" s="788" customFormat="1">
      <c r="A103" s="1736"/>
      <c r="D103" s="1737"/>
      <c r="K103" s="726"/>
      <c r="L103" s="726"/>
    </row>
    <row r="104" spans="1:12" s="788" customFormat="1">
      <c r="A104" s="1736"/>
      <c r="D104" s="1737"/>
      <c r="K104" s="726"/>
      <c r="L104" s="726"/>
    </row>
    <row r="105" spans="1:12" s="788" customFormat="1">
      <c r="A105" s="1736"/>
      <c r="D105" s="1737"/>
      <c r="K105" s="726"/>
      <c r="L105" s="726"/>
    </row>
    <row r="106" spans="1:12" s="788" customFormat="1">
      <c r="A106" s="1736"/>
      <c r="D106" s="1737"/>
      <c r="K106" s="726"/>
      <c r="L106" s="726"/>
    </row>
    <row r="107" spans="1:12" s="788" customFormat="1">
      <c r="A107" s="1736"/>
      <c r="D107" s="1737"/>
      <c r="K107" s="726"/>
      <c r="L107" s="726"/>
    </row>
    <row r="108" spans="1:12" s="788" customFormat="1">
      <c r="A108" s="1736"/>
      <c r="D108" s="1737"/>
      <c r="K108" s="726"/>
      <c r="L108" s="726"/>
    </row>
    <row r="109" spans="1:12" s="788" customFormat="1">
      <c r="A109" s="1736"/>
      <c r="D109" s="1737"/>
      <c r="K109" s="726"/>
      <c r="L109" s="726"/>
    </row>
    <row r="110" spans="1:12" s="788" customFormat="1">
      <c r="A110" s="1736"/>
      <c r="D110" s="1737"/>
      <c r="K110" s="726"/>
      <c r="L110" s="726"/>
    </row>
    <row r="111" spans="1:12" s="788" customFormat="1">
      <c r="A111" s="1736"/>
      <c r="D111" s="1737"/>
      <c r="K111" s="726"/>
      <c r="L111" s="726"/>
    </row>
    <row r="112" spans="1:12" s="788" customFormat="1">
      <c r="A112" s="1736"/>
      <c r="D112" s="1737"/>
      <c r="K112" s="726"/>
      <c r="L112" s="726"/>
    </row>
    <row r="113" spans="1:12" s="788" customFormat="1">
      <c r="A113" s="1736"/>
      <c r="D113" s="1737"/>
      <c r="K113" s="726"/>
      <c r="L113" s="726"/>
    </row>
    <row r="114" spans="1:12" s="788" customFormat="1">
      <c r="A114" s="1736"/>
      <c r="D114" s="1737"/>
      <c r="K114" s="726"/>
      <c r="L114" s="726"/>
    </row>
    <row r="115" spans="1:12" s="788" customFormat="1">
      <c r="A115" s="1736"/>
      <c r="D115" s="1737"/>
      <c r="K115" s="726"/>
      <c r="L115" s="726"/>
    </row>
    <row r="116" spans="1:12" s="788" customFormat="1">
      <c r="A116" s="1736"/>
      <c r="D116" s="1737"/>
      <c r="K116" s="726"/>
      <c r="L116" s="726"/>
    </row>
    <row r="117" spans="1:12" s="788" customFormat="1">
      <c r="A117" s="1736"/>
      <c r="D117" s="1737"/>
      <c r="K117" s="726"/>
      <c r="L117" s="726"/>
    </row>
    <row r="118" spans="1:12" s="788" customFormat="1">
      <c r="A118" s="1736"/>
      <c r="D118" s="1737"/>
      <c r="K118" s="726"/>
      <c r="L118" s="726"/>
    </row>
    <row r="119" spans="1:12" s="788" customFormat="1">
      <c r="A119" s="1736"/>
      <c r="D119" s="1737"/>
      <c r="K119" s="726"/>
      <c r="L119" s="726"/>
    </row>
    <row r="120" spans="1:12" s="788" customFormat="1">
      <c r="A120" s="1736"/>
      <c r="D120" s="1737"/>
      <c r="K120" s="726"/>
      <c r="L120" s="726"/>
    </row>
    <row r="121" spans="1:12" s="788" customFormat="1">
      <c r="A121" s="1736"/>
      <c r="D121" s="1737"/>
      <c r="K121" s="726"/>
      <c r="L121" s="726"/>
    </row>
    <row r="122" spans="1:12" s="788" customFormat="1">
      <c r="A122" s="1736"/>
      <c r="D122" s="1737"/>
      <c r="K122" s="726"/>
      <c r="L122" s="726"/>
    </row>
    <row r="123" spans="1:12" s="788" customFormat="1">
      <c r="A123" s="1736"/>
      <c r="D123" s="1737"/>
      <c r="K123" s="726"/>
      <c r="L123" s="726"/>
    </row>
    <row r="124" spans="1:12" s="788" customFormat="1">
      <c r="A124" s="1736"/>
      <c r="D124" s="1737"/>
      <c r="K124" s="726"/>
      <c r="L124" s="726"/>
    </row>
    <row r="125" spans="1:12" s="788" customFormat="1">
      <c r="A125" s="1736"/>
      <c r="D125" s="1737"/>
      <c r="K125" s="726"/>
      <c r="L125" s="726"/>
    </row>
    <row r="126" spans="1:12" s="788" customFormat="1">
      <c r="A126" s="1736"/>
      <c r="D126" s="1737"/>
      <c r="K126" s="726"/>
      <c r="L126" s="726"/>
    </row>
    <row r="127" spans="1:12" s="788" customFormat="1">
      <c r="A127" s="1736"/>
      <c r="D127" s="1737"/>
      <c r="K127" s="726"/>
      <c r="L127" s="726"/>
    </row>
    <row r="128" spans="1:12" s="788" customFormat="1">
      <c r="A128" s="1736"/>
      <c r="D128" s="1737"/>
      <c r="K128" s="726"/>
      <c r="L128" s="726"/>
    </row>
    <row r="129" spans="1:12" s="788" customFormat="1">
      <c r="A129" s="1736"/>
      <c r="D129" s="1737"/>
      <c r="K129" s="726"/>
      <c r="L129" s="726"/>
    </row>
    <row r="130" spans="1:12" s="788" customFormat="1">
      <c r="A130" s="1736"/>
      <c r="D130" s="1737"/>
      <c r="K130" s="726"/>
      <c r="L130" s="726"/>
    </row>
    <row r="131" spans="1:12" s="788" customFormat="1">
      <c r="A131" s="1736"/>
      <c r="D131" s="1737"/>
      <c r="K131" s="726"/>
      <c r="L131" s="726"/>
    </row>
    <row r="132" spans="1:12" s="788" customFormat="1">
      <c r="A132" s="1736"/>
      <c r="D132" s="1737"/>
      <c r="K132" s="726"/>
      <c r="L132" s="726"/>
    </row>
    <row r="133" spans="1:12" s="788" customFormat="1">
      <c r="A133" s="1736"/>
      <c r="D133" s="1737"/>
      <c r="K133" s="726"/>
      <c r="L133" s="726"/>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4" customWidth="1"/>
    <col min="4" max="4" width="2.625" style="2504" customWidth="1"/>
    <col min="5" max="5" width="5.875" style="2504" customWidth="1"/>
    <col min="6" max="6" width="27" style="1567"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4"/>
    <col min="30" max="16384" width="9" style="1681"/>
  </cols>
  <sheetData>
    <row r="1" spans="1:29" s="2451" customFormat="1" ht="18.75" thickBot="1">
      <c r="A1" s="3600" t="s">
        <v>2284</v>
      </c>
      <c r="B1" s="3601"/>
      <c r="C1" s="3601"/>
      <c r="D1" s="3601"/>
      <c r="E1" s="3601"/>
      <c r="F1" s="3601"/>
      <c r="G1" s="360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2279</v>
      </c>
      <c r="D2" s="2455"/>
      <c r="E2" s="2452"/>
      <c r="F2" s="2456"/>
      <c r="G2" s="2454" t="s">
        <v>2280</v>
      </c>
      <c r="H2" s="794"/>
      <c r="I2" s="794"/>
      <c r="J2" s="794"/>
      <c r="K2" s="794"/>
      <c r="L2" s="794"/>
      <c r="M2" s="794"/>
      <c r="N2" s="794"/>
      <c r="O2" s="794"/>
      <c r="P2" s="794"/>
      <c r="Q2" s="794"/>
      <c r="R2" s="794"/>
    </row>
    <row r="3" spans="1:29" ht="48">
      <c r="A3" s="2435" t="s">
        <v>2281</v>
      </c>
      <c r="B3" s="2457" t="s">
        <v>2250</v>
      </c>
      <c r="C3" s="2458" t="s">
        <v>2282</v>
      </c>
      <c r="D3" s="2459"/>
      <c r="E3" s="2436" t="s">
        <v>2281</v>
      </c>
      <c r="F3" s="2460" t="s">
        <v>2251</v>
      </c>
      <c r="G3" s="2461" t="s">
        <v>2283</v>
      </c>
      <c r="H3" s="794"/>
      <c r="I3" s="794"/>
      <c r="J3" s="794"/>
      <c r="K3" s="794"/>
      <c r="L3" s="794"/>
      <c r="M3" s="794"/>
      <c r="N3" s="794"/>
      <c r="O3" s="794"/>
      <c r="P3" s="794"/>
      <c r="Q3" s="794"/>
      <c r="R3" s="794"/>
    </row>
    <row r="4" spans="1:29" ht="36.75">
      <c r="A4" s="2436"/>
      <c r="B4" s="323" t="s">
        <v>2252</v>
      </c>
      <c r="C4" s="2462" t="s">
        <v>2253</v>
      </c>
      <c r="D4" s="2459"/>
      <c r="E4" s="2463"/>
      <c r="F4" s="1368" t="s">
        <v>2254</v>
      </c>
      <c r="G4" s="2464" t="s">
        <v>2255</v>
      </c>
      <c r="H4" s="794"/>
      <c r="I4" s="794"/>
      <c r="J4" s="794"/>
      <c r="K4" s="794"/>
      <c r="L4" s="794"/>
      <c r="M4" s="794"/>
      <c r="N4" s="794"/>
      <c r="O4" s="794"/>
      <c r="P4" s="794"/>
      <c r="Q4" s="794"/>
      <c r="R4" s="794"/>
    </row>
    <row r="5" spans="1:29" ht="36.75">
      <c r="A5" s="2436"/>
      <c r="B5" s="323" t="s">
        <v>2256</v>
      </c>
      <c r="C5" s="2462" t="s">
        <v>2257</v>
      </c>
      <c r="D5" s="2459"/>
      <c r="E5" s="2463"/>
      <c r="F5" s="323" t="s">
        <v>2258</v>
      </c>
      <c r="G5" s="2464" t="s">
        <v>2259</v>
      </c>
      <c r="H5" s="794"/>
      <c r="I5" s="794"/>
      <c r="J5" s="794"/>
      <c r="K5" s="794"/>
      <c r="L5" s="794"/>
      <c r="M5" s="794"/>
      <c r="N5" s="794"/>
      <c r="O5" s="794"/>
      <c r="P5" s="794"/>
      <c r="Q5" s="794"/>
      <c r="R5" s="794"/>
    </row>
    <row r="6" spans="1:29" ht="36">
      <c r="A6" s="2436"/>
      <c r="B6" s="323" t="s">
        <v>2260</v>
      </c>
      <c r="C6" s="2464" t="s">
        <v>2255</v>
      </c>
      <c r="D6" s="2459"/>
      <c r="E6" s="2463"/>
      <c r="F6" s="323" t="s">
        <v>2261</v>
      </c>
      <c r="G6" s="2464" t="s">
        <v>2262</v>
      </c>
      <c r="H6" s="794"/>
      <c r="I6" s="794"/>
      <c r="J6" s="794"/>
      <c r="K6" s="794"/>
      <c r="L6" s="794"/>
      <c r="M6" s="794"/>
      <c r="N6" s="794"/>
      <c r="O6" s="794"/>
      <c r="P6" s="794"/>
      <c r="Q6" s="794"/>
      <c r="R6" s="794"/>
    </row>
    <row r="7" spans="1:29" ht="24.75" thickBot="1">
      <c r="A7" s="2436"/>
      <c r="B7" s="323" t="s">
        <v>2258</v>
      </c>
      <c r="C7" s="2464" t="s">
        <v>2259</v>
      </c>
      <c r="D7" s="2465"/>
      <c r="E7" s="2466"/>
      <c r="F7" s="2467" t="s">
        <v>2263</v>
      </c>
      <c r="G7" s="2468" t="s">
        <v>2264</v>
      </c>
      <c r="H7" s="794"/>
      <c r="I7" s="794"/>
      <c r="J7" s="794"/>
      <c r="K7" s="794"/>
      <c r="L7" s="794"/>
      <c r="M7" s="794"/>
      <c r="N7" s="794"/>
      <c r="O7" s="794"/>
      <c r="P7" s="794"/>
      <c r="Q7" s="794"/>
      <c r="R7" s="794"/>
    </row>
    <row r="8" spans="1:29">
      <c r="A8" s="2436"/>
      <c r="B8" s="323" t="s">
        <v>2261</v>
      </c>
      <c r="C8" s="2464" t="s">
        <v>2262</v>
      </c>
      <c r="D8" s="2465"/>
      <c r="E8" s="2465"/>
      <c r="F8" s="2469"/>
      <c r="G8" s="2469"/>
      <c r="H8" s="794"/>
      <c r="I8" s="794"/>
      <c r="J8" s="794"/>
      <c r="K8" s="794"/>
      <c r="L8" s="794"/>
      <c r="M8" s="794"/>
      <c r="N8" s="794"/>
      <c r="O8" s="794"/>
      <c r="P8" s="794"/>
      <c r="Q8" s="794"/>
      <c r="R8" s="794"/>
    </row>
    <row r="9" spans="1:29" ht="24">
      <c r="A9" s="2436"/>
      <c r="B9" s="323" t="s">
        <v>2265</v>
      </c>
      <c r="C9" s="2462" t="s">
        <v>2266</v>
      </c>
      <c r="D9" s="2459"/>
      <c r="E9" s="2465"/>
      <c r="F9" s="2469"/>
      <c r="G9" s="2469"/>
      <c r="H9" s="794"/>
      <c r="I9" s="794"/>
      <c r="J9" s="794"/>
      <c r="K9" s="794"/>
      <c r="L9" s="794"/>
      <c r="M9" s="794"/>
      <c r="N9" s="794"/>
      <c r="O9" s="794"/>
      <c r="P9" s="794"/>
      <c r="Q9" s="794"/>
      <c r="R9" s="794"/>
    </row>
    <row r="10" spans="1:29" s="2475" customFormat="1" ht="15" thickBot="1">
      <c r="A10" s="2437"/>
      <c r="B10" s="2470" t="s">
        <v>2267</v>
      </c>
      <c r="C10" s="2471"/>
      <c r="D10" s="2459"/>
      <c r="E10" s="2459"/>
      <c r="F10" s="2469"/>
      <c r="G10" s="2469"/>
      <c r="H10" s="2472"/>
      <c r="I10" s="2473"/>
      <c r="J10" s="2474"/>
      <c r="K10" s="2472"/>
      <c r="L10" s="2473"/>
      <c r="M10" s="2474"/>
      <c r="N10" s="2472"/>
      <c r="O10" s="2473"/>
      <c r="P10" s="2474"/>
      <c r="Q10" s="2472"/>
      <c r="R10" s="2473"/>
      <c r="S10" s="794"/>
      <c r="T10" s="794"/>
      <c r="U10" s="794"/>
      <c r="V10" s="794"/>
      <c r="W10" s="794"/>
      <c r="X10" s="794"/>
      <c r="Y10" s="794"/>
      <c r="Z10" s="794"/>
      <c r="AA10" s="794"/>
      <c r="AB10" s="794"/>
      <c r="AC10" s="794"/>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4"/>
      <c r="T11" s="794"/>
      <c r="U11" s="794"/>
      <c r="V11" s="794"/>
      <c r="W11" s="794"/>
      <c r="X11" s="794"/>
      <c r="Y11" s="794"/>
      <c r="Z11" s="794"/>
      <c r="AA11" s="794"/>
      <c r="AB11" s="794"/>
      <c r="AC11" s="794"/>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2285</v>
      </c>
      <c r="B13" s="2478"/>
      <c r="C13" s="2478"/>
      <c r="D13" s="2476"/>
      <c r="E13" s="2478"/>
      <c r="F13" s="2478"/>
      <c r="G13" s="2478"/>
    </row>
    <row r="14" spans="1:29" ht="15" thickBot="1">
      <c r="A14" s="2488"/>
      <c r="B14" s="2488"/>
      <c r="C14" s="2489" t="s">
        <v>2268</v>
      </c>
      <c r="D14" s="2459"/>
      <c r="E14" s="2490"/>
      <c r="F14" s="2490"/>
      <c r="G14" s="2454" t="s">
        <v>2269</v>
      </c>
    </row>
    <row r="15" spans="1:29" ht="51">
      <c r="A15" s="2438" t="s">
        <v>2270</v>
      </c>
      <c r="B15" s="2491" t="s">
        <v>2250</v>
      </c>
      <c r="C15" s="2492" t="str">
        <f>C3</f>
        <v>估价对象周边居住用地比例、居住小区规模和社区发展完善程度，综合评价居住社区成熟度一般</v>
      </c>
      <c r="D15" s="2459"/>
      <c r="E15" s="2439" t="s">
        <v>2271</v>
      </c>
      <c r="F15" s="2491" t="s">
        <v>2272</v>
      </c>
      <c r="G15" s="2493" t="str">
        <f>G3</f>
        <v>估价对象位于XX开发区，园区建设成熟度XX，产业集聚程度XX</v>
      </c>
    </row>
    <row r="16" spans="1:29" ht="38.25">
      <c r="A16" s="2440"/>
      <c r="B16" s="2494" t="s">
        <v>2252</v>
      </c>
      <c r="C16" s="2495" t="str">
        <f>C4</f>
        <v>估价对象位于XX商圈，周边商业氛围成熟，人流量大，商业繁华度好</v>
      </c>
      <c r="D16" s="2459"/>
      <c r="E16" s="2441"/>
      <c r="F16" s="2496" t="s">
        <v>2254</v>
      </c>
      <c r="G16" s="2497" t="str">
        <f>G4</f>
        <v>估价对象周边道路状况、公共交通通达情况、停车便捷程度，综合评价交通便捷度较好</v>
      </c>
    </row>
    <row r="17" spans="1:18" ht="38.25">
      <c r="A17" s="2440"/>
      <c r="B17" s="2494" t="s">
        <v>2256</v>
      </c>
      <c r="C17" s="2495" t="str">
        <f>C5</f>
        <v>估价对象位于XX商圈，周边办公楼项目较多，入驻率高，办公集聚程度较好</v>
      </c>
      <c r="D17" s="2465"/>
      <c r="E17" s="2441"/>
      <c r="F17" s="2496" t="s">
        <v>2273</v>
      </c>
      <c r="G17" s="2498"/>
    </row>
    <row r="18" spans="1:18" ht="38.25">
      <c r="A18" s="2440"/>
      <c r="B18" s="2496" t="s">
        <v>2260</v>
      </c>
      <c r="C18" s="2497" t="str">
        <f>C6</f>
        <v>估价对象周边道路状况、公共交通通达情况、停车便捷程度，综合评价交通便捷度较好</v>
      </c>
      <c r="D18" s="2465"/>
      <c r="E18" s="2441"/>
      <c r="F18" s="2496" t="s">
        <v>2263</v>
      </c>
      <c r="G18" s="2497" t="str">
        <f>G7</f>
        <v>该园区内是否有污染型企业，绿化情况，卫生条件，整体环境状况判断</v>
      </c>
    </row>
    <row r="19" spans="1:18" ht="25.5">
      <c r="A19" s="2440"/>
      <c r="B19" s="2496" t="s">
        <v>2274</v>
      </c>
      <c r="C19" s="2498"/>
      <c r="D19" s="2459"/>
      <c r="E19" s="2441"/>
      <c r="F19" s="323" t="s">
        <v>2258</v>
      </c>
      <c r="G19" s="2497" t="str">
        <f>G5</f>
        <v>估价对象所在区域公共配套设施齐备情况</v>
      </c>
    </row>
    <row r="20" spans="1:18" ht="25.5">
      <c r="A20" s="2440"/>
      <c r="B20" s="2496" t="s">
        <v>2275</v>
      </c>
      <c r="C20" s="2495" t="str">
        <f>C9</f>
        <v>区域自然环境：；人文环境；综合评价环境状况一般</v>
      </c>
      <c r="D20" s="2465"/>
      <c r="E20" s="2441"/>
      <c r="F20" s="323" t="s">
        <v>2261</v>
      </c>
      <c r="G20" s="2497" t="str">
        <f>G6</f>
        <v>估价对象所在区域基础设施水平</v>
      </c>
    </row>
    <row r="21" spans="1:18" ht="25.5">
      <c r="A21" s="2440"/>
      <c r="B21" s="323" t="s">
        <v>2258</v>
      </c>
      <c r="C21" s="2497" t="str">
        <f>C7</f>
        <v>估价对象所在区域公共配套设施齐备情况</v>
      </c>
      <c r="D21" s="2459"/>
      <c r="E21" s="2441"/>
      <c r="F21" s="2496" t="s">
        <v>2276</v>
      </c>
      <c r="G21" s="2499"/>
    </row>
    <row r="22" spans="1:18" ht="13.5" customHeight="1">
      <c r="A22" s="2440"/>
      <c r="B22" s="323" t="s">
        <v>2261</v>
      </c>
      <c r="C22" s="2497" t="str">
        <f>C8</f>
        <v>估价对象所在区域基础设施水平</v>
      </c>
      <c r="D22" s="2459"/>
      <c r="E22" s="2441"/>
      <c r="F22" s="2496" t="s">
        <v>2267</v>
      </c>
      <c r="G22" s="2498"/>
    </row>
    <row r="23" spans="1:18" s="794" customFormat="1" ht="15" thickBot="1">
      <c r="A23" s="2440"/>
      <c r="B23" s="2496" t="s">
        <v>2276</v>
      </c>
      <c r="C23" s="2499"/>
      <c r="D23" s="1736"/>
      <c r="E23" s="2442"/>
      <c r="F23" s="2500" t="s">
        <v>2277</v>
      </c>
      <c r="G23" s="2501"/>
      <c r="H23" s="2485"/>
      <c r="I23" s="2486"/>
      <c r="J23" s="2485"/>
      <c r="K23" s="2485"/>
      <c r="L23" s="2486"/>
      <c r="M23" s="2485"/>
      <c r="N23" s="2485"/>
      <c r="O23" s="2486"/>
      <c r="P23" s="2485"/>
      <c r="Q23" s="2485"/>
      <c r="R23" s="2487"/>
    </row>
    <row r="24" spans="1:18" s="794" customFormat="1" ht="15" thickBot="1">
      <c r="A24" s="2443"/>
      <c r="B24" s="2500" t="s">
        <v>2278</v>
      </c>
      <c r="C24" s="2502">
        <f>C10</f>
        <v>0</v>
      </c>
      <c r="D24" s="1736"/>
      <c r="E24" s="2433"/>
      <c r="F24" s="2433"/>
      <c r="G24" s="2503"/>
      <c r="H24" s="2485"/>
      <c r="I24" s="2486"/>
      <c r="J24" s="2485"/>
      <c r="K24" s="2485"/>
      <c r="L24" s="2486"/>
      <c r="M24" s="2485"/>
      <c r="N24" s="2485"/>
      <c r="O24" s="2486"/>
      <c r="P24" s="2485"/>
      <c r="Q24" s="2485"/>
      <c r="R24" s="2487"/>
    </row>
    <row r="25" spans="1:18" s="794" customFormat="1">
      <c r="B25" s="2485"/>
      <c r="C25" s="2485"/>
      <c r="D25" s="2485"/>
      <c r="H25" s="2485"/>
      <c r="I25" s="2486"/>
      <c r="J25" s="2485"/>
      <c r="K25" s="2485"/>
      <c r="L25" s="2486"/>
      <c r="M25" s="2485"/>
      <c r="N25" s="2485"/>
      <c r="O25" s="2486"/>
      <c r="P25" s="2485"/>
      <c r="Q25" s="2485"/>
      <c r="R25" s="2487"/>
    </row>
    <row r="26" spans="1:18" s="794" customFormat="1">
      <c r="B26" s="2485"/>
      <c r="C26" s="2485"/>
      <c r="D26" s="2485"/>
      <c r="H26" s="2485"/>
      <c r="I26" s="2486"/>
      <c r="J26" s="2485"/>
      <c r="K26" s="2485"/>
      <c r="L26" s="2486"/>
      <c r="M26" s="2485"/>
      <c r="N26" s="2485"/>
      <c r="O26" s="2486"/>
      <c r="P26" s="2485"/>
      <c r="Q26" s="2485"/>
      <c r="R26" s="2487"/>
    </row>
    <row r="27" spans="1:18" s="794" customFormat="1">
      <c r="B27" s="2485"/>
      <c r="C27" s="2485"/>
      <c r="D27" s="2485"/>
      <c r="H27" s="2485"/>
      <c r="I27" s="2486"/>
      <c r="J27" s="2485"/>
      <c r="K27" s="2485"/>
      <c r="L27" s="2486"/>
      <c r="M27" s="2485"/>
      <c r="N27" s="2485"/>
      <c r="O27" s="2486"/>
      <c r="P27" s="2485"/>
      <c r="Q27" s="2485"/>
      <c r="R27" s="2487"/>
    </row>
    <row r="28" spans="1:18" s="794" customFormat="1">
      <c r="B28" s="2485"/>
      <c r="C28" s="2485"/>
      <c r="D28" s="2485"/>
      <c r="H28" s="2485"/>
      <c r="I28" s="2486"/>
      <c r="J28" s="2485"/>
      <c r="K28" s="2485"/>
      <c r="L28" s="2486"/>
      <c r="M28" s="2485"/>
      <c r="N28" s="2485"/>
      <c r="O28" s="2486"/>
      <c r="P28" s="2485"/>
      <c r="Q28" s="2485"/>
      <c r="R28" s="2487"/>
    </row>
    <row r="29" spans="1:18" s="794" customFormat="1">
      <c r="B29" s="2485"/>
      <c r="C29" s="2485"/>
      <c r="D29" s="2485"/>
      <c r="H29" s="2485"/>
      <c r="I29" s="2486"/>
      <c r="J29" s="2485"/>
      <c r="K29" s="2485"/>
      <c r="L29" s="2486"/>
      <c r="M29" s="2485"/>
      <c r="N29" s="2485"/>
      <c r="O29" s="2486"/>
      <c r="P29" s="2485"/>
      <c r="Q29" s="2485"/>
      <c r="R29" s="2487"/>
    </row>
    <row r="30" spans="1:18" s="794" customFormat="1">
      <c r="B30" s="2485"/>
      <c r="C30" s="2485"/>
      <c r="D30" s="2485"/>
      <c r="H30" s="2485"/>
      <c r="I30" s="2486"/>
      <c r="J30" s="2485"/>
      <c r="K30" s="2485"/>
      <c r="L30" s="2486"/>
      <c r="M30" s="2485"/>
      <c r="N30" s="2485"/>
      <c r="O30" s="2486"/>
      <c r="P30" s="2485"/>
      <c r="Q30" s="2485"/>
      <c r="R30" s="2487"/>
    </row>
    <row r="31" spans="1:18" s="794" customFormat="1">
      <c r="B31" s="2485"/>
      <c r="C31" s="2485"/>
      <c r="D31" s="2485"/>
      <c r="H31" s="2485"/>
      <c r="I31" s="2486"/>
      <c r="J31" s="2485"/>
      <c r="K31" s="2485"/>
      <c r="L31" s="2486"/>
      <c r="M31" s="2485"/>
      <c r="N31" s="2485"/>
      <c r="O31" s="2486"/>
      <c r="P31" s="2485"/>
      <c r="Q31" s="2485"/>
      <c r="R31" s="2487"/>
    </row>
    <row r="32" spans="1:18" s="794" customFormat="1">
      <c r="B32" s="2485"/>
      <c r="C32" s="2485"/>
      <c r="D32" s="2485"/>
      <c r="H32" s="2485"/>
      <c r="I32" s="2486"/>
      <c r="J32" s="2485"/>
      <c r="K32" s="2485"/>
      <c r="L32" s="2486"/>
      <c r="M32" s="2485"/>
      <c r="N32" s="2485"/>
      <c r="O32" s="2486"/>
      <c r="P32" s="2485"/>
      <c r="Q32" s="2485"/>
      <c r="R32" s="2487"/>
    </row>
    <row r="33" spans="2:18" s="794" customFormat="1">
      <c r="B33" s="2485"/>
      <c r="C33" s="2485"/>
      <c r="D33" s="2485"/>
      <c r="H33" s="2485"/>
      <c r="I33" s="2486"/>
      <c r="J33" s="2485"/>
      <c r="K33" s="2485"/>
      <c r="L33" s="2486"/>
      <c r="M33" s="2485"/>
      <c r="N33" s="2485"/>
      <c r="O33" s="2486"/>
      <c r="P33" s="2485"/>
      <c r="Q33" s="2485"/>
      <c r="R33" s="2487"/>
    </row>
    <row r="34" spans="2:18" s="794" customFormat="1">
      <c r="B34" s="2485"/>
      <c r="C34" s="2485"/>
      <c r="D34" s="2485"/>
      <c r="H34" s="2485"/>
      <c r="I34" s="2486"/>
      <c r="J34" s="2485"/>
      <c r="K34" s="2485"/>
      <c r="L34" s="2486"/>
      <c r="M34" s="2485"/>
      <c r="N34" s="2485"/>
      <c r="O34" s="2486"/>
      <c r="P34" s="2485"/>
      <c r="Q34" s="2485"/>
      <c r="R34" s="2487"/>
    </row>
    <row r="35" spans="2:18" s="794" customFormat="1">
      <c r="B35" s="2485"/>
      <c r="C35" s="2485"/>
      <c r="D35" s="2485"/>
      <c r="H35" s="2485"/>
      <c r="I35" s="2486"/>
      <c r="J35" s="2485"/>
      <c r="K35" s="2485"/>
      <c r="L35" s="2486"/>
      <c r="M35" s="2485"/>
      <c r="N35" s="2485"/>
      <c r="O35" s="2486"/>
      <c r="P35" s="2485"/>
      <c r="Q35" s="2485"/>
      <c r="R35" s="2487"/>
    </row>
    <row r="36" spans="2:18" s="794" customFormat="1">
      <c r="B36" s="2485"/>
      <c r="C36" s="2485"/>
      <c r="D36" s="2485"/>
      <c r="H36" s="2485"/>
      <c r="I36" s="2486"/>
      <c r="J36" s="2485"/>
      <c r="K36" s="2485"/>
      <c r="L36" s="2486"/>
      <c r="M36" s="2485"/>
      <c r="N36" s="2485"/>
      <c r="O36" s="2486"/>
      <c r="P36" s="2485"/>
      <c r="Q36" s="2485"/>
      <c r="R36" s="2487"/>
    </row>
    <row r="37" spans="2:18" s="794" customFormat="1">
      <c r="B37" s="2485"/>
      <c r="C37" s="2485"/>
      <c r="D37" s="2485"/>
      <c r="H37" s="2485"/>
      <c r="I37" s="2486"/>
      <c r="J37" s="2485"/>
      <c r="K37" s="2485"/>
      <c r="L37" s="2486"/>
      <c r="M37" s="2485"/>
      <c r="N37" s="2485"/>
      <c r="O37" s="2486"/>
      <c r="P37" s="2485"/>
      <c r="Q37" s="2485"/>
      <c r="R37" s="2487"/>
    </row>
    <row r="38" spans="2:18" s="794" customFormat="1">
      <c r="B38" s="2485"/>
      <c r="C38" s="2485"/>
      <c r="D38" s="2485"/>
      <c r="E38" s="2485"/>
      <c r="F38" s="2485"/>
      <c r="G38" s="2486"/>
      <c r="H38" s="2485"/>
      <c r="I38" s="2486"/>
      <c r="J38" s="2485"/>
      <c r="K38" s="2485"/>
      <c r="L38" s="2486"/>
      <c r="M38" s="2485"/>
      <c r="N38" s="2485"/>
      <c r="O38" s="2486"/>
      <c r="P38" s="2485"/>
      <c r="Q38" s="2485"/>
      <c r="R38" s="2487"/>
    </row>
    <row r="39" spans="2:18" s="794" customFormat="1">
      <c r="B39" s="2485"/>
      <c r="C39" s="2485"/>
      <c r="D39" s="2485"/>
      <c r="E39" s="2485"/>
      <c r="F39" s="2485"/>
      <c r="G39" s="2486"/>
      <c r="H39" s="2485"/>
      <c r="I39" s="2486"/>
      <c r="J39" s="2485"/>
      <c r="K39" s="2485"/>
      <c r="L39" s="2486"/>
      <c r="M39" s="2485"/>
      <c r="N39" s="2485"/>
      <c r="O39" s="2486"/>
      <c r="P39" s="2485"/>
      <c r="Q39" s="2485"/>
      <c r="R39" s="2487"/>
    </row>
    <row r="40" spans="2:18" s="794" customFormat="1">
      <c r="B40" s="2485"/>
      <c r="C40" s="2485"/>
      <c r="D40" s="2485"/>
      <c r="E40" s="2485"/>
      <c r="F40" s="2485"/>
      <c r="G40" s="2486"/>
      <c r="H40" s="2485"/>
      <c r="I40" s="2486"/>
      <c r="J40" s="2485"/>
      <c r="K40" s="2485"/>
      <c r="L40" s="2486"/>
      <c r="M40" s="2485"/>
      <c r="N40" s="2485"/>
      <c r="O40" s="2486"/>
      <c r="P40" s="2485"/>
      <c r="Q40" s="2485"/>
      <c r="R40" s="2487"/>
    </row>
    <row r="41" spans="2:18" s="794" customFormat="1">
      <c r="B41" s="2485"/>
      <c r="C41" s="2485"/>
      <c r="D41" s="2485"/>
      <c r="E41" s="2485"/>
      <c r="F41" s="2485"/>
      <c r="G41" s="2486"/>
      <c r="H41" s="2485"/>
      <c r="I41" s="2486"/>
      <c r="J41" s="2485"/>
      <c r="K41" s="2485"/>
      <c r="L41" s="2486"/>
      <c r="M41" s="2485"/>
      <c r="N41" s="2485"/>
      <c r="O41" s="2486"/>
      <c r="P41" s="2485"/>
      <c r="Q41" s="2485"/>
      <c r="R41" s="2487"/>
    </row>
    <row r="42" spans="2:18" s="794" customFormat="1">
      <c r="B42" s="2485"/>
      <c r="C42" s="2485"/>
      <c r="D42" s="2485"/>
      <c r="E42" s="2485"/>
      <c r="F42" s="2485"/>
      <c r="G42" s="2486"/>
      <c r="H42" s="2485"/>
      <c r="I42" s="2486"/>
      <c r="J42" s="2485"/>
      <c r="K42" s="2485"/>
      <c r="L42" s="2486"/>
      <c r="M42" s="2485"/>
      <c r="N42" s="2485"/>
      <c r="O42" s="2486"/>
      <c r="P42" s="2485"/>
      <c r="Q42" s="2485"/>
      <c r="R42" s="2487"/>
    </row>
    <row r="43" spans="2:18" s="794" customFormat="1">
      <c r="B43" s="2485"/>
      <c r="C43" s="2485"/>
      <c r="D43" s="2485"/>
      <c r="E43" s="2485"/>
      <c r="F43" s="2485"/>
      <c r="G43" s="2486"/>
      <c r="H43" s="2485"/>
      <c r="I43" s="2486"/>
      <c r="J43" s="2485"/>
      <c r="K43" s="2485"/>
      <c r="L43" s="2486"/>
      <c r="M43" s="2485"/>
      <c r="N43" s="2485"/>
      <c r="O43" s="2486"/>
      <c r="P43" s="2485"/>
      <c r="Q43" s="2485"/>
      <c r="R43" s="2487"/>
    </row>
    <row r="44" spans="2:18" s="794" customFormat="1">
      <c r="B44" s="2485"/>
      <c r="C44" s="2485"/>
      <c r="D44" s="2485"/>
      <c r="E44" s="2485"/>
      <c r="F44" s="2485"/>
      <c r="G44" s="2486"/>
      <c r="H44" s="2485"/>
      <c r="I44" s="2486"/>
      <c r="J44" s="2485"/>
      <c r="K44" s="2485"/>
      <c r="L44" s="2486"/>
      <c r="M44" s="2485"/>
      <c r="N44" s="2485"/>
      <c r="O44" s="2486"/>
      <c r="P44" s="2485"/>
      <c r="Q44" s="2485"/>
      <c r="R44" s="2487"/>
    </row>
    <row r="45" spans="2:18" s="794" customFormat="1">
      <c r="B45" s="2485"/>
      <c r="C45" s="2485"/>
      <c r="D45" s="2485"/>
      <c r="E45" s="2485"/>
      <c r="F45" s="2485"/>
      <c r="G45" s="2486"/>
      <c r="H45" s="2485"/>
      <c r="I45" s="2486"/>
      <c r="J45" s="2485"/>
      <c r="K45" s="2485"/>
      <c r="L45" s="2486"/>
      <c r="M45" s="2485"/>
      <c r="N45" s="2485"/>
      <c r="O45" s="2486"/>
      <c r="P45" s="2485"/>
      <c r="Q45" s="2485"/>
      <c r="R45" s="2487"/>
    </row>
    <row r="46" spans="2:18" s="794" customFormat="1">
      <c r="B46" s="2485"/>
      <c r="C46" s="2485"/>
      <c r="D46" s="2485"/>
      <c r="E46" s="2485"/>
      <c r="F46" s="2485"/>
      <c r="G46" s="2486"/>
      <c r="H46" s="2485"/>
      <c r="I46" s="2486"/>
      <c r="J46" s="2485"/>
      <c r="K46" s="2485"/>
      <c r="L46" s="2486"/>
      <c r="M46" s="2485"/>
      <c r="N46" s="2485"/>
      <c r="O46" s="2486"/>
      <c r="P46" s="2485"/>
      <c r="Q46" s="2485"/>
      <c r="R46" s="2487"/>
    </row>
    <row r="47" spans="2:18" s="794" customFormat="1">
      <c r="B47" s="2485"/>
      <c r="C47" s="2485"/>
      <c r="D47" s="2485"/>
      <c r="E47" s="2485"/>
      <c r="F47" s="2485"/>
      <c r="G47" s="2486"/>
      <c r="H47" s="2485"/>
      <c r="I47" s="2486"/>
      <c r="J47" s="2485"/>
      <c r="K47" s="2485"/>
      <c r="L47" s="2486"/>
      <c r="M47" s="2485"/>
      <c r="N47" s="2485"/>
      <c r="O47" s="2486"/>
      <c r="P47" s="2485"/>
      <c r="Q47" s="2485"/>
      <c r="R47" s="2487"/>
    </row>
    <row r="48" spans="2:18" s="794" customFormat="1">
      <c r="B48" s="2485"/>
      <c r="C48" s="2485"/>
      <c r="D48" s="2485"/>
      <c r="E48" s="2485"/>
      <c r="F48" s="2485"/>
      <c r="G48" s="2486"/>
      <c r="H48" s="2485"/>
      <c r="I48" s="2486"/>
      <c r="J48" s="2485"/>
      <c r="K48" s="2485"/>
      <c r="L48" s="2486"/>
      <c r="M48" s="2485"/>
      <c r="N48" s="2485"/>
      <c r="O48" s="2486"/>
      <c r="P48" s="2485"/>
      <c r="Q48" s="2485"/>
      <c r="R48" s="2487"/>
    </row>
    <row r="49" spans="2:18" s="794" customFormat="1">
      <c r="B49" s="2485"/>
      <c r="C49" s="2485"/>
      <c r="D49" s="2485"/>
      <c r="E49" s="2485"/>
      <c r="F49" s="2485"/>
      <c r="G49" s="2486"/>
      <c r="H49" s="2485"/>
      <c r="I49" s="2486"/>
      <c r="J49" s="2485"/>
      <c r="K49" s="2485"/>
      <c r="L49" s="2486"/>
      <c r="M49" s="2485"/>
      <c r="N49" s="2485"/>
      <c r="O49" s="2486"/>
      <c r="P49" s="2485"/>
      <c r="Q49" s="2485"/>
      <c r="R49" s="2487"/>
    </row>
    <row r="50" spans="2:18" s="794" customFormat="1">
      <c r="B50" s="2485"/>
      <c r="C50" s="2485"/>
      <c r="D50" s="2485"/>
      <c r="E50" s="2485"/>
      <c r="F50" s="2485"/>
      <c r="G50" s="2486"/>
      <c r="H50" s="2485"/>
      <c r="I50" s="2486"/>
      <c r="J50" s="2485"/>
      <c r="K50" s="2485"/>
      <c r="L50" s="2486"/>
      <c r="M50" s="2485"/>
      <c r="N50" s="2485"/>
      <c r="O50" s="2486"/>
      <c r="P50" s="2485"/>
      <c r="Q50" s="2485"/>
      <c r="R50" s="2487"/>
    </row>
    <row r="51" spans="2:18" s="794" customFormat="1">
      <c r="B51" s="2485"/>
      <c r="C51" s="2485"/>
      <c r="D51" s="2485"/>
      <c r="E51" s="2485"/>
      <c r="F51" s="2485"/>
      <c r="G51" s="2486"/>
      <c r="H51" s="2485"/>
      <c r="I51" s="2486"/>
      <c r="J51" s="2485"/>
      <c r="K51" s="2485"/>
      <c r="L51" s="2486"/>
      <c r="M51" s="2485"/>
      <c r="N51" s="2485"/>
      <c r="O51" s="2486"/>
      <c r="P51" s="2485"/>
      <c r="Q51" s="2485"/>
      <c r="R51" s="2487"/>
    </row>
    <row r="52" spans="2:18" s="794" customFormat="1">
      <c r="B52" s="2485"/>
      <c r="C52" s="2485"/>
      <c r="D52" s="2485"/>
      <c r="E52" s="2485"/>
      <c r="F52" s="2485"/>
      <c r="G52" s="2486"/>
      <c r="H52" s="2485"/>
      <c r="I52" s="2486"/>
      <c r="J52" s="2485"/>
      <c r="K52" s="2485"/>
      <c r="L52" s="2486"/>
      <c r="M52" s="2485"/>
      <c r="N52" s="2485"/>
      <c r="O52" s="2486"/>
      <c r="P52" s="2485"/>
      <c r="Q52" s="2485"/>
      <c r="R52" s="2487"/>
    </row>
    <row r="53" spans="2:18" s="794" customFormat="1">
      <c r="B53" s="2485"/>
      <c r="C53" s="2485"/>
      <c r="D53" s="2485"/>
      <c r="E53" s="2485"/>
      <c r="F53" s="2485"/>
      <c r="G53" s="2486"/>
      <c r="H53" s="2485"/>
      <c r="I53" s="2486"/>
      <c r="J53" s="2485"/>
      <c r="K53" s="2485"/>
      <c r="L53" s="2486"/>
      <c r="M53" s="2485"/>
      <c r="N53" s="2485"/>
      <c r="O53" s="2486"/>
      <c r="P53" s="2485"/>
      <c r="Q53" s="2485"/>
      <c r="R53" s="2487"/>
    </row>
    <row r="54" spans="2:18" s="794" customFormat="1">
      <c r="B54" s="2485"/>
      <c r="C54" s="2485"/>
      <c r="D54" s="2485"/>
      <c r="E54" s="2485"/>
      <c r="F54" s="2485"/>
      <c r="G54" s="2486"/>
      <c r="H54" s="2485"/>
      <c r="I54" s="2486"/>
      <c r="J54" s="2485"/>
      <c r="K54" s="2485"/>
      <c r="L54" s="2486"/>
      <c r="M54" s="2485"/>
      <c r="N54" s="2485"/>
      <c r="O54" s="2486"/>
      <c r="P54" s="2485"/>
      <c r="Q54" s="2485"/>
      <c r="R54" s="2487"/>
    </row>
    <row r="55" spans="2:18" s="794" customFormat="1">
      <c r="B55" s="2485"/>
      <c r="C55" s="2485"/>
      <c r="D55" s="2485"/>
      <c r="E55" s="2485"/>
      <c r="F55" s="2485"/>
      <c r="G55" s="2486"/>
      <c r="H55" s="2485"/>
      <c r="I55" s="2486"/>
      <c r="J55" s="2485"/>
      <c r="K55" s="2485"/>
      <c r="L55" s="2486"/>
      <c r="M55" s="2485"/>
      <c r="N55" s="2485"/>
      <c r="O55" s="2486"/>
      <c r="P55" s="2485"/>
      <c r="Q55" s="2485"/>
      <c r="R55" s="2487"/>
    </row>
    <row r="56" spans="2:18" s="794" customFormat="1">
      <c r="B56" s="2485"/>
      <c r="C56" s="2485"/>
      <c r="D56" s="2485"/>
      <c r="E56" s="2485"/>
      <c r="F56" s="2485"/>
      <c r="G56" s="2486"/>
      <c r="H56" s="2485"/>
      <c r="I56" s="2486"/>
      <c r="J56" s="2485"/>
      <c r="K56" s="2485"/>
      <c r="L56" s="2486"/>
      <c r="M56" s="2485"/>
      <c r="N56" s="2485"/>
      <c r="O56" s="2486"/>
      <c r="P56" s="2485"/>
      <c r="Q56" s="2485"/>
      <c r="R56" s="2487"/>
    </row>
    <row r="57" spans="2:18" s="794" customFormat="1">
      <c r="B57" s="2485"/>
      <c r="C57" s="2485"/>
      <c r="D57" s="2485"/>
      <c r="E57" s="2485"/>
      <c r="F57" s="2485"/>
      <c r="G57" s="2486"/>
      <c r="H57" s="2485"/>
      <c r="I57" s="2486"/>
      <c r="J57" s="2485"/>
      <c r="K57" s="2485"/>
      <c r="L57" s="2486"/>
      <c r="M57" s="2485"/>
      <c r="N57" s="2485"/>
      <c r="O57" s="2486"/>
      <c r="P57" s="2485"/>
      <c r="Q57" s="2485"/>
      <c r="R57" s="2487"/>
    </row>
    <row r="58" spans="2:18" s="794" customFormat="1">
      <c r="B58" s="2485"/>
      <c r="C58" s="2485"/>
      <c r="D58" s="2485"/>
      <c r="E58" s="2485"/>
      <c r="F58" s="2485"/>
      <c r="G58" s="2486"/>
      <c r="H58" s="2485"/>
      <c r="I58" s="2486"/>
      <c r="J58" s="2485"/>
      <c r="K58" s="2485"/>
      <c r="L58" s="2486"/>
      <c r="M58" s="2485"/>
      <c r="N58" s="2485"/>
      <c r="O58" s="2486"/>
      <c r="P58" s="2485"/>
      <c r="Q58" s="2485"/>
      <c r="R58" s="2487"/>
    </row>
    <row r="59" spans="2:18" s="794" customFormat="1">
      <c r="B59" s="2485"/>
      <c r="C59" s="2485"/>
      <c r="D59" s="2485"/>
      <c r="E59" s="2485"/>
      <c r="F59" s="2485"/>
      <c r="G59" s="2486"/>
      <c r="H59" s="2485"/>
      <c r="I59" s="2486"/>
      <c r="J59" s="2485"/>
      <c r="K59" s="2485"/>
      <c r="L59" s="2486"/>
      <c r="M59" s="2485"/>
      <c r="N59" s="2485"/>
      <c r="O59" s="2486"/>
      <c r="P59" s="2485"/>
      <c r="Q59" s="2485"/>
      <c r="R59" s="2487"/>
    </row>
    <row r="60" spans="2:18" s="794" customFormat="1">
      <c r="B60" s="2485"/>
      <c r="C60" s="2485"/>
      <c r="D60" s="2485"/>
      <c r="E60" s="2485"/>
      <c r="F60" s="2485"/>
      <c r="G60" s="2486"/>
      <c r="H60" s="2485"/>
      <c r="I60" s="2486"/>
      <c r="J60" s="2485"/>
      <c r="K60" s="2485"/>
      <c r="L60" s="2486"/>
      <c r="M60" s="2485"/>
      <c r="N60" s="2485"/>
      <c r="O60" s="2486"/>
      <c r="P60" s="2485"/>
      <c r="Q60" s="2485"/>
      <c r="R60" s="2487"/>
    </row>
    <row r="61" spans="2:18" s="794" customFormat="1">
      <c r="B61" s="2485"/>
      <c r="C61" s="2485"/>
      <c r="D61" s="2485"/>
      <c r="E61" s="2485"/>
      <c r="F61" s="2485"/>
      <c r="G61" s="2486"/>
      <c r="H61" s="2485"/>
      <c r="I61" s="2486"/>
      <c r="J61" s="2485"/>
      <c r="K61" s="2485"/>
      <c r="L61" s="2486"/>
      <c r="M61" s="2485"/>
      <c r="N61" s="2485"/>
      <c r="O61" s="2486"/>
      <c r="P61" s="2485"/>
      <c r="Q61" s="2485"/>
      <c r="R61" s="2487"/>
    </row>
    <row r="62" spans="2:18" s="794" customFormat="1">
      <c r="B62" s="2485"/>
      <c r="C62" s="2485"/>
      <c r="D62" s="2485"/>
      <c r="E62" s="2485"/>
      <c r="F62" s="2485"/>
      <c r="G62" s="2486"/>
      <c r="H62" s="2485"/>
      <c r="I62" s="2486"/>
      <c r="J62" s="2485"/>
      <c r="K62" s="2485"/>
      <c r="L62" s="2486"/>
      <c r="M62" s="2485"/>
      <c r="N62" s="2485"/>
      <c r="O62" s="2486"/>
      <c r="P62" s="2485"/>
      <c r="Q62" s="2485"/>
      <c r="R62" s="2487"/>
    </row>
    <row r="63" spans="2:18" s="794" customFormat="1">
      <c r="B63" s="2485"/>
      <c r="C63" s="2485"/>
      <c r="D63" s="2485"/>
      <c r="E63" s="2485"/>
      <c r="F63" s="2485"/>
      <c r="G63" s="2486"/>
      <c r="H63" s="2485"/>
      <c r="I63" s="2486"/>
      <c r="J63" s="2485"/>
      <c r="K63" s="2485"/>
      <c r="L63" s="2486"/>
      <c r="M63" s="2485"/>
      <c r="N63" s="2485"/>
      <c r="O63" s="2486"/>
      <c r="P63" s="2485"/>
      <c r="Q63" s="2485"/>
      <c r="R63" s="2487"/>
    </row>
    <row r="64" spans="2:18" s="794" customFormat="1">
      <c r="B64" s="2485"/>
      <c r="C64" s="2485"/>
      <c r="D64" s="2485"/>
      <c r="E64" s="2485"/>
      <c r="F64" s="2485"/>
      <c r="G64" s="2486"/>
      <c r="H64" s="2485"/>
      <c r="I64" s="2486"/>
      <c r="J64" s="2485"/>
      <c r="K64" s="2485"/>
      <c r="L64" s="2486"/>
      <c r="M64" s="2485"/>
      <c r="N64" s="2485"/>
      <c r="O64" s="2486"/>
      <c r="P64" s="2485"/>
      <c r="Q64" s="2485"/>
      <c r="R64" s="2487"/>
    </row>
    <row r="65" spans="2:18" s="794" customFormat="1">
      <c r="B65" s="2485"/>
      <c r="C65" s="2485"/>
      <c r="D65" s="2485"/>
      <c r="E65" s="2485"/>
      <c r="F65" s="2485"/>
      <c r="G65" s="2486"/>
      <c r="H65" s="2485"/>
      <c r="I65" s="2486"/>
      <c r="J65" s="2485"/>
      <c r="K65" s="2485"/>
      <c r="L65" s="2486"/>
      <c r="M65" s="2485"/>
      <c r="N65" s="2485"/>
      <c r="O65" s="2486"/>
      <c r="P65" s="2485"/>
      <c r="Q65" s="2485"/>
      <c r="R65" s="2487"/>
    </row>
    <row r="66" spans="2:18" s="794" customFormat="1">
      <c r="B66" s="2485"/>
      <c r="C66" s="2485"/>
      <c r="D66" s="2485"/>
      <c r="E66" s="2485"/>
      <c r="F66" s="2485"/>
      <c r="G66" s="2486"/>
      <c r="H66" s="2485"/>
      <c r="I66" s="2486"/>
      <c r="J66" s="2485"/>
      <c r="K66" s="2485"/>
      <c r="L66" s="2486"/>
      <c r="M66" s="2485"/>
      <c r="N66" s="2485"/>
      <c r="O66" s="2486"/>
      <c r="P66" s="2485"/>
      <c r="Q66" s="2485"/>
      <c r="R66" s="2487"/>
    </row>
    <row r="67" spans="2:18" s="794" customFormat="1">
      <c r="B67" s="2485"/>
      <c r="C67" s="2485"/>
      <c r="D67" s="2485"/>
      <c r="E67" s="2485"/>
      <c r="F67" s="2485"/>
      <c r="G67" s="2486"/>
      <c r="H67" s="2485"/>
      <c r="I67" s="2486"/>
      <c r="J67" s="2485"/>
      <c r="K67" s="2485"/>
      <c r="L67" s="2486"/>
      <c r="M67" s="2485"/>
      <c r="N67" s="2485"/>
      <c r="O67" s="2486"/>
      <c r="P67" s="2485"/>
      <c r="Q67" s="2485"/>
      <c r="R67" s="2487"/>
    </row>
    <row r="68" spans="2:18" s="794" customFormat="1">
      <c r="B68" s="2485"/>
      <c r="C68" s="2485"/>
      <c r="D68" s="2485"/>
      <c r="E68" s="2485"/>
      <c r="F68" s="2485"/>
      <c r="G68" s="2486"/>
      <c r="H68" s="2485"/>
      <c r="I68" s="2486"/>
      <c r="J68" s="2485"/>
      <c r="K68" s="2485"/>
      <c r="L68" s="2486"/>
      <c r="M68" s="2485"/>
      <c r="N68" s="2485"/>
      <c r="O68" s="2486"/>
      <c r="P68" s="2485"/>
      <c r="Q68" s="2485"/>
      <c r="R68" s="2487"/>
    </row>
    <row r="69" spans="2:18" s="794" customFormat="1">
      <c r="B69" s="2485"/>
      <c r="C69" s="2485"/>
      <c r="D69" s="2485"/>
      <c r="E69" s="2485"/>
      <c r="F69" s="2485"/>
      <c r="G69" s="2486"/>
      <c r="H69" s="2485"/>
      <c r="I69" s="2486"/>
      <c r="J69" s="2485"/>
      <c r="K69" s="2485"/>
      <c r="L69" s="2486"/>
      <c r="M69" s="2485"/>
      <c r="N69" s="2485"/>
      <c r="O69" s="2486"/>
      <c r="P69" s="2485"/>
      <c r="Q69" s="2485"/>
      <c r="R69" s="2487"/>
    </row>
    <row r="70" spans="2:18" s="794" customFormat="1">
      <c r="B70" s="2485"/>
      <c r="C70" s="2485"/>
      <c r="D70" s="2485"/>
      <c r="E70" s="2485"/>
      <c r="F70" s="2485"/>
      <c r="G70" s="2486"/>
      <c r="H70" s="2485"/>
      <c r="I70" s="2486"/>
      <c r="J70" s="2485"/>
      <c r="K70" s="2485"/>
      <c r="L70" s="2486"/>
      <c r="M70" s="2485"/>
      <c r="N70" s="2485"/>
      <c r="O70" s="2486"/>
      <c r="P70" s="2485"/>
      <c r="Q70" s="2485"/>
      <c r="R70" s="2487"/>
    </row>
    <row r="71" spans="2:18" s="794" customFormat="1">
      <c r="B71" s="2485"/>
      <c r="C71" s="2485"/>
      <c r="D71" s="2485"/>
      <c r="E71" s="2485"/>
      <c r="F71" s="2485"/>
      <c r="G71" s="2486"/>
      <c r="H71" s="2485"/>
      <c r="I71" s="2486"/>
      <c r="J71" s="2485"/>
      <c r="K71" s="2485"/>
      <c r="L71" s="2486"/>
      <c r="M71" s="2485"/>
      <c r="N71" s="2485"/>
      <c r="O71" s="2486"/>
      <c r="P71" s="2485"/>
      <c r="Q71" s="2485"/>
      <c r="R71" s="2487"/>
    </row>
    <row r="72" spans="2:18" s="794" customFormat="1">
      <c r="B72" s="2485"/>
      <c r="C72" s="2485"/>
      <c r="D72" s="2485"/>
      <c r="E72" s="2485"/>
      <c r="F72" s="2485"/>
      <c r="G72" s="2486"/>
      <c r="H72" s="2485"/>
      <c r="I72" s="2486"/>
      <c r="J72" s="2485"/>
      <c r="K72" s="2485"/>
      <c r="L72" s="2486"/>
      <c r="M72" s="2485"/>
      <c r="N72" s="2485"/>
      <c r="O72" s="2486"/>
      <c r="P72" s="2485"/>
      <c r="Q72" s="2485"/>
      <c r="R72" s="2487"/>
    </row>
    <row r="73" spans="2:18" s="794" customFormat="1">
      <c r="B73" s="2485"/>
      <c r="C73" s="2485"/>
      <c r="D73" s="2485"/>
      <c r="E73" s="2485"/>
      <c r="F73" s="2485"/>
      <c r="G73" s="2486"/>
      <c r="H73" s="2485"/>
      <c r="I73" s="2486"/>
      <c r="J73" s="2485"/>
      <c r="K73" s="2485"/>
      <c r="L73" s="2486"/>
      <c r="M73" s="2485"/>
      <c r="N73" s="2485"/>
      <c r="O73" s="2486"/>
      <c r="P73" s="2485"/>
      <c r="Q73" s="2485"/>
      <c r="R73" s="2487"/>
    </row>
    <row r="74" spans="2:18" s="794" customFormat="1">
      <c r="B74" s="2485"/>
      <c r="C74" s="2485"/>
      <c r="D74" s="2485"/>
      <c r="E74" s="2485"/>
      <c r="F74" s="2485"/>
      <c r="G74" s="2486"/>
      <c r="H74" s="2485"/>
      <c r="I74" s="2486"/>
      <c r="J74" s="2485"/>
      <c r="K74" s="2485"/>
      <c r="L74" s="2486"/>
      <c r="M74" s="2485"/>
      <c r="N74" s="2485"/>
      <c r="O74" s="2486"/>
      <c r="P74" s="2485"/>
      <c r="Q74" s="2485"/>
      <c r="R74" s="2487"/>
    </row>
    <row r="75" spans="2:18" s="794" customFormat="1">
      <c r="B75" s="2485"/>
      <c r="C75" s="2485"/>
      <c r="D75" s="2485"/>
      <c r="E75" s="2485"/>
      <c r="F75" s="2485"/>
      <c r="G75" s="2486"/>
      <c r="H75" s="2485"/>
      <c r="I75" s="2486"/>
      <c r="J75" s="2485"/>
      <c r="K75" s="2485"/>
      <c r="L75" s="2486"/>
      <c r="M75" s="2485"/>
      <c r="N75" s="2485"/>
      <c r="O75" s="2486"/>
      <c r="P75" s="2485"/>
      <c r="Q75" s="2485"/>
      <c r="R75" s="2487"/>
    </row>
    <row r="76" spans="2:18" s="794" customFormat="1">
      <c r="B76" s="2485"/>
      <c r="C76" s="2485"/>
      <c r="D76" s="2485"/>
      <c r="E76" s="2485"/>
      <c r="F76" s="2485"/>
      <c r="G76" s="2486"/>
      <c r="H76" s="2485"/>
      <c r="I76" s="2486"/>
      <c r="J76" s="2485"/>
      <c r="K76" s="2485"/>
      <c r="L76" s="2486"/>
      <c r="M76" s="2485"/>
      <c r="N76" s="2485"/>
      <c r="O76" s="2486"/>
      <c r="P76" s="2485"/>
      <c r="Q76" s="2485"/>
      <c r="R76" s="2487"/>
    </row>
    <row r="77" spans="2:18" s="794" customFormat="1">
      <c r="B77" s="2485"/>
      <c r="C77" s="2485"/>
      <c r="D77" s="2485"/>
      <c r="E77" s="2485"/>
      <c r="F77" s="2485"/>
      <c r="G77" s="2486"/>
      <c r="H77" s="2485"/>
      <c r="I77" s="2486"/>
      <c r="J77" s="2485"/>
      <c r="K77" s="2485"/>
      <c r="L77" s="2486"/>
      <c r="M77" s="2485"/>
      <c r="N77" s="2485"/>
      <c r="O77" s="2486"/>
      <c r="P77" s="2485"/>
      <c r="Q77" s="2485"/>
      <c r="R77" s="2487"/>
    </row>
    <row r="78" spans="2:18" s="794" customFormat="1">
      <c r="B78" s="2485"/>
      <c r="C78" s="2485"/>
      <c r="D78" s="2485"/>
      <c r="E78" s="2485"/>
      <c r="F78" s="2485"/>
      <c r="G78" s="2486"/>
      <c r="H78" s="2485"/>
      <c r="I78" s="2486"/>
      <c r="J78" s="2485"/>
      <c r="K78" s="2485"/>
      <c r="L78" s="2486"/>
      <c r="M78" s="2485"/>
      <c r="N78" s="2485"/>
      <c r="O78" s="2486"/>
      <c r="P78" s="2485"/>
      <c r="Q78" s="2485"/>
      <c r="R78" s="2487"/>
    </row>
    <row r="79" spans="2:18" s="794" customFormat="1">
      <c r="B79" s="2485"/>
      <c r="C79" s="2485"/>
      <c r="D79" s="2485"/>
      <c r="E79" s="2485"/>
      <c r="F79" s="2485"/>
      <c r="G79" s="2486"/>
      <c r="H79" s="2485"/>
      <c r="I79" s="2486"/>
      <c r="J79" s="2485"/>
      <c r="K79" s="2485"/>
      <c r="L79" s="2486"/>
      <c r="M79" s="2485"/>
      <c r="N79" s="2485"/>
      <c r="O79" s="2486"/>
      <c r="P79" s="2485"/>
      <c r="Q79" s="2485"/>
      <c r="R79" s="2487"/>
    </row>
    <row r="80" spans="2:18" s="794" customFormat="1">
      <c r="B80" s="2485"/>
      <c r="C80" s="2485"/>
      <c r="D80" s="2485"/>
      <c r="E80" s="2485"/>
      <c r="F80" s="2485"/>
      <c r="G80" s="2486"/>
      <c r="H80" s="2485"/>
      <c r="I80" s="2486"/>
      <c r="J80" s="2485"/>
      <c r="K80" s="2485"/>
      <c r="L80" s="2486"/>
      <c r="M80" s="2485"/>
      <c r="N80" s="2485"/>
      <c r="O80" s="2486"/>
      <c r="P80" s="2485"/>
      <c r="Q80" s="2485"/>
      <c r="R80" s="2487"/>
    </row>
    <row r="81" spans="2:18" s="794" customFormat="1">
      <c r="B81" s="2485"/>
      <c r="C81" s="2485"/>
      <c r="D81" s="2485"/>
      <c r="E81" s="2485"/>
      <c r="F81" s="2485"/>
      <c r="G81" s="2486"/>
      <c r="H81" s="2485"/>
      <c r="I81" s="2486"/>
      <c r="J81" s="2485"/>
      <c r="K81" s="2485"/>
      <c r="L81" s="2486"/>
      <c r="M81" s="2485"/>
      <c r="N81" s="2485"/>
      <c r="O81" s="2486"/>
      <c r="P81" s="2485"/>
      <c r="Q81" s="2485"/>
      <c r="R81" s="2487"/>
    </row>
    <row r="82" spans="2:18" s="794" customFormat="1">
      <c r="B82" s="2485"/>
      <c r="C82" s="2485"/>
      <c r="D82" s="2485"/>
      <c r="E82" s="2485"/>
      <c r="F82" s="2485"/>
      <c r="G82" s="2486"/>
      <c r="H82" s="2485"/>
      <c r="I82" s="2486"/>
      <c r="J82" s="2485"/>
      <c r="K82" s="2485"/>
      <c r="L82" s="2486"/>
      <c r="M82" s="2485"/>
      <c r="N82" s="2485"/>
      <c r="O82" s="2486"/>
      <c r="P82" s="2485"/>
      <c r="Q82" s="2485"/>
      <c r="R82" s="2487"/>
    </row>
    <row r="83" spans="2:18" s="794" customFormat="1">
      <c r="B83" s="2485"/>
      <c r="C83" s="2485"/>
      <c r="D83" s="2485"/>
      <c r="E83" s="2485"/>
      <c r="F83" s="2485"/>
      <c r="G83" s="2486"/>
      <c r="H83" s="2485"/>
      <c r="I83" s="2486"/>
      <c r="J83" s="2485"/>
      <c r="K83" s="2485"/>
      <c r="L83" s="2486"/>
      <c r="M83" s="2485"/>
      <c r="N83" s="2485"/>
      <c r="O83" s="2486"/>
      <c r="P83" s="2485"/>
      <c r="Q83" s="2485"/>
      <c r="R83" s="2487"/>
    </row>
    <row r="84" spans="2:18" s="794" customFormat="1">
      <c r="B84" s="2485"/>
      <c r="C84" s="2485"/>
      <c r="D84" s="2485"/>
      <c r="E84" s="2485"/>
      <c r="F84" s="2485"/>
      <c r="G84" s="2486"/>
      <c r="H84" s="2485"/>
      <c r="I84" s="2486"/>
      <c r="J84" s="2485"/>
      <c r="K84" s="2485"/>
      <c r="L84" s="2486"/>
      <c r="M84" s="2485"/>
      <c r="N84" s="2485"/>
      <c r="O84" s="2486"/>
      <c r="P84" s="2485"/>
      <c r="Q84" s="2485"/>
      <c r="R84" s="2487"/>
    </row>
    <row r="85" spans="2:18" s="794" customFormat="1">
      <c r="B85" s="2485"/>
      <c r="C85" s="2485"/>
      <c r="D85" s="2485"/>
      <c r="E85" s="2485"/>
      <c r="F85" s="2485"/>
      <c r="G85" s="2486"/>
      <c r="H85" s="2485"/>
      <c r="I85" s="2486"/>
      <c r="J85" s="2485"/>
      <c r="K85" s="2485"/>
      <c r="L85" s="2486"/>
      <c r="M85" s="2485"/>
      <c r="N85" s="2485"/>
      <c r="O85" s="2486"/>
      <c r="P85" s="2485"/>
      <c r="Q85" s="2485"/>
      <c r="R85" s="2487"/>
    </row>
    <row r="86" spans="2:18" s="794" customFormat="1">
      <c r="B86" s="2485"/>
      <c r="C86" s="2485"/>
      <c r="D86" s="2485"/>
      <c r="E86" s="2485"/>
      <c r="F86" s="2485"/>
      <c r="G86" s="2486"/>
      <c r="H86" s="2485"/>
      <c r="I86" s="2486"/>
      <c r="J86" s="2485"/>
      <c r="K86" s="2485"/>
      <c r="L86" s="2486"/>
      <c r="M86" s="2485"/>
      <c r="N86" s="2485"/>
      <c r="O86" s="2486"/>
      <c r="P86" s="2485"/>
      <c r="Q86" s="2485"/>
      <c r="R86" s="2487"/>
    </row>
    <row r="87" spans="2:18" s="794" customFormat="1">
      <c r="B87" s="2485"/>
      <c r="C87" s="2485"/>
      <c r="D87" s="2485"/>
      <c r="E87" s="2485"/>
      <c r="F87" s="2485"/>
      <c r="G87" s="2486"/>
      <c r="H87" s="2485"/>
      <c r="I87" s="2486"/>
      <c r="J87" s="2485"/>
      <c r="K87" s="2485"/>
      <c r="L87" s="2486"/>
      <c r="M87" s="2485"/>
      <c r="N87" s="2485"/>
      <c r="O87" s="2486"/>
      <c r="P87" s="2485"/>
      <c r="Q87" s="2485"/>
      <c r="R87" s="2487"/>
    </row>
    <row r="88" spans="2:18" s="794" customFormat="1">
      <c r="B88" s="2485"/>
      <c r="C88" s="2485"/>
      <c r="D88" s="2485"/>
      <c r="E88" s="2485"/>
      <c r="F88" s="2485"/>
      <c r="G88" s="2486"/>
      <c r="H88" s="2485"/>
      <c r="I88" s="2486"/>
      <c r="J88" s="2485"/>
      <c r="K88" s="2485"/>
      <c r="L88" s="2486"/>
      <c r="M88" s="2485"/>
      <c r="N88" s="2485"/>
      <c r="O88" s="2486"/>
      <c r="P88" s="2485"/>
      <c r="Q88" s="2485"/>
      <c r="R88" s="2487"/>
    </row>
    <row r="89" spans="2:18" s="794" customFormat="1">
      <c r="B89" s="2485"/>
      <c r="C89" s="2485"/>
      <c r="D89" s="2485"/>
      <c r="E89" s="2485"/>
      <c r="F89" s="2485"/>
      <c r="G89" s="2486"/>
      <c r="H89" s="2485"/>
      <c r="I89" s="2486"/>
      <c r="J89" s="2485"/>
      <c r="K89" s="2485"/>
      <c r="L89" s="2486"/>
      <c r="M89" s="2485"/>
      <c r="N89" s="2485"/>
      <c r="O89" s="2486"/>
      <c r="P89" s="2485"/>
      <c r="Q89" s="2485"/>
      <c r="R89" s="2487"/>
    </row>
    <row r="90" spans="2:18" s="794" customFormat="1">
      <c r="B90" s="2485"/>
      <c r="C90" s="2485"/>
      <c r="D90" s="2485"/>
      <c r="E90" s="2485"/>
      <c r="F90" s="2485"/>
      <c r="G90" s="2486"/>
      <c r="H90" s="2485"/>
      <c r="I90" s="2486"/>
      <c r="J90" s="2485"/>
      <c r="K90" s="2485"/>
      <c r="L90" s="2486"/>
      <c r="M90" s="2485"/>
      <c r="N90" s="2485"/>
      <c r="O90" s="2486"/>
      <c r="P90" s="2485"/>
      <c r="Q90" s="2485"/>
      <c r="R90" s="2487"/>
    </row>
    <row r="91" spans="2:18" s="794" customFormat="1">
      <c r="B91" s="2485"/>
      <c r="C91" s="2485"/>
      <c r="D91" s="2485"/>
      <c r="E91" s="2485"/>
      <c r="F91" s="2485"/>
      <c r="G91" s="2486"/>
      <c r="H91" s="2485"/>
      <c r="I91" s="2486"/>
      <c r="J91" s="2485"/>
      <c r="K91" s="2485"/>
      <c r="L91" s="2486"/>
      <c r="M91" s="2485"/>
      <c r="N91" s="2485"/>
      <c r="O91" s="2486"/>
      <c r="P91" s="2485"/>
      <c r="Q91" s="2485"/>
      <c r="R91" s="2487"/>
    </row>
    <row r="92" spans="2:18" s="794" customFormat="1">
      <c r="B92" s="2485"/>
      <c r="C92" s="2485"/>
      <c r="D92" s="2485"/>
      <c r="E92" s="2485"/>
      <c r="F92" s="2485"/>
      <c r="G92" s="2486"/>
      <c r="H92" s="2485"/>
      <c r="I92" s="2486"/>
      <c r="J92" s="2485"/>
      <c r="K92" s="2485"/>
      <c r="L92" s="2486"/>
      <c r="M92" s="2485"/>
      <c r="N92" s="2485"/>
      <c r="O92" s="2486"/>
      <c r="P92" s="2485"/>
      <c r="Q92" s="2485"/>
      <c r="R92" s="2487"/>
    </row>
    <row r="93" spans="2:18" s="794" customFormat="1">
      <c r="B93" s="2485"/>
      <c r="C93" s="2485"/>
      <c r="D93" s="2485"/>
      <c r="E93" s="2485"/>
      <c r="F93" s="2485"/>
      <c r="G93" s="2486"/>
      <c r="H93" s="2485"/>
      <c r="I93" s="2486"/>
      <c r="J93" s="2485"/>
      <c r="K93" s="2485"/>
      <c r="L93" s="2486"/>
      <c r="M93" s="2485"/>
      <c r="N93" s="2485"/>
      <c r="O93" s="2486"/>
      <c r="P93" s="2485"/>
      <c r="Q93" s="2485"/>
      <c r="R93" s="2487"/>
    </row>
    <row r="94" spans="2:18" s="794" customFormat="1">
      <c r="B94" s="2485"/>
      <c r="C94" s="2485"/>
      <c r="D94" s="2485"/>
      <c r="E94" s="2485"/>
      <c r="F94" s="2485"/>
      <c r="G94" s="2486"/>
      <c r="H94" s="2485"/>
      <c r="I94" s="2486"/>
      <c r="J94" s="2485"/>
      <c r="K94" s="2485"/>
      <c r="L94" s="2486"/>
      <c r="M94" s="2485"/>
      <c r="N94" s="2485"/>
      <c r="O94" s="2486"/>
      <c r="P94" s="2485"/>
      <c r="Q94" s="2485"/>
      <c r="R94" s="2487"/>
    </row>
    <row r="95" spans="2:18" s="794" customFormat="1">
      <c r="B95" s="2485"/>
      <c r="C95" s="2485"/>
      <c r="D95" s="2485"/>
      <c r="E95" s="2485"/>
      <c r="F95" s="2485"/>
      <c r="G95" s="2486"/>
      <c r="H95" s="2485"/>
      <c r="I95" s="2486"/>
      <c r="J95" s="2485"/>
      <c r="K95" s="2485"/>
      <c r="L95" s="2486"/>
      <c r="M95" s="2485"/>
      <c r="N95" s="2485"/>
      <c r="O95" s="2486"/>
      <c r="P95" s="2485"/>
      <c r="Q95" s="2485"/>
      <c r="R95" s="2487"/>
    </row>
    <row r="96" spans="2:18" s="794" customFormat="1">
      <c r="B96" s="2485"/>
      <c r="C96" s="2485"/>
      <c r="D96" s="2485"/>
      <c r="E96" s="2485"/>
      <c r="F96" s="2485"/>
      <c r="G96" s="2486"/>
      <c r="H96" s="2485"/>
      <c r="I96" s="2486"/>
      <c r="J96" s="2485"/>
      <c r="K96" s="2485"/>
      <c r="L96" s="2486"/>
      <c r="M96" s="2485"/>
      <c r="N96" s="2485"/>
      <c r="O96" s="2486"/>
      <c r="P96" s="2485"/>
      <c r="Q96" s="2485"/>
      <c r="R96" s="2487"/>
    </row>
    <row r="97" spans="2:18" s="794" customFormat="1">
      <c r="B97" s="2485"/>
      <c r="C97" s="2485"/>
      <c r="D97" s="2485"/>
      <c r="E97" s="2485"/>
      <c r="F97" s="2485"/>
      <c r="G97" s="2486"/>
      <c r="H97" s="2485"/>
      <c r="I97" s="2486"/>
      <c r="J97" s="2485"/>
      <c r="K97" s="2485"/>
      <c r="L97" s="2486"/>
      <c r="M97" s="2485"/>
      <c r="N97" s="2485"/>
      <c r="O97" s="2486"/>
      <c r="P97" s="2485"/>
      <c r="Q97" s="2485"/>
      <c r="R97" s="2487"/>
    </row>
    <row r="98" spans="2:18" s="794" customFormat="1">
      <c r="B98" s="2485"/>
      <c r="C98" s="2485"/>
      <c r="D98" s="2485"/>
      <c r="E98" s="2485"/>
      <c r="F98" s="2485"/>
      <c r="G98" s="2486"/>
      <c r="H98" s="2485"/>
      <c r="I98" s="2486"/>
      <c r="J98" s="2485"/>
      <c r="K98" s="2485"/>
      <c r="L98" s="2486"/>
      <c r="M98" s="2485"/>
      <c r="N98" s="2485"/>
      <c r="O98" s="2486"/>
      <c r="P98" s="2485"/>
      <c r="Q98" s="2485"/>
      <c r="R98" s="2487"/>
    </row>
    <row r="99" spans="2:18" s="794" customFormat="1">
      <c r="B99" s="2485"/>
      <c r="C99" s="2485"/>
      <c r="D99" s="2485"/>
      <c r="E99" s="2485"/>
      <c r="F99" s="2485"/>
      <c r="G99" s="2486"/>
      <c r="H99" s="2485"/>
      <c r="I99" s="2486"/>
      <c r="J99" s="2485"/>
      <c r="K99" s="2485"/>
      <c r="L99" s="2486"/>
      <c r="M99" s="2485"/>
      <c r="N99" s="2485"/>
      <c r="O99" s="2486"/>
      <c r="P99" s="2485"/>
      <c r="Q99" s="2485"/>
      <c r="R99" s="2487"/>
    </row>
    <row r="100" spans="2:18" s="794" customFormat="1">
      <c r="B100" s="2485"/>
      <c r="C100" s="2485"/>
      <c r="D100" s="2485"/>
      <c r="E100" s="2485"/>
      <c r="F100" s="2485"/>
      <c r="G100" s="2486"/>
      <c r="H100" s="2485"/>
      <c r="I100" s="2486"/>
      <c r="J100" s="2485"/>
      <c r="K100" s="2485"/>
      <c r="L100" s="2486"/>
      <c r="M100" s="2485"/>
      <c r="N100" s="2485"/>
      <c r="O100" s="2486"/>
      <c r="P100" s="2485"/>
      <c r="Q100" s="2485"/>
      <c r="R100" s="2487"/>
    </row>
    <row r="101" spans="2:18" s="794" customFormat="1">
      <c r="B101" s="2485"/>
      <c r="C101" s="2485"/>
      <c r="D101" s="2485"/>
      <c r="E101" s="2485"/>
      <c r="F101" s="2485"/>
      <c r="G101" s="2486"/>
      <c r="H101" s="2485"/>
      <c r="I101" s="2486"/>
      <c r="J101" s="2485"/>
      <c r="K101" s="2485"/>
      <c r="L101" s="2486"/>
      <c r="M101" s="2485"/>
      <c r="N101" s="2485"/>
      <c r="O101" s="2486"/>
      <c r="P101" s="2485"/>
      <c r="Q101" s="2485"/>
      <c r="R101" s="2487"/>
    </row>
    <row r="102" spans="2:18" s="794" customFormat="1">
      <c r="B102" s="2485"/>
      <c r="C102" s="2485"/>
      <c r="D102" s="2485"/>
      <c r="E102" s="2485"/>
      <c r="F102" s="2485"/>
      <c r="G102" s="2486"/>
      <c r="H102" s="2485"/>
      <c r="I102" s="2486"/>
      <c r="J102" s="2485"/>
      <c r="K102" s="2485"/>
      <c r="L102" s="2486"/>
      <c r="M102" s="2485"/>
      <c r="N102" s="2485"/>
      <c r="O102" s="2486"/>
      <c r="P102" s="2485"/>
      <c r="Q102" s="2485"/>
      <c r="R102" s="2487"/>
    </row>
    <row r="103" spans="2:18" s="794" customFormat="1">
      <c r="B103" s="2485"/>
      <c r="C103" s="2485"/>
      <c r="D103" s="2485"/>
      <c r="E103" s="2485"/>
      <c r="F103" s="2485"/>
      <c r="G103" s="2486"/>
      <c r="H103" s="2485"/>
      <c r="I103" s="2486"/>
      <c r="J103" s="2485"/>
      <c r="K103" s="2485"/>
      <c r="L103" s="2486"/>
      <c r="M103" s="2485"/>
      <c r="N103" s="2485"/>
      <c r="O103" s="2486"/>
      <c r="P103" s="2485"/>
      <c r="Q103" s="2485"/>
      <c r="R103" s="2487"/>
    </row>
    <row r="104" spans="2:18" s="794" customFormat="1">
      <c r="B104" s="2485"/>
      <c r="C104" s="2485"/>
      <c r="D104" s="2485"/>
      <c r="E104" s="2485"/>
      <c r="F104" s="2485"/>
      <c r="G104" s="2486"/>
      <c r="H104" s="2485"/>
      <c r="I104" s="2486"/>
      <c r="J104" s="2485"/>
      <c r="K104" s="2485"/>
      <c r="L104" s="2486"/>
      <c r="M104" s="2485"/>
      <c r="N104" s="2485"/>
      <c r="O104" s="2486"/>
      <c r="P104" s="2485"/>
      <c r="Q104" s="2485"/>
      <c r="R104" s="2487"/>
    </row>
    <row r="105" spans="2:18" s="794" customFormat="1">
      <c r="B105" s="2485"/>
      <c r="C105" s="2485"/>
      <c r="D105" s="2485"/>
      <c r="E105" s="2485"/>
      <c r="F105" s="2485"/>
      <c r="G105" s="2486"/>
      <c r="H105" s="2485"/>
      <c r="I105" s="2486"/>
      <c r="J105" s="2485"/>
      <c r="K105" s="2485"/>
      <c r="L105" s="2486"/>
      <c r="M105" s="2485"/>
      <c r="N105" s="2485"/>
      <c r="O105" s="2486"/>
      <c r="P105" s="2485"/>
      <c r="Q105" s="2485"/>
      <c r="R105" s="2487"/>
    </row>
    <row r="106" spans="2:18" s="794" customFormat="1">
      <c r="B106" s="2485"/>
      <c r="C106" s="2485"/>
      <c r="D106" s="2485"/>
      <c r="E106" s="2485"/>
      <c r="F106" s="2485"/>
      <c r="G106" s="2486"/>
      <c r="H106" s="2485"/>
      <c r="I106" s="2486"/>
      <c r="J106" s="2485"/>
      <c r="K106" s="2485"/>
      <c r="L106" s="2486"/>
      <c r="M106" s="2485"/>
      <c r="N106" s="2485"/>
      <c r="O106" s="2486"/>
      <c r="P106" s="2485"/>
      <c r="Q106" s="2485"/>
      <c r="R106" s="2487"/>
    </row>
    <row r="107" spans="2:18" s="794" customFormat="1">
      <c r="B107" s="2485"/>
      <c r="C107" s="2485"/>
      <c r="D107" s="2485"/>
      <c r="E107" s="2485"/>
      <c r="F107" s="2485"/>
      <c r="G107" s="2486"/>
      <c r="H107" s="2485"/>
      <c r="I107" s="2486"/>
      <c r="J107" s="2485"/>
      <c r="K107" s="2485"/>
      <c r="L107" s="2486"/>
      <c r="M107" s="2485"/>
      <c r="N107" s="2485"/>
      <c r="O107" s="2486"/>
      <c r="P107" s="2485"/>
      <c r="Q107" s="2485"/>
      <c r="R107" s="2487"/>
    </row>
    <row r="108" spans="2:18" s="794" customFormat="1">
      <c r="B108" s="2485"/>
      <c r="C108" s="2485"/>
      <c r="D108" s="2485"/>
      <c r="E108" s="2485"/>
      <c r="F108" s="2485"/>
      <c r="G108" s="2486"/>
      <c r="H108" s="2485"/>
      <c r="I108" s="2486"/>
      <c r="J108" s="2485"/>
      <c r="K108" s="2485"/>
      <c r="L108" s="2486"/>
      <c r="M108" s="2485"/>
      <c r="N108" s="2485"/>
      <c r="O108" s="2486"/>
      <c r="P108" s="2485"/>
      <c r="Q108" s="2485"/>
      <c r="R108" s="2487"/>
    </row>
    <row r="109" spans="2:18" s="794" customFormat="1">
      <c r="B109" s="2485"/>
      <c r="C109" s="2485"/>
      <c r="D109" s="2485"/>
      <c r="E109" s="2485"/>
      <c r="F109" s="2485"/>
      <c r="G109" s="2486"/>
      <c r="H109" s="2485"/>
      <c r="I109" s="2486"/>
      <c r="J109" s="2485"/>
      <c r="K109" s="2485"/>
      <c r="L109" s="2486"/>
      <c r="M109" s="2485"/>
      <c r="N109" s="2485"/>
      <c r="O109" s="2486"/>
      <c r="P109" s="2485"/>
      <c r="Q109" s="2485"/>
      <c r="R109" s="2487"/>
    </row>
    <row r="110" spans="2:18" s="794" customFormat="1">
      <c r="B110" s="2485"/>
      <c r="C110" s="2485"/>
      <c r="D110" s="2485"/>
      <c r="E110" s="2485"/>
      <c r="F110" s="2485"/>
      <c r="G110" s="2486"/>
      <c r="H110" s="2485"/>
      <c r="I110" s="2486"/>
      <c r="J110" s="2485"/>
      <c r="K110" s="2485"/>
      <c r="L110" s="2486"/>
      <c r="M110" s="2485"/>
      <c r="N110" s="2485"/>
      <c r="O110" s="2486"/>
      <c r="P110" s="2485"/>
      <c r="Q110" s="2485"/>
      <c r="R110" s="2487"/>
    </row>
    <row r="111" spans="2:18" s="794" customFormat="1">
      <c r="B111" s="2485"/>
      <c r="C111" s="2485"/>
      <c r="D111" s="2485"/>
      <c r="E111" s="2485"/>
      <c r="F111" s="2485"/>
      <c r="G111" s="2486"/>
      <c r="H111" s="2485"/>
      <c r="I111" s="2486"/>
      <c r="J111" s="2485"/>
      <c r="K111" s="2485"/>
      <c r="L111" s="2486"/>
      <c r="M111" s="2485"/>
      <c r="N111" s="2485"/>
      <c r="O111" s="2486"/>
      <c r="P111" s="2485"/>
      <c r="Q111" s="2485"/>
      <c r="R111" s="2487"/>
    </row>
    <row r="112" spans="2:18" s="794" customFormat="1">
      <c r="B112" s="2485"/>
      <c r="C112" s="2485"/>
      <c r="D112" s="2485"/>
      <c r="E112" s="2485"/>
      <c r="F112" s="2485"/>
      <c r="G112" s="2486"/>
      <c r="H112" s="2485"/>
      <c r="I112" s="2486"/>
      <c r="J112" s="2485"/>
      <c r="K112" s="2485"/>
      <c r="L112" s="2486"/>
      <c r="M112" s="2485"/>
      <c r="N112" s="2485"/>
      <c r="O112" s="2486"/>
      <c r="P112" s="2485"/>
      <c r="Q112" s="2485"/>
      <c r="R112" s="2487"/>
    </row>
    <row r="113" spans="2:18" s="794" customFormat="1">
      <c r="B113" s="2485"/>
      <c r="C113" s="2485"/>
      <c r="D113" s="2485"/>
      <c r="E113" s="2485"/>
      <c r="F113" s="2485"/>
      <c r="G113" s="2486"/>
      <c r="H113" s="2485"/>
      <c r="I113" s="2486"/>
      <c r="J113" s="2485"/>
      <c r="K113" s="2485"/>
      <c r="L113" s="2486"/>
      <c r="M113" s="2485"/>
      <c r="N113" s="2485"/>
      <c r="O113" s="2486"/>
      <c r="P113" s="2485"/>
      <c r="Q113" s="2485"/>
      <c r="R113" s="2487"/>
    </row>
    <row r="114" spans="2:18" s="794" customFormat="1">
      <c r="B114" s="2485"/>
      <c r="C114" s="2485"/>
      <c r="D114" s="2485"/>
      <c r="E114" s="2485"/>
      <c r="F114" s="2485"/>
      <c r="G114" s="2486"/>
      <c r="H114" s="2485"/>
      <c r="I114" s="2486"/>
      <c r="J114" s="2485"/>
      <c r="K114" s="2485"/>
      <c r="L114" s="2486"/>
      <c r="M114" s="2485"/>
      <c r="N114" s="2485"/>
      <c r="O114" s="2486"/>
      <c r="P114" s="2485"/>
      <c r="Q114" s="2485"/>
      <c r="R114" s="2487"/>
    </row>
    <row r="115" spans="2:18" s="794" customFormat="1">
      <c r="B115" s="2485"/>
      <c r="C115" s="2485"/>
      <c r="D115" s="2485"/>
      <c r="E115" s="2485"/>
      <c r="F115" s="2485"/>
      <c r="G115" s="2486"/>
      <c r="H115" s="2485"/>
      <c r="I115" s="2486"/>
      <c r="J115" s="2485"/>
      <c r="K115" s="2485"/>
      <c r="L115" s="2486"/>
      <c r="M115" s="2485"/>
      <c r="N115" s="2485"/>
      <c r="O115" s="2486"/>
      <c r="P115" s="2485"/>
      <c r="Q115" s="2485"/>
      <c r="R115" s="2487"/>
    </row>
    <row r="116" spans="2:18" s="794" customFormat="1">
      <c r="B116" s="2485"/>
      <c r="C116" s="2485"/>
      <c r="D116" s="2485"/>
      <c r="E116" s="2485"/>
      <c r="F116" s="2485"/>
      <c r="G116" s="2486"/>
      <c r="H116" s="2485"/>
      <c r="I116" s="2486"/>
      <c r="J116" s="2485"/>
      <c r="K116" s="2485"/>
      <c r="L116" s="2486"/>
      <c r="M116" s="2485"/>
      <c r="N116" s="2485"/>
      <c r="O116" s="2486"/>
      <c r="P116" s="2485"/>
      <c r="Q116" s="2485"/>
      <c r="R116" s="2487"/>
    </row>
    <row r="117" spans="2:18" s="794" customFormat="1">
      <c r="B117" s="2485"/>
      <c r="C117" s="2485"/>
      <c r="D117" s="2485"/>
      <c r="E117" s="2485"/>
      <c r="F117" s="2485"/>
      <c r="G117" s="2486"/>
      <c r="H117" s="2485"/>
      <c r="I117" s="2486"/>
      <c r="J117" s="2485"/>
      <c r="K117" s="2485"/>
      <c r="L117" s="2486"/>
      <c r="M117" s="2485"/>
      <c r="N117" s="2485"/>
      <c r="O117" s="2486"/>
      <c r="P117" s="2485"/>
      <c r="Q117" s="2485"/>
      <c r="R117" s="2487"/>
    </row>
    <row r="118" spans="2:18" s="794" customFormat="1">
      <c r="B118" s="2485"/>
      <c r="C118" s="2485"/>
      <c r="D118" s="2485"/>
      <c r="E118" s="2485"/>
      <c r="F118" s="2485"/>
      <c r="G118" s="2486"/>
      <c r="H118" s="2485"/>
      <c r="I118" s="2486"/>
      <c r="J118" s="2485"/>
      <c r="K118" s="2485"/>
      <c r="L118" s="2486"/>
      <c r="M118" s="2485"/>
      <c r="N118" s="2485"/>
      <c r="O118" s="2486"/>
      <c r="P118" s="2485"/>
      <c r="Q118" s="2485"/>
      <c r="R118" s="2487"/>
    </row>
    <row r="119" spans="2:18" s="794" customFormat="1">
      <c r="B119" s="2485"/>
      <c r="C119" s="2485"/>
      <c r="D119" s="2485"/>
      <c r="E119" s="2485"/>
      <c r="F119" s="2485"/>
      <c r="G119" s="2486"/>
      <c r="H119" s="2485"/>
      <c r="I119" s="2486"/>
      <c r="J119" s="2485"/>
      <c r="K119" s="2485"/>
      <c r="L119" s="2486"/>
      <c r="M119" s="2485"/>
      <c r="N119" s="2485"/>
      <c r="O119" s="2486"/>
      <c r="P119" s="2485"/>
      <c r="Q119" s="2485"/>
      <c r="R119" s="2487"/>
    </row>
    <row r="120" spans="2:18" s="794" customFormat="1">
      <c r="B120" s="2485"/>
      <c r="C120" s="2485"/>
      <c r="D120" s="2485"/>
      <c r="E120" s="2485"/>
      <c r="F120" s="2485"/>
      <c r="G120" s="2486"/>
      <c r="H120" s="2485"/>
      <c r="I120" s="2486"/>
      <c r="J120" s="2485"/>
      <c r="K120" s="2485"/>
      <c r="L120" s="2486"/>
      <c r="M120" s="2485"/>
      <c r="N120" s="2485"/>
      <c r="O120" s="2486"/>
      <c r="P120" s="2485"/>
      <c r="Q120" s="2485"/>
      <c r="R120" s="2487"/>
    </row>
    <row r="121" spans="2:18" s="794" customFormat="1">
      <c r="B121" s="2485"/>
      <c r="C121" s="2485"/>
      <c r="D121" s="2485"/>
      <c r="E121" s="2485"/>
      <c r="F121" s="2485"/>
      <c r="G121" s="2486"/>
      <c r="H121" s="2485"/>
      <c r="I121" s="2486"/>
      <c r="J121" s="2485"/>
      <c r="K121" s="2485"/>
      <c r="L121" s="2486"/>
      <c r="M121" s="2485"/>
      <c r="N121" s="2485"/>
      <c r="O121" s="2486"/>
      <c r="P121" s="2485"/>
      <c r="Q121" s="2485"/>
      <c r="R121" s="2487"/>
    </row>
    <row r="122" spans="2:18" s="794" customFormat="1">
      <c r="B122" s="2485"/>
      <c r="C122" s="2485"/>
      <c r="D122" s="2485"/>
      <c r="E122" s="2485"/>
      <c r="F122" s="2485"/>
      <c r="G122" s="2486"/>
      <c r="H122" s="2485"/>
      <c r="I122" s="2486"/>
      <c r="J122" s="2485"/>
      <c r="K122" s="2485"/>
      <c r="L122" s="2486"/>
      <c r="M122" s="2485"/>
      <c r="N122" s="2485"/>
      <c r="O122" s="2486"/>
      <c r="P122" s="2485"/>
      <c r="Q122" s="2485"/>
      <c r="R122" s="2487"/>
    </row>
    <row r="123" spans="2:18" s="794" customFormat="1">
      <c r="B123" s="2485"/>
      <c r="C123" s="2485"/>
      <c r="D123" s="2485"/>
      <c r="E123" s="2485"/>
      <c r="F123" s="2485"/>
      <c r="G123" s="2486"/>
      <c r="H123" s="2485"/>
      <c r="I123" s="2486"/>
      <c r="J123" s="2485"/>
      <c r="K123" s="2485"/>
      <c r="L123" s="2486"/>
      <c r="M123" s="2485"/>
      <c r="N123" s="2485"/>
      <c r="O123" s="2486"/>
      <c r="P123" s="2485"/>
      <c r="Q123" s="2485"/>
      <c r="R123" s="2487"/>
    </row>
    <row r="124" spans="2:18" s="794" customFormat="1">
      <c r="B124" s="2485"/>
      <c r="C124" s="2485"/>
      <c r="D124" s="2485"/>
      <c r="E124" s="2485"/>
      <c r="F124" s="2485"/>
      <c r="G124" s="2486"/>
      <c r="H124" s="2485"/>
      <c r="I124" s="2486"/>
      <c r="J124" s="2485"/>
      <c r="K124" s="2485"/>
      <c r="L124" s="2486"/>
      <c r="M124" s="2485"/>
      <c r="N124" s="2485"/>
      <c r="O124" s="2486"/>
      <c r="P124" s="2485"/>
      <c r="Q124" s="2485"/>
      <c r="R124" s="2487"/>
    </row>
    <row r="125" spans="2:18" s="794" customFormat="1">
      <c r="B125" s="2485"/>
      <c r="C125" s="2485"/>
      <c r="D125" s="2485"/>
      <c r="E125" s="2485"/>
      <c r="F125" s="2485"/>
      <c r="G125" s="2486"/>
      <c r="H125" s="2485"/>
      <c r="I125" s="2486"/>
      <c r="J125" s="2485"/>
      <c r="K125" s="2485"/>
      <c r="L125" s="2486"/>
      <c r="M125" s="2485"/>
      <c r="N125" s="2485"/>
      <c r="O125" s="2486"/>
      <c r="P125" s="2485"/>
      <c r="Q125" s="2485"/>
      <c r="R125" s="2487"/>
    </row>
    <row r="126" spans="2:18" s="794" customFormat="1">
      <c r="B126" s="2485"/>
      <c r="C126" s="2485"/>
      <c r="D126" s="2485"/>
      <c r="E126" s="2485"/>
      <c r="F126" s="2485"/>
      <c r="G126" s="2486"/>
      <c r="H126" s="2485"/>
      <c r="I126" s="2486"/>
      <c r="J126" s="2485"/>
      <c r="K126" s="2485"/>
      <c r="L126" s="2486"/>
      <c r="M126" s="2485"/>
      <c r="N126" s="2485"/>
      <c r="O126" s="2486"/>
      <c r="P126" s="2485"/>
      <c r="Q126" s="2485"/>
      <c r="R126" s="2487"/>
    </row>
    <row r="127" spans="2:18" s="794" customFormat="1">
      <c r="B127" s="2485"/>
      <c r="C127" s="2485"/>
      <c r="D127" s="2485"/>
      <c r="E127" s="2485"/>
      <c r="F127" s="2485"/>
      <c r="G127" s="2486"/>
      <c r="H127" s="2485"/>
      <c r="I127" s="2486"/>
      <c r="J127" s="2485"/>
      <c r="K127" s="2485"/>
      <c r="L127" s="2486"/>
      <c r="M127" s="2485"/>
      <c r="N127" s="2485"/>
      <c r="O127" s="2486"/>
      <c r="P127" s="2485"/>
      <c r="Q127" s="2485"/>
      <c r="R127" s="2487"/>
    </row>
    <row r="128" spans="2:18" s="794" customFormat="1">
      <c r="B128" s="2485"/>
      <c r="C128" s="2485"/>
      <c r="D128" s="2485"/>
      <c r="E128" s="2485"/>
      <c r="F128" s="2485"/>
      <c r="G128" s="2486"/>
      <c r="H128" s="2485"/>
      <c r="I128" s="2486"/>
      <c r="J128" s="2485"/>
      <c r="K128" s="2485"/>
      <c r="L128" s="2486"/>
      <c r="M128" s="2485"/>
      <c r="N128" s="2485"/>
      <c r="O128" s="2486"/>
      <c r="P128" s="2485"/>
      <c r="Q128" s="2485"/>
      <c r="R128" s="2487"/>
    </row>
    <row r="129" spans="2:18" s="794" customFormat="1">
      <c r="B129" s="2485"/>
      <c r="C129" s="2485"/>
      <c r="D129" s="2485"/>
      <c r="E129" s="2485"/>
      <c r="F129" s="2485"/>
      <c r="G129" s="2486"/>
      <c r="H129" s="2485"/>
      <c r="I129" s="2486"/>
      <c r="J129" s="2485"/>
      <c r="K129" s="2485"/>
      <c r="L129" s="2486"/>
      <c r="M129" s="2485"/>
      <c r="N129" s="2485"/>
      <c r="O129" s="2486"/>
      <c r="P129" s="2485"/>
      <c r="Q129" s="2485"/>
      <c r="R129" s="2487"/>
    </row>
    <row r="130" spans="2:18" s="794" customFormat="1">
      <c r="B130" s="2485"/>
      <c r="C130" s="2485"/>
      <c r="D130" s="2485"/>
      <c r="E130" s="2485"/>
      <c r="F130" s="2485"/>
      <c r="G130" s="2486"/>
      <c r="H130" s="2485"/>
      <c r="I130" s="2486"/>
      <c r="J130" s="2485"/>
      <c r="K130" s="2485"/>
      <c r="L130" s="2486"/>
      <c r="M130" s="2485"/>
      <c r="N130" s="2485"/>
      <c r="O130" s="2486"/>
      <c r="P130" s="2485"/>
      <c r="Q130" s="2485"/>
      <c r="R130" s="2487"/>
    </row>
    <row r="131" spans="2:18" s="794" customFormat="1">
      <c r="B131" s="2485"/>
      <c r="C131" s="2485"/>
      <c r="D131" s="2485"/>
      <c r="E131" s="2485"/>
      <c r="F131" s="2485"/>
      <c r="G131" s="2486"/>
      <c r="H131" s="2485"/>
      <c r="I131" s="2486"/>
      <c r="J131" s="2485"/>
      <c r="K131" s="2485"/>
      <c r="L131" s="2486"/>
      <c r="M131" s="2485"/>
      <c r="N131" s="2485"/>
      <c r="O131" s="2486"/>
      <c r="P131" s="2485"/>
      <c r="Q131" s="2485"/>
      <c r="R131" s="2487"/>
    </row>
    <row r="132" spans="2:18" s="794" customFormat="1">
      <c r="B132" s="2485"/>
      <c r="C132" s="2485"/>
      <c r="D132" s="2485"/>
      <c r="E132" s="2485"/>
      <c r="F132" s="2485"/>
      <c r="G132" s="2486"/>
      <c r="H132" s="2485"/>
      <c r="I132" s="2486"/>
      <c r="J132" s="2485"/>
      <c r="K132" s="2485"/>
      <c r="L132" s="2486"/>
      <c r="M132" s="2485"/>
      <c r="N132" s="2485"/>
      <c r="O132" s="2486"/>
      <c r="P132" s="2485"/>
      <c r="Q132" s="2485"/>
      <c r="R132" s="2487"/>
    </row>
    <row r="133" spans="2:18" s="794" customFormat="1">
      <c r="B133" s="2485"/>
      <c r="C133" s="2485"/>
      <c r="D133" s="2485"/>
      <c r="E133" s="2485"/>
      <c r="F133" s="2485"/>
      <c r="G133" s="2486"/>
      <c r="H133" s="2485"/>
      <c r="I133" s="2486"/>
      <c r="J133" s="2485"/>
      <c r="K133" s="2485"/>
      <c r="L133" s="2486"/>
      <c r="M133" s="2485"/>
      <c r="N133" s="2485"/>
      <c r="O133" s="2486"/>
      <c r="P133" s="2485"/>
      <c r="Q133" s="2485"/>
      <c r="R133" s="2487"/>
    </row>
    <row r="134" spans="2:18" s="794" customFormat="1">
      <c r="B134" s="2485"/>
      <c r="C134" s="2485"/>
      <c r="D134" s="2485"/>
      <c r="E134" s="2485"/>
      <c r="F134" s="2485"/>
      <c r="G134" s="2486"/>
      <c r="H134" s="2485"/>
      <c r="I134" s="2486"/>
      <c r="J134" s="2485"/>
      <c r="K134" s="2485"/>
      <c r="L134" s="2486"/>
      <c r="M134" s="2485"/>
      <c r="N134" s="2485"/>
      <c r="O134" s="2486"/>
      <c r="P134" s="2485"/>
      <c r="Q134" s="2485"/>
      <c r="R134" s="2487"/>
    </row>
    <row r="135" spans="2:18" s="794" customFormat="1">
      <c r="B135" s="2485"/>
      <c r="C135" s="2485"/>
      <c r="D135" s="2485"/>
      <c r="E135" s="2485"/>
      <c r="F135" s="2485"/>
      <c r="G135" s="2486"/>
      <c r="H135" s="2485"/>
      <c r="I135" s="2486"/>
      <c r="J135" s="2485"/>
      <c r="K135" s="2485"/>
      <c r="L135" s="2486"/>
      <c r="M135" s="2485"/>
      <c r="N135" s="2485"/>
      <c r="O135" s="2486"/>
      <c r="P135" s="2485"/>
      <c r="Q135" s="2485"/>
      <c r="R135" s="2487"/>
    </row>
    <row r="136" spans="2:18" s="794" customFormat="1">
      <c r="B136" s="2485"/>
      <c r="C136" s="2485"/>
      <c r="D136" s="2485"/>
      <c r="E136" s="2485"/>
      <c r="F136" s="2485"/>
      <c r="G136" s="2486"/>
      <c r="H136" s="2485"/>
      <c r="I136" s="2486"/>
      <c r="J136" s="2485"/>
      <c r="K136" s="2485"/>
      <c r="L136" s="2486"/>
      <c r="M136" s="2485"/>
      <c r="N136" s="2485"/>
      <c r="O136" s="2486"/>
      <c r="P136" s="2485"/>
      <c r="Q136" s="2485"/>
      <c r="R136" s="2487"/>
    </row>
    <row r="137" spans="2:18" s="794" customFormat="1">
      <c r="B137" s="2485"/>
      <c r="C137" s="2485"/>
      <c r="D137" s="2485"/>
      <c r="E137" s="2485"/>
      <c r="F137" s="2485"/>
      <c r="G137" s="2486"/>
      <c r="H137" s="2485"/>
      <c r="I137" s="2486"/>
      <c r="J137" s="2485"/>
      <c r="K137" s="2485"/>
      <c r="L137" s="2486"/>
      <c r="M137" s="2485"/>
      <c r="N137" s="2485"/>
      <c r="O137" s="2486"/>
      <c r="P137" s="2485"/>
      <c r="Q137" s="2485"/>
      <c r="R137" s="2487"/>
    </row>
    <row r="138" spans="2:18" s="794" customFormat="1">
      <c r="B138" s="2485"/>
      <c r="C138" s="2485"/>
      <c r="D138" s="2485"/>
      <c r="E138" s="2485"/>
      <c r="F138" s="2485"/>
      <c r="G138" s="2486"/>
      <c r="H138" s="2485"/>
      <c r="I138" s="2486"/>
      <c r="J138" s="2485"/>
      <c r="K138" s="2485"/>
      <c r="L138" s="2486"/>
      <c r="M138" s="2485"/>
      <c r="N138" s="2485"/>
      <c r="O138" s="2486"/>
      <c r="P138" s="2485"/>
      <c r="Q138" s="2485"/>
      <c r="R138" s="2487"/>
    </row>
    <row r="139" spans="2:18" s="794" customFormat="1">
      <c r="B139" s="2485"/>
      <c r="C139" s="2485"/>
      <c r="D139" s="2485"/>
      <c r="E139" s="2485"/>
      <c r="F139" s="2485"/>
      <c r="G139" s="2486"/>
      <c r="H139" s="2485"/>
      <c r="I139" s="2486"/>
      <c r="J139" s="2485"/>
      <c r="K139" s="2485"/>
      <c r="L139" s="2486"/>
      <c r="M139" s="2485"/>
      <c r="N139" s="2485"/>
      <c r="O139" s="2486"/>
      <c r="P139" s="2485"/>
      <c r="Q139" s="2485"/>
      <c r="R139" s="2487"/>
    </row>
    <row r="140" spans="2:18" s="794" customFormat="1">
      <c r="B140" s="2485"/>
      <c r="C140" s="2485"/>
      <c r="D140" s="2485"/>
      <c r="E140" s="2485"/>
      <c r="F140" s="2485"/>
      <c r="G140" s="2486"/>
      <c r="H140" s="2485"/>
      <c r="I140" s="2486"/>
      <c r="J140" s="2485"/>
      <c r="K140" s="2485"/>
      <c r="L140" s="2486"/>
      <c r="M140" s="2485"/>
      <c r="N140" s="2485"/>
      <c r="O140" s="2486"/>
      <c r="P140" s="2485"/>
      <c r="Q140" s="2485"/>
      <c r="R140" s="2487"/>
    </row>
    <row r="141" spans="2:18" s="794" customFormat="1">
      <c r="B141" s="2485"/>
      <c r="C141" s="2485"/>
      <c r="D141" s="2485"/>
      <c r="E141" s="2485"/>
      <c r="F141" s="2485"/>
      <c r="G141" s="2486"/>
      <c r="H141" s="2485"/>
      <c r="I141" s="2486"/>
      <c r="J141" s="2485"/>
      <c r="K141" s="2485"/>
      <c r="L141" s="2486"/>
      <c r="M141" s="2485"/>
      <c r="N141" s="2485"/>
      <c r="O141" s="2486"/>
      <c r="P141" s="2485"/>
      <c r="Q141" s="2485"/>
      <c r="R141" s="2487"/>
    </row>
    <row r="142" spans="2:18" s="794" customFormat="1">
      <c r="B142" s="2485"/>
      <c r="C142" s="2485"/>
      <c r="D142" s="2485"/>
      <c r="E142" s="2485"/>
      <c r="F142" s="2485"/>
      <c r="G142" s="2486"/>
      <c r="H142" s="2485"/>
      <c r="I142" s="2486"/>
      <c r="J142" s="2485"/>
      <c r="K142" s="2485"/>
      <c r="L142" s="2486"/>
      <c r="M142" s="2485"/>
      <c r="N142" s="2485"/>
      <c r="O142" s="2486"/>
      <c r="P142" s="2485"/>
      <c r="Q142" s="2485"/>
      <c r="R142" s="2487"/>
    </row>
    <row r="143" spans="2:18" s="794" customFormat="1">
      <c r="B143" s="2485"/>
      <c r="C143" s="2485"/>
      <c r="D143" s="2485"/>
      <c r="E143" s="2485"/>
      <c r="F143" s="2485"/>
      <c r="G143" s="2486"/>
      <c r="H143" s="2485"/>
      <c r="I143" s="2486"/>
      <c r="J143" s="2485"/>
      <c r="K143" s="2485"/>
      <c r="L143" s="2486"/>
      <c r="M143" s="2485"/>
      <c r="N143" s="2485"/>
      <c r="O143" s="2486"/>
      <c r="P143" s="2485"/>
      <c r="Q143" s="2485"/>
      <c r="R143" s="2487"/>
    </row>
    <row r="144" spans="2:18" s="794" customFormat="1">
      <c r="B144" s="2485"/>
      <c r="C144" s="2485"/>
      <c r="D144" s="2485"/>
      <c r="E144" s="2485"/>
      <c r="F144" s="2485"/>
      <c r="G144" s="2486"/>
      <c r="H144" s="2485"/>
      <c r="I144" s="2486"/>
      <c r="J144" s="2485"/>
      <c r="K144" s="2485"/>
      <c r="L144" s="2486"/>
      <c r="M144" s="2485"/>
      <c r="N144" s="2485"/>
      <c r="O144" s="2486"/>
      <c r="P144" s="2485"/>
      <c r="Q144" s="2485"/>
      <c r="R144" s="2487"/>
    </row>
    <row r="145" spans="2:18" s="794" customFormat="1">
      <c r="B145" s="2485"/>
      <c r="C145" s="2485"/>
      <c r="D145" s="2485"/>
      <c r="E145" s="2485"/>
      <c r="F145" s="2485"/>
      <c r="G145" s="2486"/>
      <c r="H145" s="2485"/>
      <c r="I145" s="2486"/>
      <c r="J145" s="2485"/>
      <c r="K145" s="2485"/>
      <c r="L145" s="2486"/>
      <c r="M145" s="2485"/>
      <c r="N145" s="2485"/>
      <c r="O145" s="2486"/>
      <c r="P145" s="2485"/>
      <c r="Q145" s="2485"/>
      <c r="R145" s="2487"/>
    </row>
    <row r="146" spans="2:18" s="794" customFormat="1">
      <c r="B146" s="2485"/>
      <c r="C146" s="2485"/>
      <c r="D146" s="2485"/>
      <c r="E146" s="2485"/>
      <c r="F146" s="2485"/>
      <c r="G146" s="2486"/>
      <c r="H146" s="2485"/>
      <c r="I146" s="2486"/>
      <c r="J146" s="2485"/>
      <c r="K146" s="2485"/>
      <c r="L146" s="2486"/>
      <c r="M146" s="2485"/>
      <c r="N146" s="2485"/>
      <c r="O146" s="2486"/>
      <c r="P146" s="2485"/>
      <c r="Q146" s="2485"/>
      <c r="R146" s="2487"/>
    </row>
    <row r="147" spans="2:18" s="794" customFormat="1">
      <c r="B147" s="2485"/>
      <c r="C147" s="2485"/>
      <c r="D147" s="2485"/>
      <c r="E147" s="2485"/>
      <c r="F147" s="2485"/>
      <c r="G147" s="2486"/>
      <c r="H147" s="2485"/>
      <c r="I147" s="2486"/>
      <c r="J147" s="2485"/>
      <c r="K147" s="2485"/>
      <c r="L147" s="2486"/>
      <c r="M147" s="2485"/>
      <c r="N147" s="2485"/>
      <c r="O147" s="2486"/>
      <c r="P147" s="2485"/>
      <c r="Q147" s="2485"/>
      <c r="R147" s="2487"/>
    </row>
    <row r="148" spans="2:18" s="794" customFormat="1">
      <c r="B148" s="2485"/>
      <c r="C148" s="2485"/>
      <c r="D148" s="2485"/>
      <c r="E148" s="2485"/>
      <c r="F148" s="2485"/>
      <c r="G148" s="2486"/>
      <c r="H148" s="2485"/>
      <c r="I148" s="2486"/>
      <c r="J148" s="2485"/>
      <c r="K148" s="2485"/>
      <c r="L148" s="2486"/>
      <c r="M148" s="2485"/>
      <c r="N148" s="2485"/>
      <c r="O148" s="2486"/>
      <c r="P148" s="2485"/>
      <c r="Q148" s="2485"/>
      <c r="R148" s="2487"/>
    </row>
    <row r="149" spans="2:18" s="794" customFormat="1">
      <c r="B149" s="2485"/>
      <c r="C149" s="2485"/>
      <c r="D149" s="2485"/>
      <c r="E149" s="2485"/>
      <c r="F149" s="2485"/>
      <c r="G149" s="2486"/>
      <c r="H149" s="2485"/>
      <c r="I149" s="2486"/>
      <c r="J149" s="2485"/>
      <c r="K149" s="2485"/>
      <c r="L149" s="2486"/>
      <c r="M149" s="2485"/>
      <c r="N149" s="2485"/>
      <c r="O149" s="2486"/>
      <c r="P149" s="2485"/>
      <c r="Q149" s="2485"/>
      <c r="R149" s="2487"/>
    </row>
    <row r="150" spans="2:18" s="794" customFormat="1">
      <c r="B150" s="2485"/>
      <c r="C150" s="2485"/>
      <c r="D150" s="2485"/>
      <c r="E150" s="2485"/>
      <c r="F150" s="2485"/>
      <c r="G150" s="2486"/>
      <c r="H150" s="2485"/>
      <c r="I150" s="2486"/>
      <c r="J150" s="2485"/>
      <c r="K150" s="2485"/>
      <c r="L150" s="2486"/>
      <c r="M150" s="2485"/>
      <c r="N150" s="2485"/>
      <c r="O150" s="2486"/>
      <c r="P150" s="2485"/>
      <c r="Q150" s="2485"/>
      <c r="R150" s="2487"/>
    </row>
    <row r="151" spans="2:18" s="794" customFormat="1">
      <c r="B151" s="2485"/>
      <c r="C151" s="2485"/>
      <c r="D151" s="2485"/>
      <c r="E151" s="2485"/>
      <c r="F151" s="2485"/>
      <c r="G151" s="2486"/>
      <c r="H151" s="2485"/>
      <c r="I151" s="2486"/>
      <c r="J151" s="2485"/>
      <c r="K151" s="2485"/>
      <c r="L151" s="2486"/>
      <c r="M151" s="2485"/>
      <c r="N151" s="2485"/>
      <c r="O151" s="2486"/>
      <c r="P151" s="2485"/>
      <c r="Q151" s="2485"/>
      <c r="R151" s="2487"/>
    </row>
    <row r="152" spans="2:18" s="794" customFormat="1">
      <c r="B152" s="2485"/>
      <c r="C152" s="2485"/>
      <c r="D152" s="2485"/>
      <c r="E152" s="2485"/>
      <c r="F152" s="2485"/>
      <c r="G152" s="2486"/>
      <c r="H152" s="2485"/>
      <c r="I152" s="2486"/>
      <c r="J152" s="2485"/>
      <c r="K152" s="2485"/>
      <c r="L152" s="2486"/>
      <c r="M152" s="2485"/>
      <c r="N152" s="2485"/>
      <c r="O152" s="2486"/>
      <c r="P152" s="2485"/>
      <c r="Q152" s="2485"/>
      <c r="R152" s="2487"/>
    </row>
    <row r="153" spans="2:18" s="794" customFormat="1">
      <c r="B153" s="2485"/>
      <c r="C153" s="2485"/>
      <c r="D153" s="2485"/>
      <c r="E153" s="2485"/>
      <c r="F153" s="2485"/>
      <c r="G153" s="2486"/>
      <c r="H153" s="2485"/>
      <c r="I153" s="2486"/>
      <c r="J153" s="2485"/>
      <c r="K153" s="2485"/>
      <c r="L153" s="2486"/>
      <c r="M153" s="2485"/>
      <c r="N153" s="2485"/>
      <c r="O153" s="2486"/>
      <c r="P153" s="2485"/>
      <c r="Q153" s="2485"/>
      <c r="R153" s="2487"/>
    </row>
    <row r="154" spans="2:18" s="794" customFormat="1">
      <c r="B154" s="2485"/>
      <c r="C154" s="2485"/>
      <c r="D154" s="2485"/>
      <c r="E154" s="2485"/>
      <c r="F154" s="2485"/>
      <c r="G154" s="2486"/>
      <c r="H154" s="2485"/>
      <c r="I154" s="2486"/>
      <c r="J154" s="2485"/>
      <c r="K154" s="2485"/>
      <c r="L154" s="2486"/>
      <c r="M154" s="2485"/>
      <c r="N154" s="2485"/>
      <c r="O154" s="2486"/>
      <c r="P154" s="2485"/>
      <c r="Q154" s="2485"/>
      <c r="R154" s="2487"/>
    </row>
    <row r="155" spans="2:18" s="794" customFormat="1">
      <c r="B155" s="2485"/>
      <c r="C155" s="2485"/>
      <c r="D155" s="2485"/>
      <c r="E155" s="2485"/>
      <c r="F155" s="2485"/>
      <c r="G155" s="2486"/>
      <c r="H155" s="2485"/>
      <c r="I155" s="2486"/>
      <c r="J155" s="2485"/>
      <c r="K155" s="2485"/>
      <c r="L155" s="2486"/>
      <c r="M155" s="2485"/>
      <c r="N155" s="2485"/>
      <c r="O155" s="2486"/>
      <c r="P155" s="2485"/>
      <c r="Q155" s="2485"/>
      <c r="R155" s="2487"/>
    </row>
    <row r="156" spans="2:18" s="794" customFormat="1">
      <c r="B156" s="2485"/>
      <c r="C156" s="2485"/>
      <c r="D156" s="2485"/>
      <c r="E156" s="2485"/>
      <c r="F156" s="2485"/>
      <c r="G156" s="2486"/>
      <c r="H156" s="2485"/>
      <c r="I156" s="2486"/>
      <c r="J156" s="2485"/>
      <c r="K156" s="2485"/>
      <c r="L156" s="2486"/>
      <c r="M156" s="2485"/>
      <c r="N156" s="2485"/>
      <c r="O156" s="2486"/>
      <c r="P156" s="2485"/>
      <c r="Q156" s="2485"/>
      <c r="R156" s="2487"/>
    </row>
    <row r="157" spans="2:18" s="794" customFormat="1">
      <c r="B157" s="2485"/>
      <c r="C157" s="2485"/>
      <c r="D157" s="2485"/>
      <c r="E157" s="2485"/>
      <c r="F157" s="2485"/>
      <c r="G157" s="2486"/>
      <c r="H157" s="2485"/>
      <c r="I157" s="2486"/>
      <c r="J157" s="2485"/>
      <c r="K157" s="2485"/>
      <c r="L157" s="2486"/>
      <c r="M157" s="2485"/>
      <c r="N157" s="2485"/>
      <c r="O157" s="2486"/>
      <c r="P157" s="2485"/>
      <c r="Q157" s="2485"/>
      <c r="R157" s="2487"/>
    </row>
    <row r="158" spans="2:18" s="794" customFormat="1">
      <c r="B158" s="2485"/>
      <c r="C158" s="2485"/>
      <c r="D158" s="2485"/>
      <c r="E158" s="2485"/>
      <c r="F158" s="2485"/>
      <c r="G158" s="2486"/>
      <c r="H158" s="2485"/>
      <c r="I158" s="2486"/>
      <c r="J158" s="2485"/>
      <c r="K158" s="2485"/>
      <c r="L158" s="2486"/>
      <c r="M158" s="2485"/>
      <c r="N158" s="2485"/>
      <c r="O158" s="2486"/>
      <c r="P158" s="2485"/>
      <c r="Q158" s="2485"/>
      <c r="R158" s="2487"/>
    </row>
    <row r="159" spans="2:18" s="794" customFormat="1">
      <c r="B159" s="2485"/>
      <c r="C159" s="2485"/>
      <c r="D159" s="2485"/>
      <c r="E159" s="2485"/>
      <c r="F159" s="2485"/>
      <c r="G159" s="2486"/>
      <c r="H159" s="2485"/>
      <c r="I159" s="2486"/>
      <c r="J159" s="2485"/>
      <c r="K159" s="2485"/>
      <c r="L159" s="2486"/>
      <c r="M159" s="2485"/>
      <c r="N159" s="2485"/>
      <c r="O159" s="2486"/>
      <c r="P159" s="2485"/>
      <c r="Q159" s="2485"/>
      <c r="R159" s="2487"/>
    </row>
    <row r="160" spans="2:18" s="794" customFormat="1">
      <c r="B160" s="2485"/>
      <c r="C160" s="2485"/>
      <c r="D160" s="2485"/>
      <c r="E160" s="2485"/>
      <c r="F160" s="2485"/>
      <c r="G160" s="2486"/>
      <c r="H160" s="2485"/>
      <c r="I160" s="2486"/>
      <c r="J160" s="2485"/>
      <c r="K160" s="2485"/>
      <c r="L160" s="2486"/>
      <c r="M160" s="2485"/>
      <c r="N160" s="2485"/>
      <c r="O160" s="2486"/>
      <c r="P160" s="2485"/>
      <c r="Q160" s="2485"/>
      <c r="R160" s="2487"/>
    </row>
    <row r="161" spans="2:18" s="794" customFormat="1">
      <c r="B161" s="2485"/>
      <c r="C161" s="2485"/>
      <c r="D161" s="2485"/>
      <c r="E161" s="2485"/>
      <c r="F161" s="2485"/>
      <c r="G161" s="2486"/>
      <c r="H161" s="2485"/>
      <c r="I161" s="2486"/>
      <c r="J161" s="2485"/>
      <c r="K161" s="2485"/>
      <c r="L161" s="2486"/>
      <c r="M161" s="2485"/>
      <c r="N161" s="2485"/>
      <c r="O161" s="2486"/>
      <c r="P161" s="2485"/>
      <c r="Q161" s="2485"/>
      <c r="R161" s="2487"/>
    </row>
    <row r="162" spans="2:18" s="794" customFormat="1">
      <c r="B162" s="2485"/>
      <c r="C162" s="2485"/>
      <c r="D162" s="2485"/>
      <c r="E162" s="2485"/>
      <c r="F162" s="2485"/>
      <c r="G162" s="2486"/>
      <c r="H162" s="2485"/>
      <c r="I162" s="2486"/>
      <c r="J162" s="2485"/>
      <c r="K162" s="2485"/>
      <c r="L162" s="2486"/>
      <c r="M162" s="2485"/>
      <c r="N162" s="2485"/>
      <c r="O162" s="2486"/>
      <c r="P162" s="2485"/>
      <c r="Q162" s="2485"/>
      <c r="R162" s="2487"/>
    </row>
    <row r="163" spans="2:18" s="794" customFormat="1">
      <c r="B163" s="2485"/>
      <c r="C163" s="2485"/>
      <c r="D163" s="2485"/>
      <c r="E163" s="2485"/>
      <c r="F163" s="2485"/>
      <c r="G163" s="2486"/>
      <c r="H163" s="2485"/>
      <c r="I163" s="2486"/>
      <c r="J163" s="2485"/>
      <c r="K163" s="2485"/>
      <c r="L163" s="2486"/>
      <c r="M163" s="2485"/>
      <c r="N163" s="2485"/>
      <c r="O163" s="2486"/>
      <c r="P163" s="2485"/>
      <c r="Q163" s="2485"/>
      <c r="R163" s="2487"/>
    </row>
    <row r="164" spans="2:18" s="794" customFormat="1">
      <c r="B164" s="2485"/>
      <c r="C164" s="2485"/>
      <c r="D164" s="2485"/>
      <c r="E164" s="2485"/>
      <c r="F164" s="2485"/>
      <c r="G164" s="2486"/>
      <c r="H164" s="2485"/>
      <c r="I164" s="2486"/>
      <c r="J164" s="2485"/>
      <c r="K164" s="2485"/>
      <c r="L164" s="2486"/>
      <c r="M164" s="2485"/>
      <c r="N164" s="2485"/>
      <c r="O164" s="2486"/>
      <c r="P164" s="2485"/>
      <c r="Q164" s="2485"/>
      <c r="R164" s="2487"/>
    </row>
    <row r="165" spans="2:18" s="794" customFormat="1">
      <c r="B165" s="2485"/>
      <c r="C165" s="2485"/>
      <c r="D165" s="2485"/>
      <c r="E165" s="2485"/>
      <c r="F165" s="2485"/>
      <c r="G165" s="2486"/>
      <c r="H165" s="2485"/>
      <c r="I165" s="2486"/>
      <c r="J165" s="2485"/>
      <c r="K165" s="2485"/>
      <c r="L165" s="2486"/>
      <c r="M165" s="2485"/>
      <c r="N165" s="2485"/>
      <c r="O165" s="2486"/>
      <c r="P165" s="2485"/>
      <c r="Q165" s="2485"/>
      <c r="R165" s="2487"/>
    </row>
    <row r="166" spans="2:18" s="794" customFormat="1">
      <c r="B166" s="2485"/>
      <c r="C166" s="2485"/>
      <c r="D166" s="2485"/>
      <c r="E166" s="2485"/>
      <c r="F166" s="2485"/>
      <c r="G166" s="2486"/>
      <c r="H166" s="2485"/>
      <c r="I166" s="2486"/>
      <c r="J166" s="2485"/>
      <c r="K166" s="2485"/>
      <c r="L166" s="2486"/>
      <c r="M166" s="2485"/>
      <c r="N166" s="2485"/>
      <c r="O166" s="2486"/>
      <c r="P166" s="2485"/>
      <c r="Q166" s="2485"/>
      <c r="R166" s="2487"/>
    </row>
    <row r="167" spans="2:18" s="794" customFormat="1">
      <c r="B167" s="2485"/>
      <c r="C167" s="2485"/>
      <c r="D167" s="2485"/>
      <c r="E167" s="2485"/>
      <c r="F167" s="2485"/>
      <c r="G167" s="2486"/>
      <c r="H167" s="2485"/>
      <c r="I167" s="2486"/>
      <c r="J167" s="2485"/>
      <c r="K167" s="2485"/>
      <c r="L167" s="2486"/>
      <c r="M167" s="2485"/>
      <c r="N167" s="2485"/>
      <c r="O167" s="2486"/>
      <c r="P167" s="2485"/>
      <c r="Q167" s="2485"/>
      <c r="R167" s="2487"/>
    </row>
    <row r="168" spans="2:18" s="794" customFormat="1">
      <c r="B168" s="2485"/>
      <c r="C168" s="2485"/>
      <c r="D168" s="2485"/>
      <c r="E168" s="2485"/>
      <c r="F168" s="2485"/>
      <c r="G168" s="2486"/>
      <c r="H168" s="2485"/>
      <c r="I168" s="2486"/>
      <c r="J168" s="2485"/>
      <c r="K168" s="2485"/>
      <c r="L168" s="2486"/>
      <c r="M168" s="2485"/>
      <c r="N168" s="2485"/>
      <c r="O168" s="2486"/>
      <c r="P168" s="2485"/>
      <c r="Q168" s="2485"/>
      <c r="R168" s="2487"/>
    </row>
    <row r="169" spans="2:18" s="794" customFormat="1">
      <c r="B169" s="2485"/>
      <c r="C169" s="2485"/>
      <c r="D169" s="2485"/>
      <c r="E169" s="2485"/>
      <c r="F169" s="2485"/>
      <c r="G169" s="2486"/>
      <c r="H169" s="2485"/>
      <c r="I169" s="2486"/>
      <c r="J169" s="2485"/>
      <c r="K169" s="2485"/>
      <c r="L169" s="2486"/>
      <c r="M169" s="2485"/>
      <c r="N169" s="2485"/>
      <c r="O169" s="2486"/>
      <c r="P169" s="2485"/>
      <c r="Q169" s="2485"/>
      <c r="R169" s="2487"/>
    </row>
    <row r="170" spans="2:18" s="794" customFormat="1">
      <c r="B170" s="2485"/>
      <c r="C170" s="2485"/>
      <c r="D170" s="2485"/>
      <c r="E170" s="2485"/>
      <c r="F170" s="2485"/>
      <c r="G170" s="2486"/>
      <c r="H170" s="2485"/>
      <c r="I170" s="2486"/>
      <c r="J170" s="2485"/>
      <c r="K170" s="2485"/>
      <c r="L170" s="2486"/>
      <c r="M170" s="2485"/>
      <c r="N170" s="2485"/>
      <c r="O170" s="2486"/>
      <c r="P170" s="2485"/>
      <c r="Q170" s="2485"/>
      <c r="R170" s="2487"/>
    </row>
    <row r="171" spans="2:18" s="794" customFormat="1">
      <c r="B171" s="2485"/>
      <c r="C171" s="2485"/>
      <c r="D171" s="2485"/>
      <c r="E171" s="2485"/>
      <c r="F171" s="2485"/>
      <c r="G171" s="2486"/>
      <c r="H171" s="2485"/>
      <c r="I171" s="2486"/>
      <c r="J171" s="2485"/>
      <c r="K171" s="2485"/>
      <c r="L171" s="2486"/>
      <c r="M171" s="2485"/>
      <c r="N171" s="2485"/>
      <c r="O171" s="2486"/>
      <c r="P171" s="2485"/>
      <c r="Q171" s="2485"/>
      <c r="R171" s="2487"/>
    </row>
    <row r="172" spans="2:18" s="794" customFormat="1">
      <c r="B172" s="2485"/>
      <c r="C172" s="2485"/>
      <c r="D172" s="2485"/>
      <c r="E172" s="2485"/>
      <c r="F172" s="2485"/>
      <c r="G172" s="2486"/>
      <c r="H172" s="2485"/>
      <c r="I172" s="2486"/>
      <c r="J172" s="2485"/>
      <c r="K172" s="2485"/>
      <c r="L172" s="2486"/>
      <c r="M172" s="2485"/>
      <c r="N172" s="2485"/>
      <c r="O172" s="2486"/>
      <c r="P172" s="2485"/>
      <c r="Q172" s="2485"/>
      <c r="R172" s="2487"/>
    </row>
    <row r="173" spans="2:18" s="794" customFormat="1">
      <c r="B173" s="2485"/>
      <c r="C173" s="2485"/>
      <c r="D173" s="2485"/>
      <c r="E173" s="2485"/>
      <c r="F173" s="2485"/>
      <c r="G173" s="2486"/>
      <c r="H173" s="2485"/>
      <c r="I173" s="2486"/>
      <c r="J173" s="2485"/>
      <c r="K173" s="2485"/>
      <c r="L173" s="2486"/>
      <c r="M173" s="2485"/>
      <c r="N173" s="2485"/>
      <c r="O173" s="2486"/>
      <c r="P173" s="2485"/>
      <c r="Q173" s="2485"/>
      <c r="R173" s="2487"/>
    </row>
    <row r="174" spans="2:18" s="794" customFormat="1">
      <c r="B174" s="2485"/>
      <c r="C174" s="2485"/>
      <c r="D174" s="2485"/>
      <c r="E174" s="2485"/>
      <c r="F174" s="2485"/>
      <c r="G174" s="2486"/>
      <c r="H174" s="2485"/>
      <c r="I174" s="2486"/>
      <c r="J174" s="2485"/>
      <c r="K174" s="2485"/>
      <c r="L174" s="2486"/>
      <c r="M174" s="2485"/>
      <c r="N174" s="2485"/>
      <c r="O174" s="2486"/>
      <c r="P174" s="2485"/>
      <c r="Q174" s="2485"/>
      <c r="R174" s="2487"/>
    </row>
    <row r="175" spans="2:18" s="794" customFormat="1">
      <c r="B175" s="2485"/>
      <c r="C175" s="2485"/>
      <c r="D175" s="2485"/>
      <c r="E175" s="2485"/>
      <c r="F175" s="2485"/>
      <c r="G175" s="2486"/>
      <c r="H175" s="2485"/>
      <c r="I175" s="2486"/>
      <c r="J175" s="2485"/>
      <c r="K175" s="2485"/>
      <c r="L175" s="2486"/>
      <c r="M175" s="2485"/>
      <c r="N175" s="2485"/>
      <c r="O175" s="2486"/>
      <c r="P175" s="2485"/>
      <c r="Q175" s="2485"/>
      <c r="R175" s="2487"/>
    </row>
    <row r="176" spans="2:18" s="794" customFormat="1">
      <c r="B176" s="2485"/>
      <c r="C176" s="2485"/>
      <c r="D176" s="2485"/>
      <c r="E176" s="2485"/>
      <c r="F176" s="2485"/>
      <c r="G176" s="2486"/>
      <c r="H176" s="2485"/>
      <c r="I176" s="2486"/>
      <c r="J176" s="2485"/>
      <c r="K176" s="2485"/>
      <c r="L176" s="2486"/>
      <c r="M176" s="2485"/>
      <c r="N176" s="2485"/>
      <c r="O176" s="2486"/>
      <c r="P176" s="2485"/>
      <c r="Q176" s="2485"/>
      <c r="R176" s="2487"/>
    </row>
    <row r="177" spans="1:18" s="794" customFormat="1">
      <c r="B177" s="2485"/>
      <c r="C177" s="2485"/>
      <c r="D177" s="2485"/>
      <c r="E177" s="2485"/>
      <c r="F177" s="2485"/>
      <c r="G177" s="2486"/>
      <c r="H177" s="2485"/>
      <c r="I177" s="2486"/>
      <c r="J177" s="2485"/>
      <c r="K177" s="2485"/>
      <c r="L177" s="2486"/>
      <c r="M177" s="2485"/>
      <c r="N177" s="2485"/>
      <c r="O177" s="2486"/>
      <c r="P177" s="2485"/>
      <c r="Q177" s="2485"/>
      <c r="R177" s="2487"/>
    </row>
    <row r="178" spans="1:18" s="794" customFormat="1">
      <c r="B178" s="2485"/>
      <c r="C178" s="2485"/>
      <c r="D178" s="2485"/>
      <c r="E178" s="2485"/>
      <c r="F178" s="2485"/>
      <c r="G178" s="2486"/>
      <c r="H178" s="2485"/>
      <c r="I178" s="2486"/>
      <c r="J178" s="2485"/>
      <c r="K178" s="2485"/>
      <c r="L178" s="2486"/>
      <c r="M178" s="2485"/>
      <c r="N178" s="2485"/>
      <c r="O178" s="2486"/>
      <c r="P178" s="2485"/>
      <c r="Q178" s="2485"/>
      <c r="R178" s="2487"/>
    </row>
    <row r="179" spans="1:18" s="794" customFormat="1">
      <c r="B179" s="2485"/>
      <c r="C179" s="2485"/>
      <c r="D179" s="2485"/>
      <c r="E179" s="2485"/>
      <c r="F179" s="2485"/>
      <c r="G179" s="2486"/>
      <c r="H179" s="2485"/>
      <c r="I179" s="2486"/>
      <c r="J179" s="2485"/>
      <c r="K179" s="2485"/>
      <c r="L179" s="2486"/>
      <c r="M179" s="2485"/>
      <c r="N179" s="2485"/>
      <c r="O179" s="2486"/>
      <c r="P179" s="2485"/>
      <c r="Q179" s="2485"/>
      <c r="R179" s="2487"/>
    </row>
    <row r="180" spans="1:18" s="794" customFormat="1">
      <c r="B180" s="2485"/>
      <c r="C180" s="2485"/>
      <c r="D180" s="2485"/>
      <c r="E180" s="2485"/>
      <c r="F180" s="2485"/>
      <c r="G180" s="2486"/>
      <c r="H180" s="2485"/>
      <c r="I180" s="2486"/>
      <c r="J180" s="2485"/>
      <c r="K180" s="2485"/>
      <c r="L180" s="2486"/>
      <c r="M180" s="2485"/>
      <c r="N180" s="2485"/>
      <c r="O180" s="2486"/>
      <c r="P180" s="2485"/>
      <c r="Q180" s="2485"/>
      <c r="R180" s="2487"/>
    </row>
    <row r="181" spans="1:18" s="794" customFormat="1">
      <c r="B181" s="2485"/>
      <c r="C181" s="2485"/>
      <c r="D181" s="2485"/>
      <c r="E181" s="2485"/>
      <c r="F181" s="2485"/>
      <c r="G181" s="2486"/>
      <c r="H181" s="2485"/>
      <c r="I181" s="2486"/>
      <c r="J181" s="2485"/>
      <c r="K181" s="2485"/>
      <c r="L181" s="2486"/>
      <c r="M181" s="2485"/>
      <c r="N181" s="2485"/>
      <c r="O181" s="2486"/>
      <c r="P181" s="2485"/>
      <c r="Q181" s="2485"/>
      <c r="R181" s="2487"/>
    </row>
    <row r="182" spans="1:18" s="794" customFormat="1">
      <c r="B182" s="2485"/>
      <c r="C182" s="2485"/>
      <c r="D182" s="2485"/>
      <c r="E182" s="2485"/>
      <c r="F182" s="2485"/>
      <c r="G182" s="2486"/>
      <c r="H182" s="2485"/>
      <c r="I182" s="2486"/>
      <c r="J182" s="2485"/>
      <c r="K182" s="2485"/>
      <c r="L182" s="2486"/>
      <c r="M182" s="2485"/>
      <c r="N182" s="2485"/>
      <c r="O182" s="2486"/>
      <c r="P182" s="2485"/>
      <c r="Q182" s="2485"/>
      <c r="R182" s="2487"/>
    </row>
    <row r="183" spans="1:18" s="794" customFormat="1">
      <c r="B183" s="2485"/>
      <c r="C183" s="2485"/>
      <c r="D183" s="2485"/>
      <c r="E183" s="2485"/>
      <c r="F183" s="2485"/>
      <c r="G183" s="2486"/>
      <c r="H183" s="2485"/>
      <c r="I183" s="2486"/>
      <c r="J183" s="2485"/>
      <c r="K183" s="2485"/>
      <c r="L183" s="2486"/>
      <c r="M183" s="2485"/>
      <c r="N183" s="2485"/>
      <c r="O183" s="2486"/>
      <c r="P183" s="2485"/>
      <c r="Q183" s="2485"/>
      <c r="R183" s="2487"/>
    </row>
    <row r="184" spans="1:18" s="794" customFormat="1">
      <c r="B184" s="2485"/>
      <c r="C184" s="2485"/>
      <c r="D184" s="2485"/>
      <c r="E184" s="2485"/>
      <c r="F184" s="2485"/>
      <c r="G184" s="2486"/>
      <c r="H184" s="2485"/>
      <c r="I184" s="2486"/>
      <c r="J184" s="2485"/>
      <c r="K184" s="2485"/>
      <c r="L184" s="2486"/>
      <c r="M184" s="2485"/>
      <c r="N184" s="2485"/>
      <c r="O184" s="2486"/>
      <c r="P184" s="2485"/>
      <c r="Q184" s="2485"/>
      <c r="R184" s="2487"/>
    </row>
    <row r="185" spans="1:18" s="794"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4"/>
      <c r="B186" s="2485"/>
      <c r="C186" s="2485"/>
      <c r="E186" s="2485"/>
      <c r="F186" s="2485"/>
      <c r="G186" s="2486"/>
    </row>
    <row r="187" spans="1:18">
      <c r="A187" s="794"/>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T22" sqref="T22"/>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135125.56999999998</v>
      </c>
      <c r="C1" s="2679"/>
      <c r="D1" s="2679"/>
      <c r="E1" s="2679"/>
      <c r="F1" s="2679"/>
      <c r="G1" s="2680"/>
      <c r="H1" s="2681"/>
      <c r="I1" s="2681"/>
      <c r="J1" s="2681"/>
      <c r="K1" s="2681"/>
    </row>
    <row r="2" spans="1:11" ht="16.5">
      <c r="A2" s="2506" t="s">
        <v>653</v>
      </c>
      <c r="B2" s="2506">
        <f>SUM(C14:C23)</f>
        <v>58598.03</v>
      </c>
      <c r="C2" s="2679"/>
      <c r="D2" s="2679"/>
      <c r="E2" s="2679"/>
      <c r="F2" s="2679"/>
      <c r="G2" s="2680"/>
      <c r="H2" s="2681"/>
      <c r="I2" s="2681"/>
      <c r="J2" s="2681"/>
      <c r="K2" s="2681"/>
    </row>
    <row r="3" spans="1:11" ht="16.5">
      <c r="A3" s="2506" t="s">
        <v>662</v>
      </c>
      <c r="B3" s="2508">
        <f>项目基本情况!D3</f>
        <v>45392</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144697</v>
      </c>
      <c r="C5" s="2506">
        <f ca="1">IF(B5=D14,结果表!H102,ROUND(B5*10000/$B$1,0))</f>
        <v>10708</v>
      </c>
      <c r="D5" s="2506">
        <f ca="1">ROUND(B5*10000/$B$2,0)</f>
        <v>24693</v>
      </c>
      <c r="E5" s="2679"/>
      <c r="F5" s="2680"/>
      <c r="G5" s="2680"/>
      <c r="H5" s="2681"/>
      <c r="I5" s="2681"/>
      <c r="J5" s="2681"/>
      <c r="K5" s="2681"/>
    </row>
    <row r="6" spans="1:11" ht="16.5">
      <c r="A6" s="2506" t="s">
        <v>656</v>
      </c>
      <c r="B6" s="2506">
        <f ca="1">SUM(G14:G23)</f>
        <v>144697</v>
      </c>
      <c r="C6" s="2506">
        <f ca="1">IF(B6=G14,结果表!H108,ROUND(B6*10000/$B$1,0))</f>
        <v>10708</v>
      </c>
      <c r="D6" s="2506">
        <f ca="1">ROUND(B6*10000/$B$2,0)</f>
        <v>24693</v>
      </c>
      <c r="E6" s="2679"/>
      <c r="F6" s="2680"/>
      <c r="G6" s="2680"/>
      <c r="H6" s="2681"/>
      <c r="I6" s="2681"/>
      <c r="J6" s="2681"/>
      <c r="K6" s="2681"/>
    </row>
    <row r="7" spans="1:11" ht="16.5">
      <c r="A7" s="2506" t="s">
        <v>664</v>
      </c>
      <c r="B7" s="2506">
        <f>SUM(H14:H23)</f>
        <v>0</v>
      </c>
      <c r="C7" s="2506" t="str">
        <f>IF(B7=H14,结果表!H110,ROUND(B7*10000/$B$1,0))</f>
        <v>——</v>
      </c>
      <c r="D7" s="2506">
        <f>ROUND(B7*10000/$B$2,0)</f>
        <v>0</v>
      </c>
      <c r="E7" s="2679"/>
      <c r="F7" s="2680"/>
      <c r="G7" s="2680"/>
      <c r="H7" s="2681"/>
      <c r="I7" s="2681"/>
      <c r="J7" s="2681"/>
      <c r="K7" s="2681"/>
    </row>
    <row r="8" spans="1:11" ht="16.5">
      <c r="A8" s="2506" t="s">
        <v>587</v>
      </c>
      <c r="B8" s="2506">
        <f>SUM(I14:I23)</f>
        <v>0</v>
      </c>
      <c r="C8" s="2506">
        <f ca="1">IF(B8=I14,结果表!H112,ROUND(B8*10000/$B$1,0))</f>
        <v>9312</v>
      </c>
      <c r="D8" s="2506">
        <f>ROUND(B8*10000/$B$2,0)</f>
        <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3356</v>
      </c>
      <c r="D10" s="2506" t="s">
        <v>3357</v>
      </c>
      <c r="E10" s="3434"/>
      <c r="F10" s="3438" t="s">
        <v>3358</v>
      </c>
      <c r="G10" s="3435"/>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'数据-汇总表'!E3</f>
        <v>135125.56999999998</v>
      </c>
      <c r="C14" s="2512">
        <f>'数据-汇总表'!D3</f>
        <v>58598.03</v>
      </c>
      <c r="D14" s="2512">
        <f ca="1">结果表!G19</f>
        <v>144697</v>
      </c>
      <c r="E14" s="2512">
        <f ca="1">ROUND(D14*10000/B14,0)</f>
        <v>10708</v>
      </c>
      <c r="F14" s="2512">
        <f ca="1">ROUND(D14*10000/C14,0)</f>
        <v>24693</v>
      </c>
      <c r="G14" s="2512">
        <f ca="1">D14</f>
        <v>144697</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6"/>
      <c r="H15" s="1326"/>
      <c r="I15" s="2513"/>
      <c r="J15" s="2680"/>
      <c r="K15" s="2681"/>
    </row>
    <row r="16" spans="1:11" ht="16.5">
      <c r="A16" s="2511" t="s">
        <v>648</v>
      </c>
      <c r="B16" s="2513"/>
      <c r="C16" s="2513"/>
      <c r="D16" s="2513"/>
      <c r="E16" s="2512" t="e">
        <f t="shared" si="0"/>
        <v>#DIV/0!</v>
      </c>
      <c r="F16" s="2512" t="e">
        <f t="shared" si="1"/>
        <v>#DIV/0!</v>
      </c>
      <c r="G16" s="1326"/>
      <c r="H16" s="1326"/>
      <c r="I16" s="2513"/>
      <c r="J16" s="2681"/>
      <c r="K16" s="2681"/>
    </row>
    <row r="17" spans="1:11" ht="16.5">
      <c r="A17" s="2511" t="s">
        <v>647</v>
      </c>
      <c r="B17" s="2513"/>
      <c r="C17" s="2513"/>
      <c r="D17" s="2513"/>
      <c r="E17" s="2512" t="e">
        <f t="shared" si="0"/>
        <v>#DIV/0!</v>
      </c>
      <c r="F17" s="2512" t="e">
        <f t="shared" si="1"/>
        <v>#DIV/0!</v>
      </c>
      <c r="G17" s="1326"/>
      <c r="H17" s="1326"/>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69" t="str">
        <f>项目基本情况!S2</f>
        <v>北京市朝阳区朝外大街乙12号房地产</v>
      </c>
      <c r="B2" s="3670"/>
      <c r="C2" s="3670"/>
      <c r="D2" s="3670"/>
      <c r="E2" s="3670"/>
      <c r="F2" s="3670"/>
      <c r="G2" s="3670"/>
      <c r="H2" s="3670"/>
      <c r="I2" s="3671"/>
    </row>
    <row r="3" spans="1:12" ht="12.75">
      <c r="A3" s="3673" t="s">
        <v>1264</v>
      </c>
      <c r="B3" s="3674"/>
      <c r="C3" s="3674"/>
      <c r="D3" s="3674"/>
      <c r="E3" s="3674"/>
      <c r="F3" s="3674"/>
      <c r="G3" s="3674"/>
      <c r="H3" s="3674"/>
      <c r="I3" s="3674"/>
    </row>
    <row r="4" spans="1:12" ht="14.25">
      <c r="A4" s="1749" t="s">
        <v>1265</v>
      </c>
      <c r="B4" s="1750" t="s">
        <v>1266</v>
      </c>
      <c r="C4" s="1751" t="s">
        <v>3436</v>
      </c>
      <c r="D4" s="1751" t="s">
        <v>3433</v>
      </c>
      <c r="E4" s="3678" t="s">
        <v>1267</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72">
        <v>25</v>
      </c>
      <c r="C5" s="3675"/>
      <c r="D5" s="3663"/>
      <c r="E5" s="131" t="s">
        <v>1269</v>
      </c>
      <c r="F5" s="1752"/>
      <c r="G5" s="1752"/>
      <c r="H5" s="1752"/>
      <c r="I5" s="1368"/>
    </row>
    <row r="6" spans="1:12" ht="12.75">
      <c r="A6" s="3617"/>
      <c r="B6" s="3672"/>
      <c r="C6" s="3677"/>
      <c r="D6" s="3663"/>
      <c r="E6" s="131" t="s">
        <v>1270</v>
      </c>
      <c r="F6" s="1752"/>
      <c r="G6" s="1752"/>
      <c r="H6" s="1752"/>
      <c r="I6" s="1368"/>
    </row>
    <row r="7" spans="1:12" ht="12.75">
      <c r="A7" s="3617"/>
      <c r="B7" s="3672"/>
      <c r="C7" s="3676"/>
      <c r="D7" s="3663"/>
      <c r="E7" s="131" t="s">
        <v>1271</v>
      </c>
      <c r="F7" s="1752"/>
      <c r="G7" s="1752"/>
      <c r="H7" s="1752"/>
      <c r="I7" s="1368"/>
    </row>
    <row r="8" spans="1:12" ht="12.75">
      <c r="A8" s="3617" t="s">
        <v>1272</v>
      </c>
      <c r="B8" s="3672">
        <v>15</v>
      </c>
      <c r="C8" s="3675"/>
      <c r="D8" s="3663"/>
      <c r="E8" s="131" t="s">
        <v>1273</v>
      </c>
      <c r="F8" s="1752"/>
      <c r="G8" s="1752"/>
      <c r="H8" s="1752"/>
      <c r="I8" s="1368"/>
    </row>
    <row r="9" spans="1:12" ht="12.75">
      <c r="A9" s="3617"/>
      <c r="B9" s="3672"/>
      <c r="C9" s="3676"/>
      <c r="D9" s="3663"/>
      <c r="E9" s="131" t="s">
        <v>1274</v>
      </c>
      <c r="F9" s="1752"/>
      <c r="G9" s="1752"/>
      <c r="H9" s="1752"/>
      <c r="I9" s="1368"/>
    </row>
    <row r="10" spans="1:12" ht="12.75">
      <c r="A10" s="3617" t="s">
        <v>1275</v>
      </c>
      <c r="B10" s="3672">
        <v>15</v>
      </c>
      <c r="C10" s="3675"/>
      <c r="D10" s="3663"/>
      <c r="E10" s="131" t="s">
        <v>1276</v>
      </c>
      <c r="F10" s="1752"/>
      <c r="G10" s="1752"/>
      <c r="H10" s="1752"/>
      <c r="I10" s="1368"/>
    </row>
    <row r="11" spans="1:12" ht="12.75">
      <c r="A11" s="3617"/>
      <c r="B11" s="3672"/>
      <c r="C11" s="3676"/>
      <c r="D11" s="3663"/>
      <c r="E11" s="131" t="s">
        <v>1277</v>
      </c>
      <c r="F11" s="1752"/>
      <c r="G11" s="1752"/>
      <c r="H11" s="1752"/>
      <c r="I11" s="1368"/>
    </row>
    <row r="12" spans="1:12" ht="12.75">
      <c r="A12" s="3617" t="s">
        <v>1278</v>
      </c>
      <c r="B12" s="3672">
        <v>15</v>
      </c>
      <c r="C12" s="3675"/>
      <c r="D12" s="3663"/>
      <c r="E12" s="131" t="s">
        <v>1279</v>
      </c>
      <c r="F12" s="1752"/>
      <c r="G12" s="1752"/>
      <c r="H12" s="1752"/>
      <c r="I12" s="1368"/>
    </row>
    <row r="13" spans="1:12" ht="12.75">
      <c r="A13" s="3617"/>
      <c r="B13" s="3672"/>
      <c r="C13" s="3676"/>
      <c r="D13" s="3663"/>
      <c r="E13" s="131" t="s">
        <v>1280</v>
      </c>
      <c r="F13" s="1752"/>
      <c r="G13" s="1752"/>
      <c r="H13" s="1752"/>
      <c r="I13" s="1368"/>
    </row>
    <row r="14" spans="1:12" ht="12.75">
      <c r="A14" s="3617" t="s">
        <v>1281</v>
      </c>
      <c r="B14" s="3672">
        <v>30</v>
      </c>
      <c r="C14" s="3675">
        <v>4</v>
      </c>
      <c r="D14" s="3663">
        <v>6</v>
      </c>
      <c r="E14" s="131" t="s">
        <v>1282</v>
      </c>
      <c r="F14" s="1752"/>
      <c r="G14" s="1752"/>
      <c r="H14" s="1752"/>
      <c r="I14" s="1368"/>
    </row>
    <row r="15" spans="1:12" ht="12.75">
      <c r="A15" s="3617"/>
      <c r="B15" s="3672"/>
      <c r="C15" s="3677"/>
      <c r="D15" s="3663"/>
      <c r="E15" s="131" t="s">
        <v>1283</v>
      </c>
      <c r="F15" s="1752"/>
      <c r="G15" s="1752"/>
      <c r="H15" s="1752"/>
      <c r="I15" s="1368"/>
    </row>
    <row r="16" spans="1:12" ht="12.75">
      <c r="A16" s="3617"/>
      <c r="B16" s="3672"/>
      <c r="C16" s="3676"/>
      <c r="D16" s="3663"/>
      <c r="E16" s="131" t="s">
        <v>1284</v>
      </c>
      <c r="F16" s="1752"/>
      <c r="G16" s="1752"/>
      <c r="H16" s="1752"/>
      <c r="I16" s="1368"/>
    </row>
    <row r="17" spans="1:36" ht="15">
      <c r="A17" s="1753" t="s">
        <v>1285</v>
      </c>
      <c r="B17" s="56"/>
      <c r="C17" s="132">
        <f>SUM(C5:C16)</f>
        <v>4</v>
      </c>
      <c r="D17" s="132">
        <f>SUM(D5:D16)</f>
        <v>6</v>
      </c>
      <c r="E17" s="129"/>
      <c r="F17" s="129"/>
      <c r="G17" s="129"/>
      <c r="H17" s="129"/>
      <c r="I17" s="129"/>
      <c r="K17" s="302"/>
      <c r="L17" s="302" t="s">
        <v>1286</v>
      </c>
      <c r="M17" s="302" t="s">
        <v>1287</v>
      </c>
    </row>
    <row r="18" spans="1:36" ht="31.9" customHeight="1" thickBot="1">
      <c r="A18" s="1754" t="s">
        <v>1288</v>
      </c>
      <c r="B18" s="1755"/>
      <c r="C18" s="133">
        <f>ROUND(C17/SUM(C17:D17),2)</f>
        <v>0.4</v>
      </c>
      <c r="D18" s="133">
        <f>1-C18</f>
        <v>0.6</v>
      </c>
      <c r="E18" s="3694" t="s">
        <v>2129</v>
      </c>
      <c r="F18" s="3695"/>
      <c r="G18" s="3695"/>
      <c r="H18" s="3695"/>
      <c r="I18" s="3695"/>
      <c r="K18" s="302" t="s">
        <v>1289</v>
      </c>
      <c r="L18" s="302">
        <f>IF(C1="",'数据-汇总表'!E3,SUMIF(项目类型,C1,'数据-汇总表'!E17:E26)+SUMIF(项目类型,C1,'数据-汇总表'!I17:I26))</f>
        <v>135125.56999999998</v>
      </c>
      <c r="M18" s="302">
        <f>IF(C1="",'数据-汇总表'!E3,SUMIF(项目类型,C1,'数据-汇总表'!E17:E26))</f>
        <v>135125.56999999998</v>
      </c>
    </row>
    <row r="19" spans="1:36" ht="15">
      <c r="A19" s="1756" t="s">
        <v>1290</v>
      </c>
      <c r="B19" s="1757" t="s">
        <v>1291</v>
      </c>
      <c r="C19" s="134">
        <f ca="1">SUMIF(INDIRECT("'"&amp;C4&amp;"'"&amp;"!A:A"),结果表!B19,INDIRECT("'"&amp;C4&amp;"'"&amp;"!B:B"))</f>
        <v>122495</v>
      </c>
      <c r="D19" s="135">
        <f ca="1">SUMIF(INDIRECT("'"&amp;D4&amp;"'"&amp;"!A:A"),结果表!B19,INDIRECT("'"&amp;D4&amp;"'"&amp;"!B:B"))</f>
        <v>159498</v>
      </c>
      <c r="E19" s="1756" t="s">
        <v>1292</v>
      </c>
      <c r="F19" s="1757" t="s">
        <v>1291</v>
      </c>
      <c r="G19" s="136">
        <f ca="1">ROUND(C19*$C$18+D19*$D$18,0)</f>
        <v>144697</v>
      </c>
      <c r="H19" s="1758" t="s">
        <v>1293</v>
      </c>
      <c r="I19" s="129"/>
      <c r="K19" s="302" t="s">
        <v>1294</v>
      </c>
      <c r="L19" s="302">
        <f>IF(C1="",'数据-汇总表'!D3,SUMIF(项目类型,C1,'数据-汇总表'!D17:D26)+SUMIF(项目类型,C1,'数据-汇总表'!H17:H27))</f>
        <v>58598.03</v>
      </c>
      <c r="M19" s="302">
        <f>IF(C1="",'数据-汇总表'!D3,SUMIF(项目类型,C1,'数据-汇总表'!D17:D26))</f>
        <v>58598.03</v>
      </c>
    </row>
    <row r="20" spans="1:36" ht="15">
      <c r="A20" s="1759"/>
      <c r="B20" s="1021" t="s">
        <v>1295</v>
      </c>
      <c r="C20" s="137">
        <f ca="1">SUMIF(INDIRECT("'"&amp;C4&amp;"'"&amp;"!A:A"),结果表!B20,INDIRECT("'"&amp;C4&amp;"'"&amp;"!B:B"))</f>
        <v>9065</v>
      </c>
      <c r="D20" s="138">
        <f ca="1">SUMIF(INDIRECT("'"&amp;D4&amp;"'"&amp;"!A:A"),结果表!B20,INDIRECT("'"&amp;D4&amp;"'"&amp;"!B:B"))</f>
        <v>12112</v>
      </c>
      <c r="E20" s="1759"/>
      <c r="F20" s="1021" t="s">
        <v>1295</v>
      </c>
      <c r="G20" s="139">
        <f ca="1">ROUND(C20*$C$18+D20*$D$18,0)</f>
        <v>10893</v>
      </c>
      <c r="H20" s="803" t="s">
        <v>1296</v>
      </c>
      <c r="I20" s="129"/>
    </row>
    <row r="21" spans="1:36" ht="15" customHeight="1" thickBot="1">
      <c r="A21" s="823"/>
      <c r="B21" s="1760" t="s">
        <v>1297</v>
      </c>
      <c r="C21" s="717">
        <f ca="1">ROUND(C19*10000/L19,0)</f>
        <v>20904</v>
      </c>
      <c r="D21" s="718">
        <f ca="1">ROUND(D19*10000/L19,0)</f>
        <v>27219</v>
      </c>
      <c r="E21" s="823"/>
      <c r="F21" s="1760" t="s">
        <v>1297</v>
      </c>
      <c r="G21" s="140">
        <f ca="1">ROUND(G19*10000/L19,0)</f>
        <v>24693</v>
      </c>
      <c r="H21" s="1761" t="s">
        <v>1296</v>
      </c>
      <c r="I21" s="129"/>
    </row>
    <row r="22" spans="1:36" ht="15" thickBot="1">
      <c r="A22" s="1683" t="s">
        <v>1298</v>
      </c>
      <c r="B22" s="1762"/>
      <c r="C22" s="1763"/>
      <c r="D22" s="719">
        <f ca="1">IF(C19&lt;D19,D19/C19-1,C19/D19-1)</f>
        <v>0.30207763582187019</v>
      </c>
      <c r="E22" s="129"/>
      <c r="F22" s="129"/>
      <c r="G22" s="129"/>
      <c r="H22" s="129"/>
      <c r="I22" s="129"/>
    </row>
    <row r="23" spans="1:36" ht="13.5" thickBot="1">
      <c r="A23" s="1742"/>
      <c r="B23" s="1742"/>
      <c r="C23" s="1742"/>
      <c r="D23" s="1742"/>
      <c r="E23" s="129"/>
      <c r="F23" s="129"/>
      <c r="G23" s="129"/>
      <c r="H23" s="129"/>
      <c r="I23" s="129"/>
    </row>
    <row r="24" spans="1:36" ht="14.25">
      <c r="A24" s="3687" t="s">
        <v>1299</v>
      </c>
      <c r="B24" s="1757" t="s">
        <v>1291</v>
      </c>
      <c r="C24" s="136">
        <f>IF(B30=0,0,D30)</f>
        <v>0</v>
      </c>
      <c r="D24" s="1764"/>
      <c r="E24" s="129"/>
      <c r="F24" s="129"/>
      <c r="G24" s="129"/>
      <c r="H24" s="129"/>
      <c r="I24" s="129"/>
    </row>
    <row r="25" spans="1:36" ht="14.25">
      <c r="A25" s="3688"/>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 ca="1">G19/'数据-汇总表'!F31*10000</f>
        <v>12451.901703837555</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7" t="s">
        <v>2130</v>
      </c>
      <c r="F30" s="129"/>
      <c r="G30" s="129"/>
      <c r="H30" s="129"/>
      <c r="I30" s="129"/>
    </row>
    <row r="31" spans="1:36" s="2303" customFormat="1" ht="26.45" customHeight="1" thickTop="1" thickBot="1">
      <c r="A31" s="2298"/>
      <c r="B31" s="2299"/>
      <c r="C31" s="2299"/>
      <c r="D31" s="2299"/>
      <c r="E31" s="2299"/>
      <c r="F31" s="2299"/>
      <c r="G31" s="2299"/>
      <c r="H31" s="2299"/>
      <c r="I31" s="2300" t="s">
        <v>2131</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1305</v>
      </c>
      <c r="B32" s="1769"/>
      <c r="C32" s="144">
        <f ca="1">IF(D32="总价",G19-C24,G20-C25)</f>
        <v>144697</v>
      </c>
      <c r="D32" s="1770" t="s">
        <v>3403</v>
      </c>
      <c r="E32" s="129"/>
      <c r="F32" s="129"/>
      <c r="G32" s="129"/>
      <c r="H32" s="129"/>
      <c r="I32" s="129"/>
    </row>
    <row r="33" spans="1:15" ht="15">
      <c r="A33" s="781" t="s">
        <v>1306</v>
      </c>
      <c r="B33" s="1771"/>
      <c r="C33" s="1772" t="s">
        <v>3404</v>
      </c>
      <c r="D33" s="1773" t="s">
        <v>3436</v>
      </c>
      <c r="E33" s="1774" t="s">
        <v>1307</v>
      </c>
      <c r="F33" s="1775" t="str">
        <f>IF(D32="楼面单价","取值（单价）","取值（总价）")</f>
        <v>取值（总价）</v>
      </c>
      <c r="G33" s="129"/>
      <c r="H33" s="129"/>
      <c r="I33" s="129"/>
    </row>
    <row r="34" spans="1:15" ht="15">
      <c r="A34" s="1776"/>
      <c r="B34" s="1777" t="s">
        <v>1308</v>
      </c>
      <c r="C34" s="148">
        <f ca="1">IF(C33="自定义",F34,C32-C35)</f>
        <v>25756</v>
      </c>
      <c r="D34" s="856">
        <f ca="1">IF(C33="自定义",ROUND(C34/C32,3),IF(C33="收益比率",SUMIF(INDIRECT("'"&amp;D33&amp;"'"&amp;"!b:b"),"土地收益比率",INDIRECT("'"&amp;D33&amp;"'"&amp;"!c:c")),SUMIF(INDIRECT("'"&amp;D33&amp;"'"&amp;"!b:b"),"土地成本比率",INDIRECT("'"&amp;D33&amp;"'"&amp;"!c:c"))))</f>
        <v>0.17800000000000005</v>
      </c>
      <c r="E34" s="1778" t="s">
        <v>1309</v>
      </c>
      <c r="F34" s="1325"/>
      <c r="G34" s="129"/>
      <c r="H34" s="129"/>
      <c r="I34" s="129"/>
      <c r="L34" s="3496"/>
    </row>
    <row r="35" spans="1:15" ht="15.75" thickBot="1">
      <c r="A35" s="1779"/>
      <c r="B35" s="1780" t="s">
        <v>1310</v>
      </c>
      <c r="C35" s="1165">
        <f ca="1">IF(C33="自定义",F35,ROUND(C32*D35,0))</f>
        <v>118941</v>
      </c>
      <c r="D35" s="1166">
        <f ca="1">IF(C33="自定义",ROUND(C35/C32,3),IF(C33="收益比率",SUMIF(INDIRECT("'"&amp;D33&amp;"'"&amp;"!b:b"),"建筑物收益比率",INDIRECT("'"&amp;D33&amp;"'"&amp;"!c:c")),SUMIF(INDIRECT("'"&amp;D33&amp;"'"&amp;"!b:b"),"建筑物成本比率",INDIRECT("'"&amp;D33&amp;"'"&amp;"!c:c"))))</f>
        <v>0.82199999999999995</v>
      </c>
      <c r="E35" s="1781" t="s">
        <v>1311</v>
      </c>
      <c r="F35" s="154"/>
      <c r="G35" s="129"/>
      <c r="H35" s="129"/>
      <c r="I35" s="129"/>
    </row>
    <row r="36" spans="1:15" ht="15.75" thickBot="1">
      <c r="A36" s="3664" t="s">
        <v>1312</v>
      </c>
      <c r="B36" s="1782" t="s">
        <v>1313</v>
      </c>
      <c r="C36" s="145"/>
      <c r="D36" s="1783"/>
      <c r="E36" s="1784"/>
      <c r="F36" s="1785"/>
      <c r="G36" s="129"/>
      <c r="H36" s="129"/>
      <c r="I36" s="129"/>
    </row>
    <row r="37" spans="1:15" ht="15.75" thickBot="1">
      <c r="A37" s="3665"/>
      <c r="B37" s="1669" t="s">
        <v>1314</v>
      </c>
      <c r="C37" s="147"/>
      <c r="D37" s="1134"/>
      <c r="E37" s="1134"/>
      <c r="F37" s="1785"/>
      <c r="G37" s="129"/>
      <c r="H37" s="129"/>
      <c r="I37" s="129"/>
    </row>
    <row r="38" spans="1:15" ht="15.75" thickBot="1">
      <c r="A38" s="3666"/>
      <c r="B38" s="1786" t="s">
        <v>1315</v>
      </c>
      <c r="C38" s="672"/>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84" t="s">
        <v>1326</v>
      </c>
      <c r="B45" s="3685"/>
      <c r="C45" s="3686"/>
      <c r="D45" s="155">
        <f ca="1">ROUND(H101*F45,0)</f>
        <v>144697</v>
      </c>
      <c r="E45" s="156" t="s">
        <v>1327</v>
      </c>
      <c r="F45" s="157">
        <v>1</v>
      </c>
      <c r="G45" s="158" t="s">
        <v>1328</v>
      </c>
      <c r="H45" s="129"/>
      <c r="I45" s="129"/>
      <c r="J45" s="3604" t="s">
        <v>1329</v>
      </c>
      <c r="K45" s="3604"/>
      <c r="L45" s="3604"/>
      <c r="M45" s="3604"/>
      <c r="N45" s="3604"/>
      <c r="O45" s="3604"/>
    </row>
    <row r="46" spans="1:15" ht="14.25" customHeight="1">
      <c r="A46" s="3681" t="s">
        <v>1330</v>
      </c>
      <c r="B46" s="3682"/>
      <c r="C46" s="3682"/>
      <c r="D46" s="3682"/>
      <c r="E46" s="3682"/>
      <c r="F46" s="3682"/>
      <c r="G46" s="3683"/>
      <c r="H46" s="1801"/>
      <c r="I46" s="159"/>
      <c r="J46" s="2517">
        <v>1</v>
      </c>
      <c r="K46" s="3605" t="s">
        <v>1331</v>
      </c>
      <c r="L46" s="3605"/>
      <c r="M46" s="3606"/>
      <c r="N46" s="3606"/>
      <c r="O46" s="3606"/>
    </row>
    <row r="47" spans="1:15" ht="12" customHeight="1">
      <c r="A47" s="160" t="s">
        <v>1332</v>
      </c>
      <c r="B47" s="161"/>
      <c r="C47" s="162"/>
      <c r="D47" s="1082" t="s">
        <v>1333</v>
      </c>
      <c r="E47" s="302" t="s">
        <v>1334</v>
      </c>
      <c r="F47" s="163" t="s">
        <v>1335</v>
      </c>
      <c r="G47" s="2540" t="s">
        <v>1336</v>
      </c>
      <c r="H47" s="2541"/>
      <c r="I47" s="159"/>
      <c r="J47" s="2517">
        <v>2</v>
      </c>
      <c r="K47" s="3605" t="s">
        <v>1337</v>
      </c>
      <c r="L47" s="3605"/>
      <c r="M47" s="3607">
        <f>'数据-取费表'!B2</f>
        <v>45392</v>
      </c>
      <c r="N47" s="3607"/>
      <c r="O47" s="3607"/>
    </row>
    <row r="48" spans="1:15" ht="25.5">
      <c r="A48" s="3667" t="s">
        <v>1338</v>
      </c>
      <c r="B48" s="3668"/>
      <c r="C48" s="3668"/>
      <c r="D48" s="2318">
        <f ca="1">IF(H48="情况1",0,IF(H48="情况2",D52,IF(H48="情况3",D53,IF(H48="情况4",D54))))</f>
        <v>7579</v>
      </c>
      <c r="E48" s="2328" t="str">
        <f>IF(H48="情况4","(销售额-原购置价)×税（费）率","销售额×税（费）率")</f>
        <v>销售额×税（费）率</v>
      </c>
      <c r="F48" s="2542">
        <f>IF(H48="情况1","免征",'数据-取费表'!B41)</f>
        <v>5.5000000000000007E-2</v>
      </c>
      <c r="G48" s="2543" t="s">
        <v>1339</v>
      </c>
      <c r="H48" s="2544" t="s">
        <v>3408</v>
      </c>
      <c r="I48" s="1801"/>
      <c r="J48" s="2517">
        <v>3</v>
      </c>
      <c r="K48" s="3605" t="s">
        <v>1340</v>
      </c>
      <c r="L48" s="3605"/>
      <c r="M48" s="3608">
        <f ca="1">H101</f>
        <v>144697</v>
      </c>
      <c r="N48" s="3608"/>
      <c r="O48" s="3608"/>
    </row>
    <row r="49" spans="1:35" ht="25.5" customHeight="1">
      <c r="A49" s="2327" t="s">
        <v>1341</v>
      </c>
      <c r="B49" s="3653" t="s">
        <v>1342</v>
      </c>
      <c r="C49" s="3653"/>
      <c r="D49" s="1585">
        <v>0</v>
      </c>
      <c r="E49" s="324" t="s">
        <v>1343</v>
      </c>
      <c r="F49" s="2418" t="s">
        <v>28</v>
      </c>
      <c r="G49" s="3636"/>
      <c r="H49" s="2304" t="s">
        <v>2132</v>
      </c>
      <c r="I49" s="2305"/>
      <c r="J49" s="2517">
        <v>4</v>
      </c>
      <c r="K49" s="3605" t="str">
        <f>IF(项目基本情况!E8="房地产抵押价值","房地产抵押价值","抵押担保权已注销时的房地产抵押价值")</f>
        <v>房地产抵押价值</v>
      </c>
      <c r="L49" s="3605"/>
      <c r="M49" s="3608">
        <f ca="1">IF(项目基本情况!E8="房地产抵押价值",H107,H109)</f>
        <v>144697</v>
      </c>
      <c r="N49" s="3608"/>
      <c r="O49" s="3608"/>
    </row>
    <row r="50" spans="1:35" ht="25.5" customHeight="1">
      <c r="A50" s="2545"/>
      <c r="B50" s="3653" t="s">
        <v>1344</v>
      </c>
      <c r="C50" s="3653"/>
      <c r="D50" s="2546"/>
      <c r="E50" s="332"/>
      <c r="F50" s="2418"/>
      <c r="G50" s="3637"/>
      <c r="H50" s="2306" t="s">
        <v>2133</v>
      </c>
      <c r="I50" s="2305"/>
      <c r="J50" s="3604" t="s">
        <v>1345</v>
      </c>
      <c r="K50" s="3604"/>
      <c r="L50" s="3604"/>
      <c r="M50" s="3604"/>
      <c r="N50" s="3604"/>
      <c r="O50" s="3604"/>
    </row>
    <row r="51" spans="1:35" ht="20.45" customHeight="1">
      <c r="A51" s="2547"/>
      <c r="B51" s="3653" t="s">
        <v>1346</v>
      </c>
      <c r="C51" s="3653"/>
      <c r="D51" s="1082"/>
      <c r="E51" s="327"/>
      <c r="F51" s="2418"/>
      <c r="G51" s="3638"/>
      <c r="H51" s="2306" t="s">
        <v>2134</v>
      </c>
      <c r="I51" s="2305"/>
      <c r="J51" s="2518" t="s">
        <v>1347</v>
      </c>
      <c r="K51" s="3605" t="s">
        <v>1348</v>
      </c>
      <c r="L51" s="3605"/>
      <c r="M51" s="2518" t="s">
        <v>1349</v>
      </c>
      <c r="N51" s="2518" t="s">
        <v>1350</v>
      </c>
      <c r="O51" s="2518" t="s">
        <v>1351</v>
      </c>
    </row>
    <row r="52" spans="1:35" ht="24" customHeight="1">
      <c r="A52" s="2329" t="s">
        <v>1352</v>
      </c>
      <c r="B52" s="3653" t="s">
        <v>1353</v>
      </c>
      <c r="C52" s="3653"/>
      <c r="D52" s="1082">
        <f ca="1">ROUND(D45*'数据-取费表'!B41/(1+'数据-取费表'!C42),0)</f>
        <v>7579</v>
      </c>
      <c r="E52" s="2328" t="s">
        <v>1354</v>
      </c>
      <c r="F52" s="2548">
        <f>'数据-取费表'!B41</f>
        <v>5.5000000000000007E-2</v>
      </c>
      <c r="G52" s="2549"/>
      <c r="H52" s="2538"/>
      <c r="I52" s="1802"/>
      <c r="J52" s="2517">
        <v>1</v>
      </c>
      <c r="K52" s="3630" t="s">
        <v>1355</v>
      </c>
      <c r="L52" s="3630"/>
      <c r="M52" s="2519">
        <f ca="1">D48</f>
        <v>7579</v>
      </c>
      <c r="N52" s="2517" t="str">
        <f>E48</f>
        <v>销售额×税（费）率</v>
      </c>
      <c r="O52" s="2520">
        <f>F48</f>
        <v>5.5000000000000007E-2</v>
      </c>
    </row>
    <row r="53" spans="1:35" ht="12" customHeight="1">
      <c r="A53" s="2329" t="s">
        <v>1356</v>
      </c>
      <c r="B53" s="3654" t="s">
        <v>2289</v>
      </c>
      <c r="C53" s="3655"/>
      <c r="D53" s="1082">
        <f ca="1">ROUND(D45*'数据-取费表'!B41/(1+'数据-取费表'!C42),0)</f>
        <v>7579</v>
      </c>
      <c r="E53" s="2328" t="s">
        <v>1354</v>
      </c>
      <c r="F53" s="2548">
        <f>'数据-取费表'!B41</f>
        <v>5.5000000000000007E-2</v>
      </c>
      <c r="G53" s="2549"/>
      <c r="H53" s="2538"/>
      <c r="I53" s="1802"/>
      <c r="J53" s="2517">
        <v>2</v>
      </c>
      <c r="K53" s="3630" t="s">
        <v>1357</v>
      </c>
      <c r="L53" s="3630"/>
      <c r="M53" s="2519">
        <f t="shared" ref="M53:O54" ca="1" si="0">D55</f>
        <v>72</v>
      </c>
      <c r="N53" s="2517" t="str">
        <f t="shared" si="0"/>
        <v>销售额×税（费）率</v>
      </c>
      <c r="O53" s="2520">
        <f t="shared" si="0"/>
        <v>5.0000000000000001E-4</v>
      </c>
    </row>
    <row r="54" spans="1:35" ht="12" customHeight="1">
      <c r="A54" s="2329" t="s">
        <v>1358</v>
      </c>
      <c r="B54" s="3654" t="s">
        <v>2290</v>
      </c>
      <c r="C54" s="3655"/>
      <c r="D54" s="1082">
        <f ca="1">C68</f>
        <v>7579</v>
      </c>
      <c r="E54" s="327" t="s">
        <v>1359</v>
      </c>
      <c r="F54" s="2548">
        <f>'数据-取费表'!B41</f>
        <v>5.5000000000000007E-2</v>
      </c>
      <c r="G54" s="2549"/>
      <c r="H54" s="2550"/>
      <c r="I54" s="1802"/>
      <c r="J54" s="2517">
        <v>3</v>
      </c>
      <c r="K54" s="3630" t="s">
        <v>1360</v>
      </c>
      <c r="L54" s="3630"/>
      <c r="M54" s="2519">
        <f t="shared" ca="1" si="0"/>
        <v>11222</v>
      </c>
      <c r="N54" s="2517" t="str">
        <f t="shared" si="0"/>
        <v>增值额×税（费）率</v>
      </c>
      <c r="O54" s="2521" t="str">
        <f t="shared" si="0"/>
        <v>——</v>
      </c>
      <c r="P54" s="723">
        <f ca="1">D45/1.05*5%</f>
        <v>6890.333333333333</v>
      </c>
      <c r="R54" s="723">
        <f ca="1">M52+M53+P54</f>
        <v>14541.333333333332</v>
      </c>
    </row>
    <row r="55" spans="1:35" ht="24" customHeight="1">
      <c r="A55" s="3690" t="s">
        <v>1361</v>
      </c>
      <c r="B55" s="3668"/>
      <c r="C55" s="3668"/>
      <c r="D55" s="2318">
        <f ca="1">IF(H55="个人住宅",0,ROUND(D45*I55,0))</f>
        <v>72</v>
      </c>
      <c r="E55" s="2328" t="s">
        <v>1362</v>
      </c>
      <c r="F55" s="2548">
        <f>IF(H55="正常",I55,"免征")</f>
        <v>5.0000000000000001E-4</v>
      </c>
      <c r="G55" s="2549"/>
      <c r="H55" s="2544" t="s">
        <v>3409</v>
      </c>
      <c r="I55" s="165">
        <f>'数据-取费表'!B49</f>
        <v>5.0000000000000001E-4</v>
      </c>
      <c r="J55" s="2517" t="str">
        <f>IF(H59="非个人房产","",4)</f>
        <v/>
      </c>
      <c r="K55" s="3630" t="str">
        <f>IF(H59="非个人房产","——","个人所得税")</f>
        <v>——</v>
      </c>
      <c r="L55" s="3630"/>
      <c r="M55" s="2522" t="str">
        <f>D59</f>
        <v>——</v>
      </c>
      <c r="N55" s="2034" t="str">
        <f>E59</f>
        <v>——</v>
      </c>
      <c r="O55" s="2523" t="str">
        <f>F59</f>
        <v>——</v>
      </c>
      <c r="R55" s="723">
        <f ca="1">M48-R54</f>
        <v>130155.66666666667</v>
      </c>
    </row>
    <row r="56" spans="1:35" ht="24.75">
      <c r="A56" s="3690" t="s">
        <v>1363</v>
      </c>
      <c r="B56" s="3668"/>
      <c r="C56" s="3668"/>
      <c r="D56" s="2318">
        <f ca="1">IF(H56="个人住宅",D57,D58)</f>
        <v>11222</v>
      </c>
      <c r="E56" s="2328" t="s">
        <v>1364</v>
      </c>
      <c r="F56" s="2548" t="str">
        <f>IF(H56="正常",F58,"免征")</f>
        <v>——</v>
      </c>
      <c r="G56" s="2551" t="s">
        <v>1365</v>
      </c>
      <c r="H56" s="2552" t="s">
        <v>3409</v>
      </c>
      <c r="I56" s="1803"/>
      <c r="J56" s="2517" t="str">
        <f>IF(项目基本情况!K6="上海银行",IF(J55="",4,J55+1),"")</f>
        <v/>
      </c>
      <c r="K56" s="3611" t="str">
        <f>IF(项目基本情况!K6="上海银行","其他处置费用","")</f>
        <v/>
      </c>
      <c r="L56" s="3612"/>
      <c r="M56" s="2519" t="str">
        <f>IF(项目基本情况!K6="上海银行",M69,"")</f>
        <v/>
      </c>
      <c r="N56" s="3611" t="str">
        <f>IF(项目基本情况!K6="上海银行","包含处置中涉及的律师、诉讼、拍卖、评估等费用","")</f>
        <v/>
      </c>
      <c r="O56" s="3614"/>
    </row>
    <row r="57" spans="1:35" ht="12.75">
      <c r="A57" s="2329" t="s">
        <v>1341</v>
      </c>
      <c r="B57" s="3654" t="s">
        <v>1366</v>
      </c>
      <c r="C57" s="3655"/>
      <c r="D57" s="1585">
        <v>0</v>
      </c>
      <c r="E57" s="324" t="s">
        <v>1343</v>
      </c>
      <c r="F57" s="302"/>
      <c r="G57" s="2549"/>
      <c r="H57" s="2553"/>
      <c r="I57" s="1803"/>
      <c r="J57" s="3630">
        <f>IF(AND(J55="",J56=""),4,IF(项目基本情况!K6="上海银行",结果表!J56+1,结果表!J55+1))</f>
        <v>4</v>
      </c>
      <c r="K57" s="3630" t="s">
        <v>1367</v>
      </c>
      <c r="L57" s="2524" t="s">
        <v>1368</v>
      </c>
      <c r="M57" s="2525"/>
      <c r="N57" s="2526">
        <f ca="1">SUMIF(M52:M56,"&lt;9e307")</f>
        <v>18873</v>
      </c>
      <c r="O57" s="2527"/>
      <c r="P57" s="2683">
        <f ca="1">N57/M49</f>
        <v>0.13043117687305197</v>
      </c>
    </row>
    <row r="58" spans="1:35" ht="24.75">
      <c r="A58" s="2329" t="s">
        <v>1352</v>
      </c>
      <c r="B58" s="3654" t="s">
        <v>1369</v>
      </c>
      <c r="C58" s="3653"/>
      <c r="D58" s="2318">
        <f ca="1">IF(H58="转让取得",C81,C97)</f>
        <v>11222</v>
      </c>
      <c r="E58" s="2328" t="s">
        <v>1364</v>
      </c>
      <c r="F58" s="302" t="s">
        <v>28</v>
      </c>
      <c r="G58" s="2549"/>
      <c r="H58" s="2552" t="s">
        <v>3410</v>
      </c>
      <c r="I58" s="1803"/>
      <c r="J58" s="3630"/>
      <c r="K58" s="3630"/>
      <c r="L58" s="2524" t="s">
        <v>1370</v>
      </c>
      <c r="M58" s="2528"/>
      <c r="N58" s="2529" t="str">
        <f ca="1">NUMBERSTRING(INT(N57*10000),2)&amp;"元整"</f>
        <v>壹亿捌仟捌佰柒拾叁万元整</v>
      </c>
      <c r="O58" s="2530"/>
    </row>
    <row r="59" spans="1:35" ht="24.75" thickBot="1">
      <c r="A59" s="3634" t="s">
        <v>1371</v>
      </c>
      <c r="B59" s="3635"/>
      <c r="C59" s="3635"/>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3411</v>
      </c>
      <c r="I59" s="2307" t="s">
        <v>2135</v>
      </c>
      <c r="J59" s="3632">
        <f>J57+1</f>
        <v>5</v>
      </c>
      <c r="K59" s="3630" t="s">
        <v>1372</v>
      </c>
      <c r="L59" s="2517" t="s">
        <v>1368</v>
      </c>
      <c r="M59" s="2531"/>
      <c r="N59" s="2532">
        <f ca="1">M49-N57</f>
        <v>125824</v>
      </c>
      <c r="O59" s="2533"/>
    </row>
    <row r="60" spans="1:35" ht="12" customHeight="1">
      <c r="A60" s="1804"/>
      <c r="B60" s="1742"/>
      <c r="C60" s="1742"/>
      <c r="D60" s="1742"/>
      <c r="E60" s="1573"/>
      <c r="F60" s="1803"/>
      <c r="G60" s="1803"/>
      <c r="H60" s="1805"/>
      <c r="I60" s="129"/>
      <c r="J60" s="3633"/>
      <c r="K60" s="3630"/>
      <c r="L60" s="2524" t="s">
        <v>1370</v>
      </c>
      <c r="M60" s="2528"/>
      <c r="N60" s="2529" t="str">
        <f ca="1">NUMBERSTRING(INT(N59*10000),2)&amp;"元整"</f>
        <v>壹拾贰亿伍仟捌佰贰拾肆万元整</v>
      </c>
      <c r="O60" s="2530"/>
    </row>
    <row r="61" spans="1:35" ht="13.5" thickBot="1">
      <c r="A61" s="3689" t="s">
        <v>1373</v>
      </c>
      <c r="B61" s="3689"/>
      <c r="C61" s="3689"/>
      <c r="D61" s="3689"/>
      <c r="E61" s="3689"/>
      <c r="F61" s="1803"/>
      <c r="G61" s="1803"/>
      <c r="H61" s="1805"/>
      <c r="I61" s="129"/>
      <c r="J61" s="2517">
        <f>J59+1</f>
        <v>6</v>
      </c>
      <c r="K61" s="3630" t="s">
        <v>1374</v>
      </c>
      <c r="L61" s="3630"/>
      <c r="M61" s="2534"/>
      <c r="N61" s="2535">
        <f ca="1">ROUND(N59*10000/'数据-汇总表'!E3,0)</f>
        <v>9312</v>
      </c>
      <c r="O61" s="2536"/>
    </row>
    <row r="62" spans="1:35" ht="12.75">
      <c r="A62" s="3649" t="s">
        <v>1375</v>
      </c>
      <c r="B62" s="3650"/>
      <c r="C62" s="2015"/>
      <c r="D62" s="2015" t="s">
        <v>1376</v>
      </c>
      <c r="E62" s="166" t="s">
        <v>1377</v>
      </c>
      <c r="F62" s="1803"/>
      <c r="G62" s="1803"/>
      <c r="H62" s="1805"/>
      <c r="I62" s="129"/>
    </row>
    <row r="63" spans="1:35" ht="12.75">
      <c r="A63" s="173" t="s">
        <v>330</v>
      </c>
      <c r="B63" s="167" t="s">
        <v>1378</v>
      </c>
      <c r="C63" s="2558">
        <f ca="1">ROUND((C64+C65)/(1+'数据-取费表'!C42),0)</f>
        <v>137807</v>
      </c>
      <c r="D63" s="167"/>
      <c r="E63" s="168"/>
      <c r="F63" s="1803"/>
      <c r="G63" s="1803"/>
      <c r="H63" s="1805"/>
      <c r="I63" s="129"/>
      <c r="J63" s="3613" t="s">
        <v>1379</v>
      </c>
      <c r="K63" s="1327" t="s">
        <v>1380</v>
      </c>
      <c r="L63" s="1327">
        <f ca="1">IF(M49&gt;10000,M49*0.5%,IF(AND(M49&gt;1000,M49&lt;=10000),M49*1%,IF(AND(M49&gt;100,M49&lt;=1000),M49*3%,IF(AND(M49&gt;10,M49&lt;=100),M49*5%,M49*8%))))</f>
        <v>723.48500000000001</v>
      </c>
      <c r="M63" s="302">
        <f ca="1">ROUND(L63,1)</f>
        <v>723.5</v>
      </c>
      <c r="N63" s="2537"/>
      <c r="Z63" s="1747"/>
      <c r="AI63" s="1748"/>
    </row>
    <row r="64" spans="1:35" ht="14.25" customHeight="1">
      <c r="A64" s="169" t="s">
        <v>325</v>
      </c>
      <c r="B64" s="170" t="s">
        <v>1381</v>
      </c>
      <c r="C64" s="2559">
        <f ca="1">D45</f>
        <v>144697</v>
      </c>
      <c r="D64" s="170" t="s">
        <v>26</v>
      </c>
      <c r="E64" s="172"/>
      <c r="F64" s="1803"/>
      <c r="G64" s="1803"/>
      <c r="H64" s="1805"/>
      <c r="I64" s="129"/>
      <c r="J64" s="3613"/>
      <c r="K64" s="1327" t="s">
        <v>1382</v>
      </c>
      <c r="L64" s="1327">
        <f ca="1">IF(M49&gt;2000,M49*0.5%,IF(AND(M49&gt;1000,M49&lt;=2000),M49*0.6%,IF(AND(M49&gt;500,M49&lt;=1000),M49*0.7%,IF(AND(M49&gt;200,M49&lt;=500),M49*0.8%,IF(AND(M49&gt;100,M49&lt;=200),M49*0.9%,IF(AND(M49&gt;50,M49&lt;=100),M49*1%,IF(AND(M49&gt;20,M49&lt;=50),M49*1.5%,IF(AND(M49&gt;10,M49&lt;=20),M49*2%,IF(AND(M49&gt;1,M49&lt;=10),M49*2.5%)))))))))</f>
        <v>723.48500000000001</v>
      </c>
      <c r="M64" s="302">
        <f t="shared" ref="M64:M65" ca="1" si="1">ROUND(L64,1)</f>
        <v>723.5</v>
      </c>
      <c r="N64" s="2538" t="s">
        <v>1383</v>
      </c>
      <c r="Z64" s="1747"/>
      <c r="AI64" s="1748"/>
    </row>
    <row r="65" spans="1:35" ht="14.25" customHeight="1">
      <c r="A65" s="169" t="s">
        <v>326</v>
      </c>
      <c r="B65" s="170" t="s">
        <v>1384</v>
      </c>
      <c r="C65" s="2560"/>
      <c r="D65" s="170"/>
      <c r="E65" s="172"/>
      <c r="F65" s="1803"/>
      <c r="G65" s="1803"/>
      <c r="H65" s="1805"/>
      <c r="I65" s="129"/>
      <c r="J65" s="3613"/>
      <c r="K65" s="1327" t="s">
        <v>1385</v>
      </c>
      <c r="L65" s="1327">
        <f ca="1">IF(M49&gt;1000,M49*0.1%,IF(AND(M49&gt;500,M49&lt;=1000),M49*0.5%,IF(AND(M49&gt;50,M49&lt;=500),M49*1%,IF(AND(M49&gt;1,M49&lt;=50),M49*1.5%))))</f>
        <v>144.697</v>
      </c>
      <c r="M65" s="302">
        <f t="shared" ca="1" si="1"/>
        <v>144.69999999999999</v>
      </c>
      <c r="N65" s="2538" t="s">
        <v>1383</v>
      </c>
      <c r="Z65" s="1747"/>
      <c r="AI65" s="1748"/>
    </row>
    <row r="66" spans="1:35" ht="14.25" customHeight="1">
      <c r="A66" s="173" t="s">
        <v>327</v>
      </c>
      <c r="B66" s="174" t="s">
        <v>1386</v>
      </c>
      <c r="C66" s="2561"/>
      <c r="D66" s="174" t="s">
        <v>26</v>
      </c>
      <c r="E66" s="1333" t="s">
        <v>671</v>
      </c>
      <c r="F66" s="1803"/>
      <c r="G66" s="1803"/>
      <c r="H66" s="1805"/>
      <c r="I66" s="129"/>
      <c r="J66" s="3613"/>
      <c r="K66" s="1327" t="s">
        <v>1387</v>
      </c>
      <c r="L66" s="1327">
        <f ca="1">M49*0.5%</f>
        <v>723.48500000000001</v>
      </c>
      <c r="M66" s="302">
        <f ca="1">IF(L66&gt;0.5,0.5,ROUND(L66,0))</f>
        <v>0.5</v>
      </c>
      <c r="N66" s="2538" t="s">
        <v>1388</v>
      </c>
      <c r="Z66" s="1747"/>
      <c r="AI66" s="1748"/>
    </row>
    <row r="67" spans="1:35" ht="14.25" customHeight="1">
      <c r="A67" s="173" t="s">
        <v>328</v>
      </c>
      <c r="B67" s="174" t="s">
        <v>1389</v>
      </c>
      <c r="C67" s="2562">
        <f ca="1">C63-C66</f>
        <v>137807</v>
      </c>
      <c r="D67" s="170" t="s">
        <v>26</v>
      </c>
      <c r="E67" s="172"/>
      <c r="F67" s="1803"/>
      <c r="G67" s="1803"/>
      <c r="H67" s="1805"/>
      <c r="I67" s="129"/>
      <c r="J67" s="3613"/>
      <c r="K67" s="1327" t="s">
        <v>1390</v>
      </c>
      <c r="L67" s="1327">
        <f ca="1">IF(M49&gt;=10000,(8.25+(M49-10000)*0.01%),IF(AND(M49&gt;=8000,M49&lt;10000),(7.85+(M49-8000)*0.02%),IF(AND(M49&gt;=5000,M49&lt;8000),(6.65+(M49-5000)*0.04%),IF(AND(M49&gt;=2000,M49&lt;5000),(4.25+(PM49-2000)*0.08%),IF(AND(M49&gt;=1000,M49&lt;2000),(2.75+(M49-1000)*0.15%),IF(AND(M49&gt;=100,M49&lt;1000),(0.5+(M49-100)*0.25%),IF(AND(M49&gt;0,M49&lt;100),M49*0.5%)))))))</f>
        <v>21.719700000000003</v>
      </c>
      <c r="M67" s="302">
        <f ca="1">ROUND(L67*0.9,1)</f>
        <v>19.5</v>
      </c>
      <c r="N67" s="2537"/>
      <c r="Z67" s="1747"/>
      <c r="AI67" s="1748"/>
    </row>
    <row r="68" spans="1:35" ht="14.25" customHeight="1" thickBot="1">
      <c r="A68" s="176" t="s">
        <v>329</v>
      </c>
      <c r="B68" s="177" t="s">
        <v>1391</v>
      </c>
      <c r="C68" s="2563">
        <f ca="1">IF(C67&lt;=0,0,ROUND(C67*D68,0))</f>
        <v>7579</v>
      </c>
      <c r="D68" s="2564">
        <f>'数据-取费表'!B41</f>
        <v>5.5000000000000007E-2</v>
      </c>
      <c r="E68" s="178"/>
      <c r="F68" s="1803"/>
      <c r="G68" s="1803"/>
      <c r="H68" s="1805"/>
      <c r="I68" s="129"/>
      <c r="J68" s="3613"/>
      <c r="K68" s="1327" t="s">
        <v>1392</v>
      </c>
      <c r="L68" s="1327">
        <f ca="1">IF(M49&gt;10000,M49*0.5%,IF(AND(M49&gt;5000,M49&lt;=10000),M49*1%,IF(AND(M49&gt;1000,M49&lt;=5000),M49*2%,IF(AND(M49&gt;200,M49&lt;=1000),M49*3%,M49*5%))))</f>
        <v>723.48500000000001</v>
      </c>
      <c r="M68" s="302">
        <f ca="1">ROUND(L68,1)</f>
        <v>723.5</v>
      </c>
      <c r="N68" s="2537"/>
      <c r="Z68" s="1747"/>
      <c r="AI68" s="1748"/>
    </row>
    <row r="69" spans="1:35" s="1767" customFormat="1" ht="16.5" customHeight="1">
      <c r="A69" s="1806"/>
      <c r="B69" s="1807"/>
      <c r="C69" s="1808"/>
      <c r="D69" s="1809"/>
      <c r="E69" s="1810"/>
      <c r="F69" s="1573"/>
      <c r="G69" s="1573"/>
      <c r="H69" s="1572"/>
      <c r="I69" s="1742"/>
      <c r="J69" s="3613"/>
      <c r="K69" s="1327" t="s">
        <v>1393</v>
      </c>
      <c r="L69" s="1327"/>
      <c r="M69" s="302">
        <f ca="1">ROUND(SUM(M63:M68),0)</f>
        <v>2335</v>
      </c>
      <c r="N69" s="2539">
        <f ca="1">M69/M49</f>
        <v>1.6137169395357195E-2</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657" t="s">
        <v>1394</v>
      </c>
      <c r="B70" s="3658"/>
      <c r="C70" s="3658"/>
      <c r="D70" s="3658"/>
      <c r="E70" s="3658"/>
      <c r="F70" s="3658"/>
      <c r="G70" s="3658"/>
      <c r="H70" s="3658"/>
      <c r="I70" s="1811"/>
      <c r="J70" s="2684"/>
      <c r="K70" s="2684"/>
      <c r="L70" s="2684"/>
      <c r="M70" s="2684"/>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49" t="s">
        <v>1375</v>
      </c>
      <c r="B71" s="3650"/>
      <c r="C71" s="2015"/>
      <c r="D71" s="2015" t="s">
        <v>1376</v>
      </c>
      <c r="E71" s="179" t="s">
        <v>1377</v>
      </c>
      <c r="F71" s="180"/>
      <c r="G71" s="180"/>
      <c r="H71" s="181"/>
      <c r="I71" s="1815"/>
      <c r="J71" s="2684"/>
      <c r="K71" s="2684"/>
      <c r="L71" s="2684"/>
      <c r="M71" s="2684"/>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2">
        <f ca="1">ROUND(D45/(1+'数据-取费表'!C42),0)</f>
        <v>137807</v>
      </c>
      <c r="D72" s="170" t="s">
        <v>26</v>
      </c>
      <c r="E72" s="2325"/>
      <c r="F72" s="2324"/>
      <c r="G72" s="2324"/>
      <c r="H72" s="182"/>
      <c r="I72" s="1815"/>
      <c r="J72" s="2684"/>
      <c r="K72" s="2684"/>
      <c r="L72" s="2684"/>
      <c r="M72" s="2684"/>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2">
        <f ca="1">C74+C78</f>
        <v>689</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5"/>
      <c r="D75" s="170" t="s">
        <v>26</v>
      </c>
      <c r="E75" s="184" t="s">
        <v>1399</v>
      </c>
      <c r="F75" s="2566"/>
      <c r="G75" s="184" t="s">
        <v>1400</v>
      </c>
      <c r="H75" s="2567"/>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8">
        <v>0.05</v>
      </c>
      <c r="E76" s="3654" t="s">
        <v>1402</v>
      </c>
      <c r="F76" s="3653"/>
      <c r="G76" s="3653"/>
      <c r="H76" s="365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69">
        <f>'数据-取费表'!B48+'数据-取费表'!B49</f>
        <v>3.0499999999999999E-2</v>
      </c>
      <c r="E77" s="2318" t="s">
        <v>1404</v>
      </c>
      <c r="F77" s="186"/>
      <c r="G77" s="1817"/>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0">
        <f ca="1">ROUND(D45*D78/(1+'数据-取费表'!C42),0)</f>
        <v>689</v>
      </c>
      <c r="D78" s="2571">
        <f>'数据-取费表'!B43</f>
        <v>5.000000000000001E-3</v>
      </c>
      <c r="E78" s="3646" t="s">
        <v>1406</v>
      </c>
      <c r="F78" s="3647"/>
      <c r="G78" s="3647"/>
      <c r="H78" s="364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2">
        <f ca="1">C72-C73</f>
        <v>137118</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2">
        <f ca="1">IF(C79&lt;=0,0,C79/C73)</f>
        <v>199.01015965166908</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3">
        <f ca="1">ROUND(IF(C79&lt;=0,0,IF(C80&gt;=200%,C79*60%-C73*35%,IF(C80&gt;=100%,C79*50%-C73*15%,IF(C80&gt;=50%,C79*40%-C73*5%,IF(C80&lt;50%,C79*30%,0))))),0)</f>
        <v>82030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57" t="s">
        <v>1410</v>
      </c>
      <c r="B83" s="3658"/>
      <c r="C83" s="3658"/>
      <c r="D83" s="3658"/>
      <c r="E83" s="3658"/>
      <c r="F83" s="3658"/>
      <c r="G83" s="3658"/>
      <c r="H83" s="365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49" t="s">
        <v>1375</v>
      </c>
      <c r="B84" s="3650"/>
      <c r="C84" s="2015"/>
      <c r="D84" s="2015"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2">
        <f ca="1">ROUND(D45/(1+'数据-取费表'!C42),0)</f>
        <v>137807</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2">
        <f ca="1">IF(H88="仅含出让金",C87+C90+C91+C92+C93+C94,C87+C91+C92+C93+C94)</f>
        <v>100400.3224</v>
      </c>
      <c r="D86" s="2575"/>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0">
        <f>C88+C89</f>
        <v>6975.3224</v>
      </c>
      <c r="D87" s="2571"/>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6">
        <f>67693224/10000</f>
        <v>6769.3224</v>
      </c>
      <c r="D88" s="2571"/>
      <c r="E88" s="193" t="s">
        <v>1413</v>
      </c>
      <c r="F88" s="2321"/>
      <c r="G88" s="194" t="s">
        <v>1414</v>
      </c>
      <c r="H88" s="1819" t="s">
        <v>3437</v>
      </c>
      <c r="I88" s="1816"/>
      <c r="J88" s="2515" t="s">
        <v>2286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0">
        <f>ROUND(C88*D89,0)</f>
        <v>206</v>
      </c>
      <c r="D89" s="2571">
        <f>'数据-取费表'!B48+'数据-取费表'!B49</f>
        <v>3.0499999999999999E-2</v>
      </c>
      <c r="E89" s="193" t="s">
        <v>1415</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6"/>
      <c r="D90" s="2571"/>
      <c r="E90" s="193" t="str">
        <f>IF(H88="-","土地取得成本中已包含该笔费用"," ")</f>
        <v xml:space="preserve"> </v>
      </c>
      <c r="F90" s="2321"/>
      <c r="G90" s="3615" t="s">
        <v>2127</v>
      </c>
      <c r="H90" s="3616"/>
      <c r="I90" s="1816"/>
      <c r="J90" s="2515" t="s">
        <v>2287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0">
        <f ca="1">IF(H91="——",成本法!C33,I91)</f>
        <v>83671</v>
      </c>
      <c r="D91" s="2571"/>
      <c r="E91" s="3646" t="s">
        <v>1419</v>
      </c>
      <c r="F91" s="3647"/>
      <c r="G91" s="3647"/>
      <c r="H91" s="1820" t="s">
        <v>43</v>
      </c>
      <c r="I91" s="3467">
        <v>87000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0">
        <f ca="1">ROUND((C87+C90+C91)*D92,0)</f>
        <v>9065</v>
      </c>
      <c r="D92" s="2577">
        <v>0.1</v>
      </c>
      <c r="E92" s="3646" t="s">
        <v>1422</v>
      </c>
      <c r="F92" s="3647"/>
      <c r="G92" s="3647"/>
      <c r="H92" s="3648"/>
      <c r="I92" s="1816"/>
      <c r="J92" s="2516" t="s">
        <v>2288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0">
        <f ca="1">ROUND(D45*D93/(1+'数据-取费表'!C42),0)</f>
        <v>689</v>
      </c>
      <c r="D93" s="2571">
        <f>'数据-取费表'!B43</f>
        <v>5.000000000000001E-3</v>
      </c>
      <c r="E93" s="3646" t="s">
        <v>1406</v>
      </c>
      <c r="F93" s="3647"/>
      <c r="G93" s="3647"/>
      <c r="H93" s="364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6"/>
      <c r="D94" s="2571">
        <v>0.2</v>
      </c>
      <c r="E94" s="3691" t="s">
        <v>1426</v>
      </c>
      <c r="F94" s="3692"/>
      <c r="G94" s="3692"/>
      <c r="H94" s="3693"/>
      <c r="I94" s="1816"/>
      <c r="J94" s="1813">
        <f ca="1">ROUND((C87+C90+C91)*D94,0)</f>
        <v>18129</v>
      </c>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2">
        <f ca="1">ROUND(C85-C86,0)</f>
        <v>37407</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2">
        <f ca="1">IF(C95&lt;=0,0,C95/C86)</f>
        <v>0.37257848486749479</v>
      </c>
      <c r="D96" s="170" t="s">
        <v>26</v>
      </c>
      <c r="E96" s="2318" t="str">
        <f ca="1">IF(C96&gt;=200%,"增值额超过扣除项目金额200%",IF(C96&gt;=100%,"增值额超过扣除项目金额100%，未超过200%",IF(C96&gt;=50%,"增值额超过扣除项目金额50%，未超过100%",IF(C96&lt;50%,"增值额未超过扣除项目金额50%"))))</f>
        <v>增值额未超过扣除项目金额50%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3">
        <f ca="1">ROUND(IF(C95&lt;=0,0,IF(C96&gt;=200%,C95*60%-C86*35%,IF(C96&gt;=100%,C95*50%-C86*15%,IF(C96&gt;=50%,C95*40%-C86*5%,IF(C96&lt;50%,C95*30%,0))))),0)</f>
        <v>11222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596" t="s">
        <v>1428</v>
      </c>
      <c r="B100" s="3597"/>
      <c r="C100" s="3597"/>
      <c r="D100" s="3631"/>
      <c r="E100" s="3597" t="s">
        <v>1429</v>
      </c>
      <c r="F100" s="3597"/>
      <c r="G100" s="3597"/>
      <c r="H100" s="3631"/>
      <c r="I100" s="129"/>
    </row>
    <row r="101" spans="1:35" ht="18.75" customHeight="1">
      <c r="A101" s="3639" t="s">
        <v>1430</v>
      </c>
      <c r="B101" s="3640"/>
      <c r="C101" s="2579" t="str">
        <f>C4</f>
        <v>成本法</v>
      </c>
      <c r="D101" s="2580" t="str">
        <f>D4</f>
        <v>收益法-工业</v>
      </c>
      <c r="E101" s="3609" t="s">
        <v>1431</v>
      </c>
      <c r="F101" s="3610"/>
      <c r="G101" s="1821" t="s">
        <v>1432</v>
      </c>
      <c r="H101" s="2589">
        <f ca="1">H118</f>
        <v>144697</v>
      </c>
      <c r="I101" s="129"/>
    </row>
    <row r="102" spans="1:35" ht="18.75" customHeight="1">
      <c r="A102" s="3641" t="s">
        <v>1433</v>
      </c>
      <c r="B102" s="2578" t="s">
        <v>1432</v>
      </c>
      <c r="C102" s="2579">
        <f ca="1">IF(D32="楼面单价",ROUND(C19,0),C19)</f>
        <v>122495</v>
      </c>
      <c r="D102" s="2580">
        <f ca="1">IF(D32="楼面单价",ROUND(D19,0),D19)</f>
        <v>159498</v>
      </c>
      <c r="E102" s="3609"/>
      <c r="F102" s="3610"/>
      <c r="G102" s="1821" t="s">
        <v>1434</v>
      </c>
      <c r="H102" s="2549">
        <f ca="1">I118</f>
        <v>10708</v>
      </c>
      <c r="I102" s="129"/>
    </row>
    <row r="103" spans="1:35" ht="42.75" customHeight="1">
      <c r="A103" s="3641"/>
      <c r="B103" s="2578" t="s">
        <v>1434</v>
      </c>
      <c r="C103" s="2581">
        <f ca="1">C20</f>
        <v>9065</v>
      </c>
      <c r="D103" s="2582">
        <f ca="1">D20</f>
        <v>12112</v>
      </c>
      <c r="E103" s="3602" t="s">
        <v>1435</v>
      </c>
      <c r="F103" s="3603"/>
      <c r="G103" s="1822" t="s">
        <v>1436</v>
      </c>
      <c r="H103" s="2589">
        <f>IF(D36="正常操作",H104+H105+H106,H105+H106)</f>
        <v>0</v>
      </c>
      <c r="I103" s="129"/>
    </row>
    <row r="104" spans="1:35" ht="18.75" customHeight="1">
      <c r="A104" s="3641" t="s">
        <v>1437</v>
      </c>
      <c r="B104" s="2583" t="s">
        <v>1432</v>
      </c>
      <c r="C104" s="2584">
        <f ca="1">H118</f>
        <v>144697</v>
      </c>
      <c r="D104" s="2585"/>
      <c r="E104" s="1669" t="s">
        <v>1438</v>
      </c>
      <c r="F104" s="1661"/>
      <c r="G104" s="1822" t="s">
        <v>1436</v>
      </c>
      <c r="H104" s="2590">
        <f>IF(D36="同一抵押权人同一抵押物续贷",C36&amp;"（续贷，未扣减，详见特别提示）",C36)</f>
        <v>0</v>
      </c>
      <c r="I104" s="129"/>
    </row>
    <row r="105" spans="1:35" ht="18.75" customHeight="1" thickBot="1">
      <c r="A105" s="3651"/>
      <c r="B105" s="2586" t="s">
        <v>1434</v>
      </c>
      <c r="C105" s="2587">
        <f ca="1">I118</f>
        <v>10708</v>
      </c>
      <c r="D105" s="2588"/>
      <c r="E105" s="1669" t="s">
        <v>1439</v>
      </c>
      <c r="F105" s="1661"/>
      <c r="G105" s="1822" t="s">
        <v>1436</v>
      </c>
      <c r="H105" s="2591">
        <f>C37</f>
        <v>0</v>
      </c>
      <c r="I105" s="129"/>
    </row>
    <row r="106" spans="1:35" ht="18.75" customHeight="1">
      <c r="A106" s="1742" t="s">
        <v>1440</v>
      </c>
      <c r="B106" s="1742"/>
      <c r="C106" s="1742"/>
      <c r="D106" s="1742"/>
      <c r="E106" s="1823" t="s">
        <v>1441</v>
      </c>
      <c r="F106" s="1661"/>
      <c r="G106" s="1822" t="s">
        <v>1436</v>
      </c>
      <c r="H106" s="2591">
        <f>C38</f>
        <v>0</v>
      </c>
      <c r="I106" s="129"/>
    </row>
    <row r="107" spans="1:35" ht="18.75" customHeight="1">
      <c r="A107" s="129"/>
      <c r="B107" s="129"/>
      <c r="C107" s="129"/>
      <c r="D107" s="129"/>
      <c r="E107" s="3642" t="str">
        <f>IF(项目基本情况!E8="已注销","——","3.房地产抵押价值")</f>
        <v>3.房地产抵押价值</v>
      </c>
      <c r="F107" s="3610"/>
      <c r="G107" s="1821" t="s">
        <v>1432</v>
      </c>
      <c r="H107" s="2589">
        <f ca="1">IF(E107="——","——",H101-H103)</f>
        <v>144697</v>
      </c>
      <c r="I107" s="129"/>
    </row>
    <row r="108" spans="1:35" ht="18.75" customHeight="1">
      <c r="A108" s="129"/>
      <c r="B108" s="129"/>
      <c r="C108" s="129"/>
      <c r="D108" s="129"/>
      <c r="E108" s="3642"/>
      <c r="F108" s="3610"/>
      <c r="G108" s="1821" t="s">
        <v>1434</v>
      </c>
      <c r="H108" s="2549">
        <f ca="1">IF(H107=H101,H102,ROUND(H107*10000/'数据-汇总表'!E3,0))</f>
        <v>10708</v>
      </c>
      <c r="I108" s="129"/>
    </row>
    <row r="109" spans="1:35" ht="18.75" customHeight="1">
      <c r="A109" s="129"/>
      <c r="B109" s="129"/>
      <c r="C109" s="129"/>
      <c r="D109" s="129"/>
      <c r="E109" s="3642" t="str">
        <f>IF(项目基本情况!E8="已注销及未注销","4.抵押担保权已注销时的房地产抵押价值",IF(项目基本情况!E8="已注销","3.抵押担保权已注销时的房地产抵押价值","——"))</f>
        <v>——</v>
      </c>
      <c r="F109" s="3610"/>
      <c r="G109" s="1821" t="s">
        <v>1432</v>
      </c>
      <c r="H109" s="2592" t="str">
        <f>IF(E109="——","——",H101-H105-H106)</f>
        <v>——</v>
      </c>
      <c r="I109" s="129"/>
    </row>
    <row r="110" spans="1:35" ht="18.75" customHeight="1">
      <c r="A110" s="129"/>
      <c r="B110" s="129"/>
      <c r="C110" s="129"/>
      <c r="D110" s="129"/>
      <c r="E110" s="3642"/>
      <c r="F110" s="3610"/>
      <c r="G110" s="1821" t="s">
        <v>1434</v>
      </c>
      <c r="H110" s="2549"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4.抵押净值</v>
      </c>
      <c r="F111" s="3629"/>
      <c r="G111" s="1821" t="s">
        <v>1432</v>
      </c>
      <c r="H111" s="2589">
        <f ca="1">IF(E111="——","——",N59)</f>
        <v>125824</v>
      </c>
      <c r="I111" s="129"/>
    </row>
    <row r="112" spans="1:35" ht="18.75" customHeight="1" thickBot="1">
      <c r="A112" s="129"/>
      <c r="B112" s="129"/>
      <c r="C112" s="129"/>
      <c r="D112" s="129"/>
      <c r="E112" s="3644"/>
      <c r="F112" s="3645"/>
      <c r="G112" s="1824" t="s">
        <v>1434</v>
      </c>
      <c r="H112" s="2593">
        <f ca="1">IF(E111="——","——",N61)</f>
        <v>9312</v>
      </c>
      <c r="I112" s="129"/>
    </row>
    <row r="113" spans="1:27" ht="18.75" customHeight="1">
      <c r="A113" s="129"/>
      <c r="B113" s="129"/>
      <c r="C113" s="129"/>
      <c r="D113" s="129"/>
      <c r="E113" s="3652" t="s">
        <v>1440</v>
      </c>
      <c r="F113" s="3652"/>
      <c r="G113" s="3652"/>
      <c r="H113" s="3652"/>
      <c r="I113" s="129"/>
    </row>
    <row r="114" spans="1:27" ht="3.75" customHeight="1">
      <c r="A114" s="1742"/>
      <c r="B114" s="1742"/>
      <c r="C114" s="1742"/>
      <c r="D114" s="1742"/>
      <c r="E114" s="1804"/>
      <c r="F114" s="1804"/>
      <c r="G114" s="1804"/>
      <c r="H114" s="1804"/>
      <c r="I114" s="1742"/>
    </row>
    <row r="115" spans="1:27" ht="18.75" customHeight="1">
      <c r="A115" s="3660" t="s">
        <v>1442</v>
      </c>
      <c r="B115" s="3661"/>
      <c r="C115" s="3661"/>
      <c r="D115" s="3661"/>
      <c r="E115" s="3661"/>
      <c r="F115" s="3661"/>
      <c r="G115" s="3661"/>
      <c r="H115" s="3661"/>
      <c r="I115" s="3662"/>
    </row>
    <row r="116" spans="1:27" ht="27" customHeight="1">
      <c r="A116" s="3617" t="s">
        <v>1443</v>
      </c>
      <c r="B116" s="3621" t="s">
        <v>1444</v>
      </c>
      <c r="C116" s="3621" t="s">
        <v>1445</v>
      </c>
      <c r="D116" s="3627" t="s">
        <v>1446</v>
      </c>
      <c r="E116" s="3628"/>
      <c r="F116" s="3659" t="s">
        <v>3405</v>
      </c>
      <c r="G116" s="3659"/>
      <c r="H116" s="3617" t="s">
        <v>1447</v>
      </c>
      <c r="I116" s="3617"/>
    </row>
    <row r="117" spans="1:27" ht="18.75" customHeight="1">
      <c r="A117" s="3617"/>
      <c r="B117" s="3622"/>
      <c r="C117" s="3622"/>
      <c r="D117" s="2323" t="s">
        <v>1448</v>
      </c>
      <c r="E117" s="2323" t="s">
        <v>1449</v>
      </c>
      <c r="F117" s="2323" t="s">
        <v>1448</v>
      </c>
      <c r="G117" s="2323" t="s">
        <v>1450</v>
      </c>
      <c r="H117" s="2323" t="s">
        <v>1448</v>
      </c>
      <c r="I117" s="2323" t="s">
        <v>1450</v>
      </c>
    </row>
    <row r="118" spans="1:27" ht="24.75" customHeight="1">
      <c r="A118" s="2594" t="str">
        <f>项目基本情况!S2</f>
        <v>北京市朝阳区朝外大街乙12号房地产</v>
      </c>
      <c r="B118" s="2323">
        <f>M18</f>
        <v>135125.56999999998</v>
      </c>
      <c r="C118" s="2323">
        <f>M19</f>
        <v>58598.03</v>
      </c>
      <c r="D118" s="2323">
        <f ca="1">ROUND(IF(D32="总价",C34,E118*B118/10000),0)</f>
        <v>25756</v>
      </c>
      <c r="E118" s="2323">
        <f ca="1">ROUND(IF(C33="自定义",IF(D32="楼面单价",C34,D118*10000/B118),I118-G118),0)</f>
        <v>1906</v>
      </c>
      <c r="F118" s="2323">
        <f ca="1">ROUND(IF(D32="总价",C35,G118*B118/10000),0)</f>
        <v>118941</v>
      </c>
      <c r="G118" s="2323">
        <f ca="1">ROUND(IF(D32="楼面单价",C35,F118*10000/B118),0)</f>
        <v>8802</v>
      </c>
      <c r="H118" s="2323">
        <f ca="1">ROUND(IF(D32="总价",C32,I118*B118/10000),0)</f>
        <v>144697</v>
      </c>
      <c r="I118" s="2323">
        <f ca="1">ROUND(IF(D32="楼面单价",C32,H118*10000/B118),0)</f>
        <v>10708</v>
      </c>
      <c r="J118" s="723">
        <f ca="1">D118/C118*666.67</f>
        <v>293.02610548511615</v>
      </c>
      <c r="K118" s="723">
        <f ca="1">D118/C118*10000</f>
        <v>4395.3696054287147</v>
      </c>
    </row>
    <row r="119" spans="1:27" ht="18.75" customHeight="1">
      <c r="A119" s="3617" t="s">
        <v>1451</v>
      </c>
      <c r="B119" s="3617"/>
      <c r="C119" s="3617"/>
      <c r="D119" s="3623" t="str">
        <f ca="1">NUMBERSTRING(INT(D118*10000),2)&amp;"元整"</f>
        <v>贰亿伍仟柒佰伍拾陆万元整</v>
      </c>
      <c r="E119" s="3624"/>
      <c r="F119" s="3623" t="str">
        <f ca="1">NUMBERSTRING(INT(F118*10000),2)&amp;"元整"</f>
        <v>壹拾壹亿捌仟玖佰肆拾壹万元整</v>
      </c>
      <c r="G119" s="3624"/>
      <c r="H119" s="3623" t="str">
        <f ca="1">NUMBERSTRING(INT(H118*10000),2)&amp;"元整"</f>
        <v>壹拾肆亿肆仟陆佰玖拾柒万元整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23" t="s">
        <v>1451</v>
      </c>
      <c r="B121" s="3625"/>
      <c r="C121" s="3624"/>
      <c r="D121" s="3623" t="str">
        <f>IF(D120=0,"零元整",NUMBERSTRING(INT(D120*10000),2)&amp;"元整")</f>
        <v>零元整</v>
      </c>
      <c r="E121" s="3625"/>
      <c r="F121" s="3625"/>
      <c r="G121" s="3625"/>
      <c r="H121" s="3625"/>
      <c r="I121" s="3624"/>
      <c r="AA121" s="723"/>
    </row>
    <row r="122" spans="1:27" ht="18.75" customHeight="1">
      <c r="A122" s="3629" t="str">
        <f>IF(项目基本情况!B9="房地产市场价值","",MID(E107,3,LEN(E107)-2))</f>
        <v>房地产抵押价值</v>
      </c>
      <c r="B122" s="3629"/>
      <c r="C122" s="3629"/>
      <c r="D122" s="3618">
        <f ca="1">H107</f>
        <v>144697</v>
      </c>
      <c r="E122" s="3619"/>
      <c r="F122" s="3619"/>
      <c r="G122" s="3619"/>
      <c r="H122" s="3619"/>
      <c r="I122" s="3620"/>
      <c r="AA122" s="723"/>
    </row>
    <row r="123" spans="1:27" ht="18.75" customHeight="1">
      <c r="A123" s="3617" t="s">
        <v>1451</v>
      </c>
      <c r="B123" s="3617"/>
      <c r="C123" s="3617"/>
      <c r="D123" s="3623" t="str">
        <f ca="1">NUMBERSTRING(INT(D122*10000),2)&amp;"元整"</f>
        <v>壹拾肆亿肆仟陆佰玖拾柒万元整</v>
      </c>
      <c r="E123" s="3625"/>
      <c r="F123" s="3625"/>
      <c r="G123" s="3625"/>
      <c r="H123" s="3625"/>
      <c r="I123" s="3624"/>
      <c r="AA123" s="723"/>
    </row>
    <row r="124" spans="1:27" ht="18.75" customHeight="1">
      <c r="A124" s="3629" t="str">
        <f>IF(项目基本情况!B9="房地产市场价值","",MID(E109,3,LEN(E109)-2))</f>
        <v/>
      </c>
      <c r="B124" s="3629"/>
      <c r="C124" s="3629"/>
      <c r="D124" s="3618" t="str">
        <f>H109</f>
        <v>——</v>
      </c>
      <c r="E124" s="3619"/>
      <c r="F124" s="3619"/>
      <c r="G124" s="3619"/>
      <c r="H124" s="3619"/>
      <c r="I124" s="3620"/>
      <c r="AA124" s="723"/>
    </row>
    <row r="125" spans="1:27" ht="18.75" customHeight="1">
      <c r="A125" s="3617" t="s">
        <v>1451</v>
      </c>
      <c r="B125" s="3617"/>
      <c r="C125" s="3617"/>
      <c r="D125" s="3623" t="e">
        <f>NUMBERSTRING(INT(D124*10000),2)&amp;"元整"</f>
        <v>#VALUE!</v>
      </c>
      <c r="E125" s="3625"/>
      <c r="F125" s="3625"/>
      <c r="G125" s="3625"/>
      <c r="H125" s="3625"/>
      <c r="I125" s="3624"/>
      <c r="AA125" s="723"/>
    </row>
    <row r="126" spans="1:27" ht="18.75" customHeight="1">
      <c r="A126" s="3629" t="str">
        <f>IF(项目基本情况!B9="房地产市场价值","",MID(E111,3,LEN(E111)-2))</f>
        <v>抵押净值</v>
      </c>
      <c r="B126" s="3629"/>
      <c r="C126" s="3629"/>
      <c r="D126" s="3618">
        <f ca="1">H111</f>
        <v>125824</v>
      </c>
      <c r="E126" s="3619"/>
      <c r="F126" s="3619"/>
      <c r="G126" s="3619"/>
      <c r="H126" s="3619"/>
      <c r="I126" s="3620"/>
      <c r="AA126" s="723"/>
    </row>
    <row r="127" spans="1:27" ht="18.75" customHeight="1">
      <c r="A127" s="3617" t="s">
        <v>1451</v>
      </c>
      <c r="B127" s="3617"/>
      <c r="C127" s="3617"/>
      <c r="D127" s="3623" t="str">
        <f ca="1">NUMBERSTRING(INT(D126*10000),2)&amp;"元整"</f>
        <v>壹拾贰亿伍仟捌佰贰拾肆万元整</v>
      </c>
      <c r="E127" s="3625"/>
      <c r="F127" s="3625"/>
      <c r="G127" s="3625"/>
      <c r="H127" s="3625"/>
      <c r="I127" s="3624"/>
      <c r="AA127" s="723"/>
    </row>
    <row r="128" spans="1:27" ht="21.75" customHeight="1">
      <c r="A128" s="3626" t="s">
        <v>1452</v>
      </c>
      <c r="B128" s="3626"/>
      <c r="C128" s="3626"/>
      <c r="D128" s="3626"/>
      <c r="E128" s="3626"/>
      <c r="F128" s="3626"/>
      <c r="G128" s="3626"/>
      <c r="H128" s="3626"/>
      <c r="I128" s="3626"/>
      <c r="AA128" s="723"/>
    </row>
    <row r="129" spans="1:35" ht="21.75" customHeight="1">
      <c r="A129" s="1825" t="s">
        <v>1453</v>
      </c>
      <c r="B129" s="1826"/>
      <c r="C129" s="1827" t="s">
        <v>1454</v>
      </c>
      <c r="D129" s="1828"/>
      <c r="E129" s="1828"/>
      <c r="F129" s="1828"/>
      <c r="G129" s="1828"/>
      <c r="H129" s="1829"/>
      <c r="I129" s="1830"/>
      <c r="AA129" s="723"/>
    </row>
    <row r="130" spans="1:35" ht="21.75" customHeight="1">
      <c r="A130" s="1831">
        <v>1</v>
      </c>
      <c r="B130" s="1832"/>
      <c r="C130" s="1832"/>
      <c r="D130" s="1833"/>
      <c r="E130" s="1833"/>
      <c r="F130" s="1833"/>
      <c r="G130" s="1833"/>
      <c r="H130" s="1834"/>
      <c r="I130" s="1835"/>
      <c r="AA130" s="723"/>
    </row>
    <row r="131" spans="1:35" ht="21.75" customHeight="1">
      <c r="A131" s="1831">
        <v>2</v>
      </c>
      <c r="B131" s="1832"/>
      <c r="C131" s="1832"/>
      <c r="D131" s="1833"/>
      <c r="E131" s="1833"/>
      <c r="F131" s="1833"/>
      <c r="G131" s="1833"/>
      <c r="H131" s="1834"/>
      <c r="I131" s="1835"/>
      <c r="AA131" s="723"/>
    </row>
    <row r="132" spans="1:35" ht="21.75" customHeight="1">
      <c r="A132" s="1831">
        <v>3</v>
      </c>
      <c r="B132" s="1832"/>
      <c r="C132" s="1832"/>
      <c r="D132" s="1833"/>
      <c r="E132" s="1833"/>
      <c r="F132" s="1833"/>
      <c r="G132" s="1833"/>
      <c r="H132" s="1834"/>
      <c r="I132" s="1835"/>
      <c r="AA132" s="723"/>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3"/>
    </row>
    <row r="135" spans="1:35" ht="21.75" customHeight="1">
      <c r="A135" s="723"/>
      <c r="B135" s="723"/>
      <c r="C135" s="723"/>
      <c r="D135" s="723"/>
      <c r="E135" s="723"/>
      <c r="F135" s="1841" t="s">
        <v>1455</v>
      </c>
      <c r="G135" s="1842"/>
      <c r="H135" s="1842"/>
      <c r="I135" s="1843" t="s">
        <v>1456</v>
      </c>
    </row>
    <row r="136" spans="1:35" ht="21.75" customHeight="1">
      <c r="A136" s="723"/>
      <c r="B136" s="1844"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2"/>
      <c r="C138" s="1842"/>
      <c r="D138" s="1842"/>
      <c r="E138" s="1842"/>
      <c r="F138" s="1842"/>
      <c r="G138" s="1842"/>
      <c r="H138" s="1842"/>
      <c r="I138" s="1843" t="s">
        <v>1458</v>
      </c>
    </row>
    <row r="139" spans="1:35" ht="21.75" customHeight="1">
      <c r="A139" s="723"/>
      <c r="B139" s="1844" t="s">
        <v>1459</v>
      </c>
      <c r="C139" s="723"/>
      <c r="D139" s="723"/>
      <c r="E139" s="723"/>
      <c r="F139" s="723"/>
      <c r="G139" s="723"/>
      <c r="H139" s="723"/>
      <c r="I139" s="723"/>
    </row>
    <row r="140" spans="1:35" ht="21.75" customHeight="1">
      <c r="A140" s="723"/>
      <c r="B140" s="1844"/>
      <c r="C140" s="723"/>
      <c r="D140" s="723"/>
      <c r="E140" s="723"/>
      <c r="F140" s="723"/>
      <c r="G140" s="723"/>
      <c r="H140" s="723"/>
      <c r="I140" s="723"/>
    </row>
    <row r="141" spans="1:35" ht="21.75" customHeight="1">
      <c r="A141" s="723"/>
      <c r="B141" s="1842"/>
      <c r="C141" s="1842"/>
      <c r="D141" s="1842"/>
      <c r="E141" s="1842"/>
      <c r="F141" s="1842"/>
      <c r="G141" s="1842"/>
      <c r="H141" s="1842"/>
      <c r="I141" s="1843" t="s">
        <v>1458</v>
      </c>
    </row>
    <row r="142" spans="1:35" ht="21.75" customHeight="1">
      <c r="A142" s="723"/>
      <c r="B142" s="1844"/>
      <c r="C142" s="1845"/>
      <c r="D142" s="1846"/>
      <c r="E142" s="1846"/>
      <c r="F142" s="1736"/>
      <c r="G142" s="723"/>
      <c r="H142" s="723"/>
      <c r="I142" s="723"/>
    </row>
    <row r="143" spans="1:35" s="130" customFormat="1" ht="21.75" customHeight="1">
      <c r="A143" s="723"/>
      <c r="B143" s="1844"/>
      <c r="C143" s="1845"/>
      <c r="D143" s="1846"/>
      <c r="E143" s="1846"/>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13" t="str">
        <f>项目基本情况!B1</f>
        <v>北京市朝阳区朝外大街乙12号预评估</v>
      </c>
      <c r="C37" s="3513"/>
      <c r="D37" s="3513"/>
      <c r="E37" s="3513"/>
      <c r="F37" s="3513"/>
      <c r="G37" s="3513"/>
      <c r="H37" s="3513"/>
      <c r="I37" s="3513"/>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项目基本情况!K4</f>
        <v>（注册号：0)、（注册号：0)</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1460</v>
      </c>
      <c r="B1" s="1465"/>
      <c r="C1" s="198"/>
      <c r="D1" s="198"/>
      <c r="E1" s="198"/>
      <c r="F1" s="198"/>
      <c r="G1" s="1121">
        <f>MATCH(B1,'数据-取费表'!A6:A16,0)+5</f>
        <v>7</v>
      </c>
    </row>
    <row r="2" spans="1:16" s="200" customFormat="1" ht="18" customHeight="1">
      <c r="A2" s="201" t="s">
        <v>1461</v>
      </c>
      <c r="B2" s="202">
        <f ca="1">IF(D2="——",C52,C52-E2)</f>
        <v>122495</v>
      </c>
      <c r="C2" s="199" t="s">
        <v>1462</v>
      </c>
      <c r="D2" s="1847" t="s">
        <v>43</v>
      </c>
      <c r="E2" s="1164" t="e">
        <f ca="1">SUMIF(INDIRECT("'"&amp;G2&amp;"'"&amp;"!A:A"),"承租人权益价值",INDIRECT("'"&amp;G2&amp;"'"&amp;"!c:c"))</f>
        <v>#REF!</v>
      </c>
      <c r="F2" s="1848" t="s">
        <v>1462</v>
      </c>
      <c r="G2" s="1849" t="s">
        <v>3420</v>
      </c>
    </row>
    <row r="3" spans="1:16" s="200" customFormat="1" ht="18" customHeight="1" thickBot="1">
      <c r="A3" s="203" t="s">
        <v>1463</v>
      </c>
      <c r="B3" s="204">
        <f ca="1">ROUND(B2*10000/(IF(B1="",'数据-汇总表'!E3,INDIRECT("'数据-取费表'!k"&amp;$G$1))),0)</f>
        <v>9065</v>
      </c>
      <c r="C3" s="199" t="s">
        <v>1464</v>
      </c>
      <c r="D3" s="199"/>
      <c r="E3" s="199"/>
      <c r="F3" s="199"/>
      <c r="G3" s="199"/>
    </row>
    <row r="4" spans="1:16" s="208" customFormat="1" ht="15.75">
      <c r="A4" s="205" t="s">
        <v>1465</v>
      </c>
      <c r="B4" s="206"/>
      <c r="C4" s="206"/>
      <c r="D4" s="206"/>
      <c r="E4" s="206"/>
      <c r="F4" s="206"/>
      <c r="G4" s="207"/>
    </row>
    <row r="5" spans="1:16" s="214" customFormat="1" ht="13.5" customHeight="1">
      <c r="A5" s="255" t="s">
        <v>1466</v>
      </c>
      <c r="B5" s="210" t="s">
        <v>1467</v>
      </c>
      <c r="C5" s="211">
        <f ca="1">C6+C7+C8</f>
        <v>17169</v>
      </c>
      <c r="D5" s="211" t="s">
        <v>1468</v>
      </c>
      <c r="E5" s="212" t="s">
        <v>1469</v>
      </c>
      <c r="F5" s="212" t="s">
        <v>1470</v>
      </c>
      <c r="G5" s="213"/>
      <c r="L5" s="214">
        <v>7000</v>
      </c>
      <c r="M5" s="214">
        <f ca="1">ROUND(L5*D10/10000,0)</f>
        <v>94588</v>
      </c>
    </row>
    <row r="6" spans="1:16" s="214" customFormat="1" ht="13.5" customHeight="1">
      <c r="A6" s="773" t="s">
        <v>1471</v>
      </c>
      <c r="B6" s="215" t="s">
        <v>1472</v>
      </c>
      <c r="C6" s="216">
        <f>ROUND('土地比较法-工业'!C43*'数据-汇总表'!F19/10000,0)</f>
        <v>14038</v>
      </c>
      <c r="D6" s="217"/>
      <c r="E6" s="218"/>
      <c r="F6" s="218"/>
      <c r="G6" s="219"/>
    </row>
    <row r="7" spans="1:16" s="214" customFormat="1" ht="13.5" customHeight="1">
      <c r="A7" s="773" t="s">
        <v>1473</v>
      </c>
      <c r="B7" s="215" t="s">
        <v>1474</v>
      </c>
      <c r="C7" s="220">
        <f>ROUND(C6*F7,0)</f>
        <v>428</v>
      </c>
      <c r="D7" s="220"/>
      <c r="E7" s="218"/>
      <c r="F7" s="221">
        <f>IF(项目基本情况!B8="出让",0,'数据-取费表'!B48+'数据-取费表'!B49)</f>
        <v>3.0499999999999999E-2</v>
      </c>
      <c r="G7" s="219"/>
    </row>
    <row r="8" spans="1:16" s="223" customFormat="1">
      <c r="A8" s="773" t="s">
        <v>1475</v>
      </c>
      <c r="B8" s="215" t="s">
        <v>1476</v>
      </c>
      <c r="C8" s="220">
        <f ca="1">IF(G8="已包含在土地购买价格中","0",IF(B1="",'数据-取费表'!B29,IF(G9="全部缴纳",C9+C10,H9)))</f>
        <v>2703</v>
      </c>
      <c r="D8" s="222"/>
      <c r="E8" s="220"/>
      <c r="F8" s="221"/>
      <c r="G8" s="1850" t="s">
        <v>3395</v>
      </c>
      <c r="L8" s="223">
        <v>15000</v>
      </c>
      <c r="M8" s="223">
        <v>11000</v>
      </c>
      <c r="N8" s="223">
        <v>13000</v>
      </c>
      <c r="O8" s="223">
        <f>ROUND((L8+M8+N8)/3,0)</f>
        <v>13000</v>
      </c>
      <c r="P8" s="223">
        <f ca="1">ROUND(O8*D10/10000,0)</f>
        <v>175663</v>
      </c>
    </row>
    <row r="9" spans="1:16" s="214" customFormat="1" ht="13.5" customHeight="1">
      <c r="A9" s="774" t="s">
        <v>355</v>
      </c>
      <c r="B9" s="224" t="s">
        <v>1477</v>
      </c>
      <c r="C9" s="225">
        <f ca="1">ROUND(D9*E9/10000,0)</f>
        <v>0</v>
      </c>
      <c r="D9" s="840">
        <f ca="1">IF(B1="",'数据-汇总表'!E5,IF(INDIRECT("'数据-取费表'!c"&amp;$G$1)="住宅",INDIRECT("'数据-取费表'!k"&amp;$G$1),0))</f>
        <v>0</v>
      </c>
      <c r="E9" s="225">
        <f>'数据-取费表'!B27</f>
        <v>0</v>
      </c>
      <c r="F9" s="221"/>
      <c r="G9" s="1851" t="s">
        <v>3402</v>
      </c>
      <c r="H9" s="1132"/>
      <c r="I9" s="1852" t="s">
        <v>1478</v>
      </c>
    </row>
    <row r="10" spans="1:16" s="214" customFormat="1" ht="13.5" customHeight="1">
      <c r="A10" s="774" t="s">
        <v>356</v>
      </c>
      <c r="B10" s="224" t="s">
        <v>1479</v>
      </c>
      <c r="C10" s="225">
        <f ca="1">ROUND(D10*E10/10000,0)</f>
        <v>2703</v>
      </c>
      <c r="D10" s="840">
        <f ca="1">IF(B1="",'数据-汇总表'!E6,IF(INDIRECT("'数据-取费表'!c"&amp;$G$1)="住宅",INDIRECT("'数据-取费表'!s"&amp;$G$1),INDIRECT("'数据-取费表'!k"&amp;$G$1)+INDIRECT("'数据-取费表'!s"&amp;$G$1)))</f>
        <v>135125.56999999998</v>
      </c>
      <c r="E10" s="225">
        <f>'数据-取费表'!B28</f>
        <v>200</v>
      </c>
      <c r="F10" s="221"/>
      <c r="G10" s="226"/>
    </row>
    <row r="11" spans="1:16" s="214" customFormat="1" ht="13.5" hidden="1" customHeight="1">
      <c r="A11" s="227" t="s">
        <v>4</v>
      </c>
      <c r="B11" s="215" t="s">
        <v>1480</v>
      </c>
      <c r="C11" s="211"/>
      <c r="D11" s="842"/>
      <c r="E11" s="218"/>
      <c r="F11" s="218"/>
      <c r="G11" s="219"/>
    </row>
    <row r="12" spans="1:16" s="214" customFormat="1" ht="13.5" hidden="1" customHeight="1">
      <c r="A12" s="227" t="s">
        <v>5</v>
      </c>
      <c r="B12" s="215" t="s">
        <v>1481</v>
      </c>
      <c r="C12" s="211">
        <v>0</v>
      </c>
      <c r="D12" s="842"/>
      <c r="E12" s="228"/>
      <c r="F12" s="221">
        <v>3.0499999999999999E-2</v>
      </c>
      <c r="G12" s="219"/>
    </row>
    <row r="13" spans="1:16" s="214" customFormat="1" ht="13.5" hidden="1" customHeight="1">
      <c r="A13" s="227" t="s">
        <v>6</v>
      </c>
      <c r="B13" s="215" t="s">
        <v>1482</v>
      </c>
      <c r="C13" s="211"/>
      <c r="D13" s="842"/>
      <c r="E13" s="218"/>
      <c r="F13" s="218"/>
      <c r="G13" s="219"/>
    </row>
    <row r="14" spans="1:16" s="214" customFormat="1" ht="13.5" hidden="1" customHeight="1">
      <c r="A14" s="227" t="s">
        <v>7</v>
      </c>
      <c r="B14" s="215" t="s">
        <v>1483</v>
      </c>
      <c r="C14" s="211"/>
      <c r="D14" s="842"/>
      <c r="E14" s="218"/>
      <c r="F14" s="218"/>
      <c r="G14" s="219" t="s">
        <v>1484</v>
      </c>
    </row>
    <row r="15" spans="1:16" s="214" customFormat="1" ht="13.5" hidden="1" customHeight="1">
      <c r="A15" s="227" t="s">
        <v>8</v>
      </c>
      <c r="B15" s="215" t="s">
        <v>1485</v>
      </c>
      <c r="C15" s="220"/>
      <c r="D15" s="842"/>
      <c r="E15" s="218"/>
      <c r="F15" s="218"/>
      <c r="G15" s="219" t="s">
        <v>1486</v>
      </c>
    </row>
    <row r="16" spans="1:16" s="214" customFormat="1" ht="13.5" hidden="1" customHeight="1">
      <c r="A16" s="227" t="s">
        <v>9</v>
      </c>
      <c r="B16" s="215" t="s">
        <v>1483</v>
      </c>
      <c r="C16" s="220"/>
      <c r="D16" s="842"/>
      <c r="E16" s="218"/>
      <c r="F16" s="218"/>
      <c r="G16" s="219"/>
    </row>
    <row r="17" spans="1:7" s="214" customFormat="1" ht="13.5" hidden="1" customHeight="1">
      <c r="A17" s="227" t="s">
        <v>10</v>
      </c>
      <c r="B17" s="215" t="s">
        <v>1487</v>
      </c>
      <c r="C17" s="229"/>
      <c r="D17" s="843"/>
      <c r="E17" s="229"/>
      <c r="F17" s="229"/>
      <c r="G17" s="219" t="s">
        <v>1486</v>
      </c>
    </row>
    <row r="18" spans="1:7" s="214" customFormat="1" ht="13.5" hidden="1" customHeight="1">
      <c r="A18" s="227" t="s">
        <v>11</v>
      </c>
      <c r="B18" s="215" t="s">
        <v>1488</v>
      </c>
      <c r="C18" s="220">
        <v>0</v>
      </c>
      <c r="D18" s="842"/>
      <c r="E18" s="218"/>
      <c r="F18" s="221">
        <v>3.0499999999999999E-2</v>
      </c>
      <c r="G18" s="219" t="s">
        <v>1489</v>
      </c>
    </row>
    <row r="19" spans="1:7" s="223" customFormat="1" ht="13.5" customHeight="1">
      <c r="A19" s="255" t="s">
        <v>1490</v>
      </c>
      <c r="B19" s="210" t="s">
        <v>1491</v>
      </c>
      <c r="C19" s="211" t="str">
        <f>IF(G19="已包含在土地取得成本中","0",ROUND(D19*E19/10000,0))</f>
        <v>0</v>
      </c>
      <c r="D19" s="844">
        <f ca="1">D9+D10</f>
        <v>135125.56999999998</v>
      </c>
      <c r="E19" s="211">
        <f>'数据-取费表'!B31</f>
        <v>200</v>
      </c>
      <c r="F19" s="231"/>
      <c r="G19" s="1850" t="s">
        <v>3396</v>
      </c>
    </row>
    <row r="20" spans="1:7" s="214" customFormat="1" ht="13.5" customHeight="1">
      <c r="A20" s="255" t="s">
        <v>1492</v>
      </c>
      <c r="B20" s="210" t="s">
        <v>1493</v>
      </c>
      <c r="C20" s="232">
        <f ca="1">ROUND((C5+C19)*F20,0)</f>
        <v>343</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9">
        <f ca="1">ROUND(SUM(C23:C25),0)</f>
        <v>1217</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5" t="s">
        <v>1501</v>
      </c>
      <c r="B23" s="215" t="s">
        <v>1502</v>
      </c>
      <c r="C23" s="1100">
        <f ca="1">ROUND(IF('数据-取费表'!B22&lt;=1,C5*F22*'数据-取费表'!B23,C5*(POWER((1+F22),'数据-取费表'!B23)-1)),0)</f>
        <v>1205</v>
      </c>
      <c r="D23" s="238"/>
      <c r="E23" s="238"/>
      <c r="F23" s="239"/>
      <c r="G23" s="240" t="s">
        <v>1503</v>
      </c>
    </row>
    <row r="24" spans="1:7" s="214" customFormat="1" ht="13.5" customHeight="1">
      <c r="A24" s="775" t="s">
        <v>1504</v>
      </c>
      <c r="B24" s="215" t="s">
        <v>1505</v>
      </c>
      <c r="C24" s="1100">
        <f ca="1">ROUND(IF('数据-取费表'!B22&lt;=1,C19*F22*('数据-取费表'!B19/2+'数据-取费表'!B21),C19*(POWER((1+F22),('数据-取费表'!B19/2+'数据-取费表'!B21))-1)),0)</f>
        <v>0</v>
      </c>
      <c r="D24" s="238"/>
      <c r="E24" s="238"/>
      <c r="F24" s="239"/>
      <c r="G24" s="240" t="s">
        <v>1506</v>
      </c>
    </row>
    <row r="25" spans="1:7" s="214" customFormat="1" ht="24">
      <c r="A25" s="775" t="s">
        <v>1507</v>
      </c>
      <c r="B25" s="215" t="s">
        <v>1508</v>
      </c>
      <c r="C25" s="1100">
        <f ca="1">ROUND(IF('数据-取费表'!B22&lt;=1,C20*F22*'数据-取费表'!B23/2,C20*(POWER((1+F22),'数据-取费表'!B23/2)-1)),0)</f>
        <v>12</v>
      </c>
      <c r="D25" s="238"/>
      <c r="E25" s="241"/>
      <c r="F25" s="239"/>
      <c r="G25" s="242" t="s">
        <v>1509</v>
      </c>
    </row>
    <row r="26" spans="1:7" s="214" customFormat="1">
      <c r="A26" s="775"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1401</v>
      </c>
      <c r="D27" s="235">
        <f ca="1">C29</f>
        <v>1.6000000000000001E-3</v>
      </c>
      <c r="E27" s="236" t="s">
        <v>1513</v>
      </c>
      <c r="F27" s="246">
        <f ca="1">IF(B1="",'数据-取费表'!Q16,INDIRECT("'数据-取费表'!q"&amp;$G$1))</f>
        <v>0.08</v>
      </c>
      <c r="G27" s="247" t="s">
        <v>1514</v>
      </c>
    </row>
    <row r="28" spans="1:7" s="214" customFormat="1" ht="13.5" customHeight="1">
      <c r="A28" s="775" t="s">
        <v>346</v>
      </c>
      <c r="B28" s="248" t="s">
        <v>1515</v>
      </c>
      <c r="C28" s="249">
        <f ca="1">ROUND((C5+C19+C20)*F27*'数据-取费表'!B21/'数据-取费表'!B20,0)</f>
        <v>1401</v>
      </c>
      <c r="D28" s="235"/>
      <c r="E28" s="236"/>
      <c r="F28" s="246"/>
      <c r="G28" s="247"/>
    </row>
    <row r="29" spans="1:7" s="214" customFormat="1" ht="13.5" customHeight="1">
      <c r="A29" s="775"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21755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83671</v>
      </c>
      <c r="D33" s="232"/>
      <c r="E33" s="212"/>
      <c r="F33" s="241"/>
      <c r="G33" s="234"/>
    </row>
    <row r="34" spans="1:7" s="258" customFormat="1" ht="13.5" customHeight="1">
      <c r="A34" s="775" t="s">
        <v>346</v>
      </c>
      <c r="B34" s="215" t="s">
        <v>1524</v>
      </c>
      <c r="C34" s="220">
        <f ca="1">IF(B1="",IF(F34=100%,'数据-取费表'!M16,'数据-取费表'!O16),IF(F34=100%,INDIRECT("'数据-取费表'!m"&amp;$G$1)+INDIRECT("'数据-取费表'!t"&amp;$G$1),INDIRECT("'数据-取费表'!o"&amp;$G$1)+INDIRECT("'数据-取费表'!aq"&amp;$G$1)))</f>
        <v>75671</v>
      </c>
      <c r="D34" s="217"/>
      <c r="E34" s="220"/>
      <c r="F34" s="257">
        <f ca="1">IF('数据-取费表'!B24=0,1,IF(B1="",'数据-取费表'!N16,INDIRECT("'数据-取费表'!n"&amp;$G$1)))</f>
        <v>1</v>
      </c>
      <c r="G34" s="219" t="s">
        <v>1525</v>
      </c>
    </row>
    <row r="35" spans="1:7" ht="13.5" customHeight="1">
      <c r="A35" s="775" t="s">
        <v>351</v>
      </c>
      <c r="B35" s="215" t="s">
        <v>1526</v>
      </c>
      <c r="C35" s="220">
        <f ca="1">ROUND(C34*F35,0)</f>
        <v>3784</v>
      </c>
      <c r="D35" s="220"/>
      <c r="E35" s="220"/>
      <c r="F35" s="259">
        <f>'数据-取费表'!B33</f>
        <v>0.05</v>
      </c>
      <c r="G35" s="219" t="s">
        <v>1527</v>
      </c>
    </row>
    <row r="36" spans="1:7" ht="24">
      <c r="A36" s="775"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5" t="s">
        <v>353</v>
      </c>
      <c r="B37" s="215" t="s">
        <v>1530</v>
      </c>
      <c r="C37" s="249">
        <f ca="1">ROUND(E37*D37*F34/10000,0)</f>
        <v>2703</v>
      </c>
      <c r="D37" s="217">
        <f ca="1">D19</f>
        <v>135125.56999999998</v>
      </c>
      <c r="E37" s="249">
        <f>'数据-取费表'!B35</f>
        <v>200</v>
      </c>
      <c r="F37" s="259"/>
      <c r="G37" s="261" t="s">
        <v>1531</v>
      </c>
    </row>
    <row r="38" spans="1:7" ht="13.5" customHeight="1">
      <c r="A38" s="775" t="s">
        <v>354</v>
      </c>
      <c r="B38" s="215" t="s">
        <v>1532</v>
      </c>
      <c r="C38" s="220">
        <f ca="1">ROUND(C34*F38,0)</f>
        <v>1513</v>
      </c>
      <c r="D38" s="220"/>
      <c r="E38" s="220"/>
      <c r="F38" s="259">
        <f>'数据-取费表'!B36</f>
        <v>0.02</v>
      </c>
      <c r="G38" s="219" t="s">
        <v>1527</v>
      </c>
    </row>
    <row r="39" spans="1:7" s="214" customFormat="1" ht="13.5" customHeight="1">
      <c r="A39" s="255" t="s">
        <v>1533</v>
      </c>
      <c r="B39" s="210" t="s">
        <v>1534</v>
      </c>
      <c r="C39" s="232">
        <f ca="1">ROUND(C33*F20,0)</f>
        <v>1673</v>
      </c>
      <c r="D39" s="232"/>
      <c r="E39" s="232"/>
      <c r="F39" s="233">
        <f>F20</f>
        <v>0.02</v>
      </c>
      <c r="G39" s="234" t="s">
        <v>1535</v>
      </c>
    </row>
    <row r="40" spans="1:7" s="214" customFormat="1" ht="13.5" customHeight="1">
      <c r="A40" s="255" t="s">
        <v>1536</v>
      </c>
      <c r="B40" s="210" t="s">
        <v>1537</v>
      </c>
      <c r="C40" s="1322">
        <f>F21</f>
        <v>0.02</v>
      </c>
      <c r="D40" s="236" t="s">
        <v>1538</v>
      </c>
      <c r="E40" s="232"/>
      <c r="F40" s="233">
        <f>F21</f>
        <v>0.02</v>
      </c>
      <c r="G40" s="234" t="s">
        <v>1539</v>
      </c>
    </row>
    <row r="41" spans="1:7" s="214" customFormat="1" ht="13.5" customHeight="1">
      <c r="A41" s="255" t="s">
        <v>1540</v>
      </c>
      <c r="B41" s="210" t="s">
        <v>1541</v>
      </c>
      <c r="C41" s="232">
        <f ca="1">ROUND(SUM(C42:C43),0)</f>
        <v>2945</v>
      </c>
      <c r="D41" s="235">
        <f ca="1">C44</f>
        <v>6.9999999999999999E-4</v>
      </c>
      <c r="E41" s="236" t="s">
        <v>1538</v>
      </c>
      <c r="F41" s="237">
        <f ca="1">F22</f>
        <v>3.4500000000000003E-2</v>
      </c>
      <c r="G41" s="234" t="str">
        <f>IF('数据-取费表'!B22&lt;=1,"单利计息","复利计息")</f>
        <v>复利计息</v>
      </c>
    </row>
    <row r="42" spans="1:7" ht="13.5" customHeight="1">
      <c r="A42" s="775" t="s">
        <v>346</v>
      </c>
      <c r="B42" s="215" t="s">
        <v>1542</v>
      </c>
      <c r="C42" s="238">
        <f ca="1">ROUND(IF('数据-取费表'!B22&lt;=1,C33*F22*'数据-取费表'!B21/2,C33*(POWER((1+F22),'数据-取费表'!B21/2)-1)),0)</f>
        <v>2887</v>
      </c>
      <c r="D42" s="238"/>
      <c r="E42" s="238"/>
      <c r="F42" s="239"/>
      <c r="G42" s="3696" t="s">
        <v>1543</v>
      </c>
    </row>
    <row r="43" spans="1:7" ht="13.5" customHeight="1">
      <c r="A43" s="775" t="s">
        <v>347</v>
      </c>
      <c r="B43" s="215" t="s">
        <v>1544</v>
      </c>
      <c r="C43" s="238">
        <f ca="1">ROUND(IF('数据-取费表'!B22&lt;=1,C39*F22*'数据-取费表'!B21/2,C39*(POWER((1+F22),'数据-取费表'!B21/2)-1)),0)</f>
        <v>58</v>
      </c>
      <c r="D43" s="238"/>
      <c r="E43" s="238"/>
      <c r="F43" s="239"/>
      <c r="G43" s="3697"/>
    </row>
    <row r="44" spans="1:7" ht="13.5" customHeight="1">
      <c r="A44" s="775" t="s">
        <v>348</v>
      </c>
      <c r="B44" s="215" t="s">
        <v>1545</v>
      </c>
      <c r="C44" s="238">
        <f ca="1">ROUND(IF('数据-取费表'!B22&lt;=1,C40*F22*'数据-取费表'!B21/2,C40*(POWER((1+F22),'数据-取费表'!B21/2)-1)),4)</f>
        <v>6.9999999999999999E-4</v>
      </c>
      <c r="D44" s="238"/>
      <c r="E44" s="238"/>
      <c r="F44" s="239"/>
      <c r="G44" s="3698"/>
    </row>
    <row r="45" spans="1:7" s="214" customFormat="1" ht="13.5" customHeight="1">
      <c r="A45" s="255" t="s">
        <v>1546</v>
      </c>
      <c r="B45" s="244" t="s">
        <v>1512</v>
      </c>
      <c r="C45" s="245">
        <f ca="1">C46</f>
        <v>6828</v>
      </c>
      <c r="D45" s="235">
        <f ca="1">C47</f>
        <v>1.6000000000000001E-3</v>
      </c>
      <c r="E45" s="236" t="s">
        <v>1538</v>
      </c>
      <c r="F45" s="246">
        <f ca="1">F27</f>
        <v>0.08</v>
      </c>
      <c r="G45" s="247" t="s">
        <v>1547</v>
      </c>
    </row>
    <row r="46" spans="1:7" s="214" customFormat="1" ht="13.5" customHeight="1">
      <c r="A46" s="775" t="s">
        <v>346</v>
      </c>
      <c r="B46" s="248" t="s">
        <v>1548</v>
      </c>
      <c r="C46" s="249">
        <f ca="1">ROUND((C33+C39)*F27,0)</f>
        <v>6828</v>
      </c>
      <c r="D46" s="263"/>
      <c r="E46" s="236"/>
      <c r="F46" s="246"/>
      <c r="G46" s="247"/>
    </row>
    <row r="47" spans="1:7" s="214" customFormat="1" ht="13.5" customHeight="1">
      <c r="A47" s="775" t="s">
        <v>347</v>
      </c>
      <c r="B47" s="248" t="s">
        <v>1549</v>
      </c>
      <c r="C47" s="238">
        <f ca="1">ROUND(C40*F27,4)</f>
        <v>1.6000000000000001E-3</v>
      </c>
      <c r="D47" s="263"/>
      <c r="E47" s="236"/>
      <c r="F47" s="246"/>
      <c r="G47" s="247"/>
    </row>
    <row r="48" spans="1:7" s="214" customFormat="1" ht="13.5" customHeight="1">
      <c r="A48" s="255" t="s">
        <v>1511</v>
      </c>
      <c r="B48" s="210" t="s">
        <v>1550</v>
      </c>
      <c r="C48" s="1322">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102796</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100740</v>
      </c>
      <c r="D51" s="232"/>
      <c r="E51" s="232"/>
      <c r="F51" s="264"/>
      <c r="G51" s="234" t="s">
        <v>1559</v>
      </c>
    </row>
    <row r="52" spans="1:7" s="208" customFormat="1" ht="16.5" thickBot="1">
      <c r="A52" s="265" t="s">
        <v>1560</v>
      </c>
      <c r="B52" s="266"/>
      <c r="C52" s="267">
        <f ca="1">C31+C51</f>
        <v>122495</v>
      </c>
      <c r="D52" s="266"/>
      <c r="E52" s="266"/>
      <c r="F52" s="266"/>
      <c r="G52" s="268"/>
    </row>
    <row r="55" spans="1:7" ht="15">
      <c r="B55" s="270" t="s">
        <v>1561</v>
      </c>
      <c r="C55" s="271"/>
    </row>
    <row r="56" spans="1:7">
      <c r="B56" s="273" t="s">
        <v>802</v>
      </c>
      <c r="C56" s="275">
        <f ca="1">1-C57</f>
        <v>0.17800000000000005</v>
      </c>
    </row>
    <row r="57" spans="1:7">
      <c r="B57" s="273" t="s">
        <v>803</v>
      </c>
      <c r="C57" s="274">
        <f ca="1">ROUND(C51/C52,3)</f>
        <v>0.82199999999999995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62" sqref="P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c r="C1" s="1853" t="s">
        <v>1562</v>
      </c>
      <c r="D1" s="198"/>
      <c r="E1" s="198"/>
      <c r="F1" s="198"/>
      <c r="G1" s="1121">
        <f>MATCH(B1,'数据-取费表'!A6:A16,0)+5</f>
        <v>7</v>
      </c>
      <c r="H1" s="1056" t="str">
        <f>IF(ISERROR(FIND("住宅",B1)),"非住宅","住宅")</f>
        <v>非住宅</v>
      </c>
    </row>
    <row r="2" spans="1:8" s="200" customFormat="1" ht="18" customHeight="1">
      <c r="A2" s="201" t="s">
        <v>1461</v>
      </c>
      <c r="B2" s="3417" t="e">
        <f ca="1">ROUND(IF(D2="——",C52/10000,C52/10000-E2),4)</f>
        <v>#DIV/0!</v>
      </c>
      <c r="C2" s="199" t="s">
        <v>1462</v>
      </c>
      <c r="D2" s="1847" t="s">
        <v>43</v>
      </c>
      <c r="E2" s="1164" t="e">
        <f ca="1">SUMIF(INDIRECT("'"&amp;G2&amp;"'"&amp;"!A:A"),"承租人权益价值",INDIRECT("'"&amp;G2&amp;"'"&amp;"!c:c"))</f>
        <v>#REF!</v>
      </c>
      <c r="F2" s="1848" t="s">
        <v>1462</v>
      </c>
      <c r="G2" s="1849"/>
    </row>
    <row r="3" spans="1:8" s="200" customFormat="1" ht="18" customHeight="1" thickBot="1">
      <c r="A3" s="203" t="s">
        <v>1463</v>
      </c>
      <c r="B3" s="204" t="e">
        <f ca="1">ROUND(B2*10000/(IF(B1="",'数据-汇总表'!E3,INDIRECT("'数据-取费表'!k"&amp;$G$1))),0)</f>
        <v>#DIV/0!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t="e">
        <f ca="1">C6+C7+C8</f>
        <v>#DIV/0!</v>
      </c>
      <c r="D5" s="211" t="s">
        <v>1468</v>
      </c>
      <c r="E5" s="212" t="s">
        <v>1469</v>
      </c>
      <c r="F5" s="212" t="s">
        <v>1470</v>
      </c>
      <c r="G5" s="213"/>
    </row>
    <row r="6" spans="1:8" s="214" customFormat="1" ht="13.5" customHeight="1">
      <c r="A6" s="773" t="s">
        <v>1471</v>
      </c>
      <c r="B6" s="215" t="s">
        <v>1472</v>
      </c>
      <c r="C6" s="216" t="e">
        <f>'基准地价修正 (2)'!C33*'基准地价修正 (2)'!D33</f>
        <v>#DIV/0!</v>
      </c>
      <c r="D6" s="217"/>
      <c r="E6" s="218"/>
      <c r="F6" s="218"/>
      <c r="G6" s="219"/>
    </row>
    <row r="7" spans="1:8" s="214" customFormat="1" ht="13.5" customHeight="1">
      <c r="A7" s="773" t="s">
        <v>1473</v>
      </c>
      <c r="B7" s="215" t="s">
        <v>1474</v>
      </c>
      <c r="C7" s="220" t="e">
        <f>ROUND(C6*F7,0)</f>
        <v>#DIV/0!</v>
      </c>
      <c r="D7" s="220"/>
      <c r="E7" s="218"/>
      <c r="F7" s="221">
        <f>IF(项目基本情况!B8="出让",0,'数据-取费表'!B48+'数据-取费表'!B49)</f>
        <v>3.0499999999999999E-2</v>
      </c>
      <c r="G7" s="219"/>
    </row>
    <row r="8" spans="1:8" s="223" customFormat="1">
      <c r="A8" s="773" t="s">
        <v>1475</v>
      </c>
      <c r="B8" s="215" t="s">
        <v>1476</v>
      </c>
      <c r="C8" s="220">
        <f ca="1">IF(G8="已包含在土地购买价格中",0,C9+C10)</f>
        <v>27025114</v>
      </c>
      <c r="D8" s="222"/>
      <c r="E8" s="220"/>
      <c r="F8" s="221"/>
      <c r="G8" s="1850" t="s">
        <v>3395</v>
      </c>
    </row>
    <row r="9" spans="1:8" s="214" customFormat="1" ht="13.5" customHeight="1">
      <c r="A9" s="774" t="s">
        <v>355</v>
      </c>
      <c r="B9" s="224" t="s">
        <v>1477</v>
      </c>
      <c r="C9" s="225">
        <f ca="1">ROUND(D9*E9,0)</f>
        <v>0</v>
      </c>
      <c r="D9" s="840">
        <f ca="1">IF(B1="",'数据-汇总表'!E5,IF(INDIRECT("'数据-取费表'!c"&amp;$G$1)="住宅",INDIRECT("'数据-取费表'!k"&amp;$G$1),0))</f>
        <v>0</v>
      </c>
      <c r="E9" s="225">
        <f>'数据-取费表'!B27</f>
        <v>0</v>
      </c>
      <c r="F9" s="221"/>
      <c r="G9" s="226"/>
    </row>
    <row r="10" spans="1:8" s="214" customFormat="1" ht="13.5" customHeight="1">
      <c r="A10" s="774" t="s">
        <v>356</v>
      </c>
      <c r="B10" s="224" t="s">
        <v>1479</v>
      </c>
      <c r="C10" s="225">
        <f ca="1">ROUND(D10*E10,0)</f>
        <v>27025114</v>
      </c>
      <c r="D10" s="840">
        <f ca="1">IF(B1="",'数据-汇总表'!E6,IF(INDIRECT("'数据-取费表'!c"&amp;$G$1)="住宅",INDIRECT("'数据-取费表'!s"&amp;$G$1),INDIRECT("'数据-取费表'!k"&amp;$G$1)+INDIRECT("'数据-取费表'!s"&amp;$G$1)))</f>
        <v>135125.56999999998</v>
      </c>
      <c r="E10" s="225">
        <f>'数据-取费表'!B28</f>
        <v>200</v>
      </c>
      <c r="F10" s="221"/>
      <c r="G10" s="226"/>
    </row>
    <row r="11" spans="1:8" s="214" customFormat="1" ht="13.5" hidden="1" customHeight="1">
      <c r="A11" s="227" t="s">
        <v>4</v>
      </c>
      <c r="B11" s="215" t="s">
        <v>1480</v>
      </c>
      <c r="C11" s="211"/>
      <c r="D11" s="842"/>
      <c r="E11" s="218"/>
      <c r="F11" s="218"/>
      <c r="G11" s="219"/>
    </row>
    <row r="12" spans="1:8" s="214" customFormat="1" ht="13.5" hidden="1" customHeight="1">
      <c r="A12" s="227" t="s">
        <v>5</v>
      </c>
      <c r="B12" s="215" t="s">
        <v>1563</v>
      </c>
      <c r="C12" s="211">
        <v>0</v>
      </c>
      <c r="D12" s="842"/>
      <c r="E12" s="228"/>
      <c r="F12" s="221">
        <v>3.0499999999999999E-2</v>
      </c>
      <c r="G12" s="219"/>
    </row>
    <row r="13" spans="1:8" s="214" customFormat="1" ht="13.5" hidden="1" customHeight="1">
      <c r="A13" s="227" t="s">
        <v>6</v>
      </c>
      <c r="B13" s="215" t="s">
        <v>1564</v>
      </c>
      <c r="C13" s="211"/>
      <c r="D13" s="842"/>
      <c r="E13" s="218"/>
      <c r="F13" s="218"/>
      <c r="G13" s="219"/>
    </row>
    <row r="14" spans="1:8" s="214" customFormat="1" ht="13.5" hidden="1" customHeight="1">
      <c r="A14" s="227" t="s">
        <v>7</v>
      </c>
      <c r="B14" s="215" t="s">
        <v>1476</v>
      </c>
      <c r="C14" s="211"/>
      <c r="D14" s="842"/>
      <c r="E14" s="218"/>
      <c r="F14" s="218"/>
      <c r="G14" s="219" t="s">
        <v>1565</v>
      </c>
    </row>
    <row r="15" spans="1:8" s="214" customFormat="1" ht="13.5" hidden="1" customHeight="1">
      <c r="A15" s="227" t="s">
        <v>8</v>
      </c>
      <c r="B15" s="215" t="s">
        <v>1566</v>
      </c>
      <c r="C15" s="220"/>
      <c r="D15" s="842"/>
      <c r="E15" s="218"/>
      <c r="F15" s="218"/>
      <c r="G15" s="219" t="s">
        <v>1567</v>
      </c>
    </row>
    <row r="16" spans="1:8" s="214" customFormat="1" ht="13.5" hidden="1" customHeight="1">
      <c r="A16" s="227" t="s">
        <v>9</v>
      </c>
      <c r="B16" s="215" t="s">
        <v>1476</v>
      </c>
      <c r="C16" s="220"/>
      <c r="D16" s="842"/>
      <c r="E16" s="218"/>
      <c r="F16" s="218"/>
      <c r="G16" s="219"/>
    </row>
    <row r="17" spans="1:7" s="214" customFormat="1" ht="13.5" hidden="1" customHeight="1">
      <c r="A17" s="227" t="s">
        <v>10</v>
      </c>
      <c r="B17" s="215" t="s">
        <v>1568</v>
      </c>
      <c r="C17" s="229"/>
      <c r="D17" s="843"/>
      <c r="E17" s="229"/>
      <c r="F17" s="229"/>
      <c r="G17" s="219" t="s">
        <v>1567</v>
      </c>
    </row>
    <row r="18" spans="1:7" s="214" customFormat="1" ht="13.5" hidden="1" customHeight="1">
      <c r="A18" s="227" t="s">
        <v>11</v>
      </c>
      <c r="B18" s="215" t="s">
        <v>1569</v>
      </c>
      <c r="C18" s="220">
        <v>0</v>
      </c>
      <c r="D18" s="842"/>
      <c r="E18" s="218"/>
      <c r="F18" s="221">
        <v>3.0499999999999999E-2</v>
      </c>
      <c r="G18" s="219" t="s">
        <v>1570</v>
      </c>
    </row>
    <row r="19" spans="1:7" s="223" customFormat="1" ht="13.5" customHeight="1">
      <c r="A19" s="255" t="s">
        <v>1571</v>
      </c>
      <c r="B19" s="210" t="s">
        <v>1572</v>
      </c>
      <c r="C19" s="211" t="str">
        <f>IF(G19="已包含在土地取得成本中","0",ROUND(D19*E19,0))</f>
        <v>0</v>
      </c>
      <c r="D19" s="844">
        <f ca="1">D9+D10</f>
        <v>135125.56999999998</v>
      </c>
      <c r="E19" s="211">
        <f>'数据-取费表'!B31</f>
        <v>200</v>
      </c>
      <c r="F19" s="231"/>
      <c r="G19" s="1850" t="s">
        <v>3396</v>
      </c>
    </row>
    <row r="20" spans="1:7" s="214" customFormat="1" ht="13.5" customHeight="1">
      <c r="A20" s="255" t="s">
        <v>1573</v>
      </c>
      <c r="B20" s="210" t="s">
        <v>1574</v>
      </c>
      <c r="C20" s="232" t="e">
        <f ca="1">ROUND((C5+C19)*F20,0)</f>
        <v>#DIV/0!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2" t="e">
        <f ca="1">ROUND(SUM(C23:C25),0)</f>
        <v>#DIV/0!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5" t="s">
        <v>1471</v>
      </c>
      <c r="B23" s="215" t="s">
        <v>1582</v>
      </c>
      <c r="C23" s="1123" t="e">
        <f ca="1">ROUND(IF('数据-取费表'!B22&lt;=1,C5*F22*'数据-取费表'!B22,C5*(POWER((1+F22),'数据-取费表'!B22)-1)),0)</f>
        <v>#DIV/0!</v>
      </c>
      <c r="D23" s="238"/>
      <c r="E23" s="238"/>
      <c r="F23" s="239"/>
      <c r="G23" s="240" t="s">
        <v>1583</v>
      </c>
    </row>
    <row r="24" spans="1:7" s="214" customFormat="1" ht="13.5" customHeight="1">
      <c r="A24" s="775" t="s">
        <v>1473</v>
      </c>
      <c r="B24" s="215" t="s">
        <v>1584</v>
      </c>
      <c r="C24" s="1123">
        <f ca="1">ROUND(IF('数据-取费表'!B22&lt;=1,C19*F22*('数据-取费表'!B19/2+'数据-取费表'!B20),C19*(POWER((1+F22),('数据-取费表'!B19/2+'数据-取费表'!B20))-1)),0)</f>
        <v>0</v>
      </c>
      <c r="D24" s="238"/>
      <c r="E24" s="238"/>
      <c r="F24" s="239"/>
      <c r="G24" s="240" t="s">
        <v>1585</v>
      </c>
    </row>
    <row r="25" spans="1:7" s="214" customFormat="1" ht="24">
      <c r="A25" s="775" t="s">
        <v>1475</v>
      </c>
      <c r="B25" s="215" t="s">
        <v>1586</v>
      </c>
      <c r="C25" s="1123" t="e">
        <f ca="1">ROUND(IF('数据-取费表'!B22&lt;=1,C20*F22*'数据-取费表'!B22/2,C20*(POWER((1+F22),'数据-取费表'!B22/2)-1)),0)</f>
        <v>#DIV/0!</v>
      </c>
      <c r="D25" s="238"/>
      <c r="E25" s="241"/>
      <c r="F25" s="239"/>
      <c r="G25" s="242" t="s">
        <v>1587</v>
      </c>
    </row>
    <row r="26" spans="1:7" s="214" customFormat="1">
      <c r="A26" s="775"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t="e">
        <f ca="1">C28</f>
        <v>#DIV/0!</v>
      </c>
      <c r="D27" s="235">
        <f ca="1">C29</f>
        <v>1.6000000000000001E-3</v>
      </c>
      <c r="E27" s="236" t="s">
        <v>1513</v>
      </c>
      <c r="F27" s="246">
        <f ca="1">IF(B1="",'数据-取费表'!Q16,INDIRECT("'数据-取费表'!q"&amp;$G$1))</f>
        <v>0.08</v>
      </c>
      <c r="G27" s="247" t="s">
        <v>1514</v>
      </c>
    </row>
    <row r="28" spans="1:7" s="214" customFormat="1" ht="13.5" customHeight="1">
      <c r="A28" s="775" t="s">
        <v>346</v>
      </c>
      <c r="B28" s="248" t="s">
        <v>1515</v>
      </c>
      <c r="C28" s="249" t="e">
        <f ca="1">ROUND((C5+C19+C20)*F27,0)</f>
        <v>#DIV/0!</v>
      </c>
      <c r="D28" s="235"/>
      <c r="E28" s="236"/>
      <c r="F28" s="246"/>
      <c r="G28" s="247"/>
    </row>
    <row r="29" spans="1:7" s="214" customFormat="1" ht="13.5" customHeight="1">
      <c r="A29" s="775" t="s">
        <v>347</v>
      </c>
      <c r="B29" s="248" t="s">
        <v>1516</v>
      </c>
      <c r="C29" s="238">
        <f ca="1">ROUND(C21*F27,4)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t="e">
        <f ca="1">ROUND((C5+C19+C20+C22+C27)/(1-C21-D22-D27-C30),0)</f>
        <v>#DIV/0!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836697530</v>
      </c>
      <c r="D33" s="232"/>
      <c r="E33" s="212"/>
      <c r="F33" s="241"/>
      <c r="G33" s="234"/>
    </row>
    <row r="34" spans="1:7" s="258" customFormat="1" ht="13.5" customHeight="1">
      <c r="A34" s="775" t="s">
        <v>346</v>
      </c>
      <c r="B34" s="215" t="s">
        <v>1524</v>
      </c>
      <c r="C34" s="220">
        <f ca="1">ROUND(IF(B1="",SUMPRODUCT('数据-取费表'!K6:K14,'数据-取费表'!L6:L14),INDIRECT("'数据-取费表'!l"&amp;$G$1)*INDIRECT("'数据-取费表'!k"&amp;$G$1)+'数据-取费表'!L14*INDIRECT("'数据-取费表'!S"&amp;$G$1)),0)</f>
        <v>756703192</v>
      </c>
      <c r="D34" s="217"/>
      <c r="E34" s="220"/>
      <c r="F34" s="257"/>
      <c r="G34" s="219"/>
    </row>
    <row r="35" spans="1:7" ht="13.5" customHeight="1">
      <c r="A35" s="775" t="s">
        <v>351</v>
      </c>
      <c r="B35" s="215" t="s">
        <v>1526</v>
      </c>
      <c r="C35" s="220">
        <f ca="1">ROUND(C34*F35,0)</f>
        <v>37835160</v>
      </c>
      <c r="D35" s="220"/>
      <c r="E35" s="220"/>
      <c r="F35" s="259">
        <f>'数据-取费表'!B33</f>
        <v>0.05</v>
      </c>
      <c r="G35" s="219" t="s">
        <v>1527</v>
      </c>
    </row>
    <row r="36" spans="1:7" ht="24">
      <c r="A36" s="775"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5" t="s">
        <v>353</v>
      </c>
      <c r="B37" s="215" t="s">
        <v>1530</v>
      </c>
      <c r="C37" s="249">
        <f ca="1">ROUND(E37*D37,0)</f>
        <v>27025114</v>
      </c>
      <c r="D37" s="217">
        <f ca="1">D19</f>
        <v>135125.56999999998</v>
      </c>
      <c r="E37" s="249">
        <f>'数据-取费表'!B35</f>
        <v>200</v>
      </c>
      <c r="F37" s="259"/>
      <c r="G37" s="261"/>
    </row>
    <row r="38" spans="1:7" ht="13.5" customHeight="1">
      <c r="A38" s="775" t="s">
        <v>354</v>
      </c>
      <c r="B38" s="215" t="s">
        <v>1532</v>
      </c>
      <c r="C38" s="220">
        <f ca="1">ROUND(C34*F38,0)</f>
        <v>15134064</v>
      </c>
      <c r="D38" s="220"/>
      <c r="E38" s="220"/>
      <c r="F38" s="259">
        <f>'数据-取费表'!B36</f>
        <v>0.02</v>
      </c>
      <c r="G38" s="219" t="s">
        <v>1527</v>
      </c>
    </row>
    <row r="39" spans="1:7" s="214" customFormat="1" ht="13.5" customHeight="1">
      <c r="A39" s="255" t="s">
        <v>1533</v>
      </c>
      <c r="B39" s="210" t="s">
        <v>1534</v>
      </c>
      <c r="C39" s="232">
        <f ca="1">ROUND(C33*F20,0)</f>
        <v>16733951</v>
      </c>
      <c r="D39" s="232"/>
      <c r="E39" s="232"/>
      <c r="F39" s="233">
        <f>F20</f>
        <v>0.02</v>
      </c>
      <c r="G39" s="234" t="s">
        <v>1535</v>
      </c>
    </row>
    <row r="40" spans="1:7" s="214" customFormat="1" ht="13.5" customHeight="1">
      <c r="A40" s="255" t="s">
        <v>1536</v>
      </c>
      <c r="B40" s="210" t="s">
        <v>1537</v>
      </c>
      <c r="C40" s="1322">
        <f>F21</f>
        <v>0.02</v>
      </c>
      <c r="D40" s="236" t="s">
        <v>1538</v>
      </c>
      <c r="E40" s="232"/>
      <c r="F40" s="233">
        <f>F21</f>
        <v>0.02</v>
      </c>
      <c r="G40" s="234" t="s">
        <v>1539</v>
      </c>
    </row>
    <row r="41" spans="1:7" s="214" customFormat="1" ht="13.5" customHeight="1">
      <c r="A41" s="255" t="s">
        <v>1540</v>
      </c>
      <c r="B41" s="210" t="s">
        <v>1541</v>
      </c>
      <c r="C41" s="232">
        <f ca="1">ROUND(SUM(C42:C43),0)</f>
        <v>29443386</v>
      </c>
      <c r="D41" s="235">
        <f ca="1">C44</f>
        <v>6.9999999999999999E-4</v>
      </c>
      <c r="E41" s="236" t="s">
        <v>1538</v>
      </c>
      <c r="F41" s="237">
        <f ca="1">F22</f>
        <v>3.4500000000000003E-2</v>
      </c>
      <c r="G41" s="234" t="str">
        <f>IF('数据-取费表'!B22&lt;=1,"单利计息","复利计息")</f>
        <v>复利计息</v>
      </c>
    </row>
    <row r="42" spans="1:7" ht="13.5" customHeight="1">
      <c r="A42" s="775" t="s">
        <v>346</v>
      </c>
      <c r="B42" s="215" t="s">
        <v>1542</v>
      </c>
      <c r="C42" s="238">
        <f ca="1">ROUND(IF('数据-取费表'!B22&lt;=1,C33*F22*'数据-取费表'!B20/2,C33*(POWER((1+F22),'数据-取费表'!B20/2)-1)),0)</f>
        <v>28866065</v>
      </c>
      <c r="D42" s="238"/>
      <c r="E42" s="238"/>
      <c r="F42" s="239"/>
      <c r="G42" s="3696" t="s">
        <v>1590</v>
      </c>
    </row>
    <row r="43" spans="1:7" ht="13.5" customHeight="1">
      <c r="A43" s="775" t="s">
        <v>347</v>
      </c>
      <c r="B43" s="215" t="s">
        <v>1544</v>
      </c>
      <c r="C43" s="238">
        <f ca="1">ROUND(IF('数据-取费表'!B22&lt;=1,C39*F22*'数据-取费表'!B20/2,C39*(POWER((1+F22),'数据-取费表'!B20/2)-1)),0)</f>
        <v>577321</v>
      </c>
      <c r="D43" s="238"/>
      <c r="E43" s="238"/>
      <c r="F43" s="239"/>
      <c r="G43" s="3697"/>
    </row>
    <row r="44" spans="1:7" ht="13.5" customHeight="1">
      <c r="A44" s="775" t="s">
        <v>348</v>
      </c>
      <c r="B44" s="215" t="s">
        <v>1545</v>
      </c>
      <c r="C44" s="238">
        <f ca="1">ROUND(IF('数据-取费表'!B22&lt;=1,C40*F22*'数据-取费表'!B20/2,C40*(POWER((1+F22),'数据-取费表'!B20/2)-1)),4)</f>
        <v>6.9999999999999999E-4</v>
      </c>
      <c r="D44" s="238"/>
      <c r="E44" s="238"/>
      <c r="F44" s="239"/>
      <c r="G44" s="3698"/>
    </row>
    <row r="45" spans="1:7" s="214" customFormat="1" ht="13.5" customHeight="1">
      <c r="A45" s="255" t="s">
        <v>1546</v>
      </c>
      <c r="B45" s="244" t="s">
        <v>1512</v>
      </c>
      <c r="C45" s="245">
        <f ca="1">C46</f>
        <v>68274518</v>
      </c>
      <c r="D45" s="235">
        <f ca="1">C47</f>
        <v>1.6000000000000001E-3</v>
      </c>
      <c r="E45" s="236" t="s">
        <v>1538</v>
      </c>
      <c r="F45" s="246">
        <f ca="1">F27</f>
        <v>0.08</v>
      </c>
      <c r="G45" s="247" t="s">
        <v>1547</v>
      </c>
    </row>
    <row r="46" spans="1:7" s="214" customFormat="1" ht="13.5" customHeight="1">
      <c r="A46" s="775" t="s">
        <v>346</v>
      </c>
      <c r="B46" s="248" t="s">
        <v>1548</v>
      </c>
      <c r="C46" s="249">
        <f ca="1">ROUND((C33+C39)*F27,0)</f>
        <v>68274518</v>
      </c>
      <c r="D46" s="263"/>
      <c r="E46" s="236"/>
      <c r="F46" s="246"/>
      <c r="G46" s="247"/>
    </row>
    <row r="47" spans="1:7" s="214" customFormat="1" ht="13.5" customHeight="1">
      <c r="A47" s="775" t="s">
        <v>347</v>
      </c>
      <c r="B47" s="248" t="s">
        <v>1549</v>
      </c>
      <c r="C47" s="238">
        <f ca="1">ROUND(C40*F27,4)</f>
        <v>1.6000000000000001E-3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1027936221</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1007377497</v>
      </c>
      <c r="D51" s="232"/>
      <c r="E51" s="232"/>
      <c r="F51" s="264"/>
      <c r="G51" s="234" t="s">
        <v>1559</v>
      </c>
    </row>
    <row r="52" spans="1:7" s="208" customFormat="1" ht="16.5" thickBot="1">
      <c r="A52" s="265" t="s">
        <v>1560</v>
      </c>
      <c r="B52" s="266"/>
      <c r="C52" s="267" t="e">
        <f ca="1">C31+C51</f>
        <v>#DIV/0!</v>
      </c>
      <c r="D52" s="266"/>
      <c r="E52" s="266"/>
      <c r="F52" s="266"/>
      <c r="G52" s="268"/>
    </row>
    <row r="55" spans="1:7" ht="15">
      <c r="B55" s="270" t="s">
        <v>1561</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1593</v>
      </c>
      <c r="B1" s="1186"/>
      <c r="C1" s="1187"/>
      <c r="D1" s="1185"/>
      <c r="E1" s="2799"/>
      <c r="F1" s="2799"/>
      <c r="G1" s="2664"/>
      <c r="H1" s="2799"/>
      <c r="I1" s="2799"/>
      <c r="J1" s="2799"/>
      <c r="K1" s="2800">
        <f>MATCH(C1,'数据-取费表'!A6:A16,0)+5</f>
        <v>7</v>
      </c>
    </row>
    <row r="2" spans="1:33" ht="18" customHeight="1">
      <c r="A2" s="201" t="s">
        <v>1461</v>
      </c>
      <c r="B2" s="204">
        <f ca="1">C32</f>
        <v>0</v>
      </c>
      <c r="C2" s="276" t="s">
        <v>1594</v>
      </c>
      <c r="D2" s="276"/>
      <c r="E2" s="2799"/>
      <c r="F2" s="2799"/>
      <c r="G2" s="2799"/>
      <c r="H2" s="2799"/>
      <c r="I2" s="2799"/>
      <c r="J2" s="2799"/>
      <c r="K2" s="2799"/>
    </row>
    <row r="3" spans="1:33" ht="18" customHeight="1" thickBot="1">
      <c r="A3" s="203" t="s">
        <v>1463</v>
      </c>
      <c r="B3" s="204">
        <f ca="1">ROUND(B2*10000/IF(C1="",'数据-汇总表'!E3,INDIRECT("'数据-取费表'!K"&amp;$K$1)),0)</f>
        <v>0</v>
      </c>
      <c r="C3" s="276" t="s">
        <v>1595</v>
      </c>
      <c r="D3" s="276"/>
      <c r="E3" s="2799"/>
      <c r="F3" s="2799"/>
      <c r="G3" s="2799"/>
      <c r="H3" s="2799"/>
      <c r="I3" s="2799"/>
      <c r="J3" s="2799"/>
      <c r="K3" s="2799"/>
    </row>
    <row r="4" spans="1:33" s="780" customFormat="1" ht="16.5" customHeight="1">
      <c r="A4" s="777" t="s">
        <v>1596</v>
      </c>
      <c r="B4" s="778"/>
      <c r="C4" s="819">
        <f>SUM(C8:K8)</f>
        <v>0</v>
      </c>
      <c r="D4" s="778"/>
      <c r="E4" s="778"/>
      <c r="F4" s="778"/>
      <c r="G4" s="778"/>
      <c r="H4" s="778"/>
      <c r="I4" s="778"/>
      <c r="J4" s="778"/>
      <c r="K4" s="779"/>
    </row>
    <row r="5" spans="1:33" s="784" customFormat="1" ht="15">
      <c r="A5" s="781" t="s">
        <v>1597</v>
      </c>
      <c r="B5" s="782" t="s">
        <v>1598</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1599</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1602</v>
      </c>
      <c r="B8" s="164" t="s">
        <v>1603</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1604</v>
      </c>
      <c r="B9" s="778"/>
      <c r="C9" s="778"/>
      <c r="D9" s="778"/>
      <c r="E9" s="778"/>
      <c r="F9" s="778"/>
      <c r="G9" s="778"/>
      <c r="H9" s="778"/>
      <c r="I9" s="778"/>
      <c r="J9" s="778"/>
      <c r="K9" s="779"/>
    </row>
    <row r="10" spans="1:33" s="794" customFormat="1" ht="13.5" customHeight="1">
      <c r="A10" s="781" t="s">
        <v>1605</v>
      </c>
      <c r="B10" s="5" t="s">
        <v>1606</v>
      </c>
      <c r="C10" s="790" t="s">
        <v>1607</v>
      </c>
      <c r="D10" s="791" t="s">
        <v>1608</v>
      </c>
      <c r="E10" s="791" t="s">
        <v>1609</v>
      </c>
      <c r="F10" s="791" t="s">
        <v>1610</v>
      </c>
      <c r="G10" s="5"/>
      <c r="H10" s="792"/>
      <c r="I10" s="792"/>
      <c r="J10" s="792"/>
      <c r="K10" s="793"/>
    </row>
    <row r="11" spans="1:33" s="798" customFormat="1" ht="13.5" customHeight="1">
      <c r="A11" s="795" t="s">
        <v>635</v>
      </c>
      <c r="B11" s="796" t="s">
        <v>1611</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1612</v>
      </c>
      <c r="C12" s="21">
        <f ca="1">ROUND(C11*F12,0)</f>
        <v>0</v>
      </c>
      <c r="D12" s="797"/>
      <c r="E12" s="329"/>
      <c r="F12" s="807">
        <f>'数据-取费表'!B33</f>
        <v>0.05</v>
      </c>
      <c r="G12" s="5" t="s">
        <v>1613</v>
      </c>
      <c r="H12" s="792"/>
      <c r="I12" s="792"/>
      <c r="J12" s="792"/>
      <c r="K12" s="793"/>
    </row>
    <row r="13" spans="1:33" s="798" customFormat="1" ht="13.5" customHeight="1">
      <c r="A13" s="795" t="s">
        <v>637</v>
      </c>
      <c r="B13" s="796" t="s">
        <v>1614</v>
      </c>
      <c r="C13" s="21">
        <f ca="1">ROUND(IF(C1="",SUMIF('数据-取费表'!C:C,"住宅",'数据-取费表'!P:P)*F13,IF(INDIRECT("'数据-取费表'!c"&amp;$K$1)="住宅",INDIRECT("'数据-取费表'!P"&amp;$K$1)*F13,0)),0)</f>
        <v>0</v>
      </c>
      <c r="D13" s="841"/>
      <c r="E13" s="329"/>
      <c r="F13" s="807">
        <f>'数据-取费表'!B34</f>
        <v>0</v>
      </c>
      <c r="G13" s="5" t="s">
        <v>1615</v>
      </c>
      <c r="H13" s="792"/>
      <c r="I13" s="792"/>
      <c r="J13" s="792"/>
      <c r="K13" s="793"/>
    </row>
    <row r="14" spans="1:33" s="800" customFormat="1" ht="13.5" customHeight="1">
      <c r="A14" s="795" t="s">
        <v>638</v>
      </c>
      <c r="B14" s="796" t="s">
        <v>1616</v>
      </c>
      <c r="C14" s="21">
        <f ca="1">ROUND(D14*E14*F11/10000,0)</f>
        <v>0</v>
      </c>
      <c r="D14" s="841">
        <f ca="1">IF(C1="",'数据-汇总表'!E3,INDIRECT("'数据-取费表'!K"&amp;$K$1)+INDIRECT("'数据-取费表'!S"&amp;$K$1))</f>
        <v>135125.56999999998</v>
      </c>
      <c r="E14" s="21">
        <f>'数据-取费表'!B35</f>
        <v>200</v>
      </c>
      <c r="F14" s="799"/>
      <c r="G14" s="5" t="s">
        <v>1617</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1618</v>
      </c>
      <c r="C15" s="806">
        <f ca="1">ROUND(C11*F15,0)</f>
        <v>0</v>
      </c>
      <c r="D15" s="801"/>
      <c r="E15" s="806"/>
      <c r="F15" s="807">
        <f>'数据-取费表'!B36</f>
        <v>0.02</v>
      </c>
      <c r="G15" s="131" t="s">
        <v>1619</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1620</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1621</v>
      </c>
      <c r="C17" s="21">
        <f ca="1">ROUND(D17*E17/10000,0)</f>
        <v>0</v>
      </c>
      <c r="D17" s="841">
        <f ca="1">D14</f>
        <v>135125.56999999998</v>
      </c>
      <c r="E17" s="21">
        <f>'数据-取费表'!B32</f>
        <v>0</v>
      </c>
      <c r="F17" s="801"/>
      <c r="G17" s="131" t="s">
        <v>1622</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1623</v>
      </c>
      <c r="C18" s="21">
        <f ca="1">C19+C20-IF(C1="",'数据-取费表'!B29,IF(G18="已全部缴纳",C19+C20,H18))</f>
        <v>0</v>
      </c>
      <c r="D18" s="841"/>
      <c r="E18" s="21"/>
      <c r="F18" s="799"/>
      <c r="G18" s="1856"/>
      <c r="H18" s="1182"/>
      <c r="I18" s="1857" t="s">
        <v>1624</v>
      </c>
      <c r="J18" s="802"/>
      <c r="K18" s="803"/>
    </row>
    <row r="19" spans="1:33" s="798" customFormat="1" ht="13.5" customHeight="1">
      <c r="A19" s="795" t="s">
        <v>360</v>
      </c>
      <c r="B19" s="796" t="s">
        <v>1625</v>
      </c>
      <c r="C19" s="21">
        <f ca="1">ROUND(D19*E19/10000,0)</f>
        <v>0</v>
      </c>
      <c r="D19" s="841">
        <f ca="1">IF(C1="",'数据-汇总表'!E5,IF(INDIRECT("'数据-取费表'!c"&amp;$K$1)="住宅",INDIRECT("'数据-取费表'!k"&amp;$K$1),0))</f>
        <v>0</v>
      </c>
      <c r="E19" s="21">
        <f>'数据-取费表'!B27</f>
        <v>0</v>
      </c>
      <c r="F19" s="799"/>
      <c r="G19" s="12"/>
      <c r="H19" s="1184"/>
      <c r="I19" s="804"/>
      <c r="J19" s="804"/>
      <c r="K19" s="805"/>
    </row>
    <row r="20" spans="1:33" s="798" customFormat="1" ht="13.5" customHeight="1">
      <c r="A20" s="795" t="s">
        <v>361</v>
      </c>
      <c r="B20" s="796" t="s">
        <v>1626</v>
      </c>
      <c r="C20" s="21">
        <f ca="1">ROUND(D20*E20/10000,0)</f>
        <v>2703</v>
      </c>
      <c r="D20" s="841">
        <f ca="1">IF(C1="",'数据-汇总表'!E6,IF(INDIRECT("'数据-取费表'!c"&amp;$K$1)="住宅",INDIRECT("'数据-取费表'!s"&amp;$K$1),INDIRECT("'数据-取费表'!k"&amp;$K$1)+INDIRECT("'数据-取费表'!s"&amp;$K$1)))</f>
        <v>135125.56999999998</v>
      </c>
      <c r="E20" s="21">
        <f>'数据-取费表'!B28</f>
        <v>200</v>
      </c>
      <c r="F20" s="799"/>
      <c r="G20" s="12"/>
      <c r="H20" s="804"/>
      <c r="I20" s="804"/>
      <c r="J20" s="804"/>
      <c r="K20" s="805"/>
    </row>
    <row r="21" spans="1:33" s="798" customFormat="1" ht="13.5" customHeight="1">
      <c r="A21" s="785" t="s">
        <v>357</v>
      </c>
      <c r="B21" s="808" t="s">
        <v>1627</v>
      </c>
      <c r="C21" s="809">
        <f ca="1">C16+C17+C18</f>
        <v>0</v>
      </c>
      <c r="D21" s="810"/>
      <c r="E21" s="281"/>
      <c r="F21" s="281"/>
      <c r="G21" s="131" t="s">
        <v>1628</v>
      </c>
      <c r="H21" s="802"/>
      <c r="I21" s="802"/>
      <c r="J21" s="802"/>
      <c r="K21" s="803"/>
    </row>
    <row r="22" spans="1:33" s="798" customFormat="1" ht="13.5" customHeight="1">
      <c r="A22" s="785" t="s">
        <v>1600</v>
      </c>
      <c r="B22" s="808" t="s">
        <v>1629</v>
      </c>
      <c r="C22" s="809">
        <f ca="1">ROUND(C21*F22,0)</f>
        <v>0</v>
      </c>
      <c r="D22" s="281"/>
      <c r="E22" s="281"/>
      <c r="F22" s="811">
        <f>'数据-取费表'!B37</f>
        <v>0.02</v>
      </c>
      <c r="G22" s="5" t="s">
        <v>1630</v>
      </c>
      <c r="H22" s="792"/>
      <c r="I22" s="792"/>
      <c r="J22" s="792"/>
      <c r="K22" s="793"/>
    </row>
    <row r="23" spans="1:33" s="798" customFormat="1" ht="13.5" customHeight="1">
      <c r="A23" s="785" t="s">
        <v>1602</v>
      </c>
      <c r="B23" s="808" t="s">
        <v>1631</v>
      </c>
      <c r="C23" s="809">
        <f ca="1">ROUND(C4*F23*F11,0)</f>
        <v>0</v>
      </c>
      <c r="D23" s="281"/>
      <c r="E23" s="281"/>
      <c r="F23" s="811">
        <f>'数据-取费表'!B38</f>
        <v>0.02</v>
      </c>
      <c r="G23" s="5" t="s">
        <v>1632</v>
      </c>
      <c r="H23" s="792"/>
      <c r="I23" s="792"/>
      <c r="J23" s="792"/>
      <c r="K23" s="793"/>
    </row>
    <row r="24" spans="1:33" s="798" customFormat="1" ht="13.5" customHeight="1">
      <c r="A24" s="785" t="s">
        <v>1633</v>
      </c>
      <c r="B24" s="808" t="s">
        <v>1634</v>
      </c>
      <c r="C24" s="280">
        <f>ROUND(F24/(1+'数据-取费表'!C42),4)</f>
        <v>2.9000000000000001E-2</v>
      </c>
      <c r="D24" s="281" t="s">
        <v>12</v>
      </c>
      <c r="E24" s="281"/>
      <c r="F24" s="811">
        <f>IF(项目基本情况!B8="出让",0,'数据-取费表'!B48+'数据-取费表'!B49)</f>
        <v>3.0499999999999999E-2</v>
      </c>
      <c r="G24" s="5" t="s">
        <v>1635</v>
      </c>
      <c r="H24" s="813"/>
      <c r="I24" s="813"/>
      <c r="J24" s="813"/>
      <c r="K24" s="814"/>
    </row>
    <row r="25" spans="1:33" s="798" customFormat="1" ht="13.5" customHeight="1">
      <c r="A25" s="785" t="s">
        <v>1636</v>
      </c>
      <c r="B25" s="810" t="s">
        <v>1637</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1638</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1639</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1640</v>
      </c>
      <c r="B28" s="1859" t="s">
        <v>1641</v>
      </c>
      <c r="C28" s="287">
        <f ca="1">C30</f>
        <v>0</v>
      </c>
      <c r="D28" s="280">
        <f ca="1">C29</f>
        <v>0</v>
      </c>
      <c r="E28" s="282" t="s">
        <v>12</v>
      </c>
      <c r="F28" s="288">
        <f ca="1">IF(C1="",'数据-取费表'!Q16,INDIRECT("'数据-取费表'!q"&amp;$K$1))</f>
        <v>0.08</v>
      </c>
      <c r="G28" s="812"/>
      <c r="H28" s="813"/>
      <c r="I28" s="813"/>
      <c r="J28" s="813"/>
      <c r="K28" s="814"/>
    </row>
    <row r="29" spans="1:33" s="291" customFormat="1" ht="13.5" customHeight="1">
      <c r="A29" s="795" t="s">
        <v>358</v>
      </c>
      <c r="B29" s="817" t="s">
        <v>1642</v>
      </c>
      <c r="C29" s="284">
        <f ca="1">ROUND((1+C24)*F28*'数据-取费表'!B24/'数据-取费表'!B20,4)</f>
        <v>0</v>
      </c>
      <c r="D29" s="284"/>
      <c r="E29" s="285"/>
      <c r="F29" s="290"/>
      <c r="G29" s="131" t="s">
        <v>1643</v>
      </c>
      <c r="H29" s="802"/>
      <c r="I29" s="802"/>
      <c r="J29" s="802"/>
      <c r="K29" s="803"/>
    </row>
    <row r="30" spans="1:33" s="291" customFormat="1" ht="13.5" customHeight="1">
      <c r="A30" s="795" t="s">
        <v>359</v>
      </c>
      <c r="B30" s="817" t="s">
        <v>1644</v>
      </c>
      <c r="C30" s="292">
        <f ca="1">ROUND((C21+C22+C23)*F28,0)</f>
        <v>0</v>
      </c>
      <c r="D30" s="284"/>
      <c r="E30" s="285"/>
      <c r="F30" s="290"/>
      <c r="G30" s="131"/>
      <c r="H30" s="802"/>
      <c r="I30" s="802"/>
      <c r="J30" s="802"/>
      <c r="K30" s="803"/>
    </row>
    <row r="31" spans="1:33" s="798" customFormat="1" ht="13.5" customHeight="1" thickBot="1">
      <c r="A31" s="1860" t="s">
        <v>1645</v>
      </c>
      <c r="B31" s="828" t="s">
        <v>1646</v>
      </c>
      <c r="C31" s="829">
        <f>ROUND(C4*F31/(1+'数据-取费表'!C42),0)</f>
        <v>0</v>
      </c>
      <c r="D31" s="830"/>
      <c r="E31" s="831"/>
      <c r="F31" s="832">
        <f>'数据-取费表'!B41</f>
        <v>5.5000000000000007E-2</v>
      </c>
      <c r="G31" s="833" t="s">
        <v>1647</v>
      </c>
      <c r="H31" s="834"/>
      <c r="I31" s="834"/>
      <c r="J31" s="834"/>
      <c r="K31" s="835"/>
    </row>
    <row r="32" spans="1:33" s="794" customFormat="1" ht="13.5" customHeight="1" thickBot="1">
      <c r="A32" s="823" t="s">
        <v>1648</v>
      </c>
      <c r="B32" s="824"/>
      <c r="C32" s="825">
        <f ca="1">ROUND((C4-C21-C22-C23-C25-C28-C31)/(1+C24+D25+D28),0)</f>
        <v>0</v>
      </c>
      <c r="D32" s="824"/>
      <c r="E32" s="824"/>
      <c r="F32" s="824"/>
      <c r="G32" s="826" t="s">
        <v>1649</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1"/>
      <c r="C1" s="1374" t="s">
        <v>3334</v>
      </c>
      <c r="D1" s="1357" t="s">
        <v>43</v>
      </c>
      <c r="E1" s="1358" t="s">
        <v>678</v>
      </c>
      <c r="F1" s="1057" t="e">
        <f ca="1">J53</f>
        <v>#N/A</v>
      </c>
      <c r="G1" s="1373"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#N/A</v>
      </c>
      <c r="C2" s="1382" t="s">
        <v>805</v>
      </c>
      <c r="D2" s="1382"/>
      <c r="E2" s="1383"/>
      <c r="F2" s="1384"/>
      <c r="G2" s="2699"/>
      <c r="H2" s="2688"/>
      <c r="I2" s="2688"/>
      <c r="J2" s="2688"/>
      <c r="K2" s="2689"/>
      <c r="L2" s="2688"/>
      <c r="M2" s="2688"/>
    </row>
    <row r="3" spans="1:37" ht="18" customHeight="1" thickBot="1">
      <c r="A3" s="1385" t="s">
        <v>806</v>
      </c>
      <c r="B3" s="1386">
        <f ca="1">IF(ISERROR(B2*10000/F43),0,ROUND(B2*10000/F43,0))</f>
        <v>0</v>
      </c>
      <c r="C3" s="1382" t="s">
        <v>807</v>
      </c>
      <c r="D3" s="1382"/>
      <c r="E3" s="1383"/>
      <c r="F3" s="1384"/>
      <c r="G3" s="2699"/>
      <c r="H3" s="681"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699" t="s">
        <v>694</v>
      </c>
      <c r="C6" s="1069" t="e">
        <f ca="1">ROUND(F6*F8*F7*(1-F9)/10000,0)</f>
        <v>#N/A</v>
      </c>
      <c r="D6" s="155" t="s">
        <v>2107</v>
      </c>
      <c r="E6" s="302" t="s">
        <v>696</v>
      </c>
      <c r="F6" s="303" t="e">
        <f ca="1">INDIRECT("'数据-取费表'!u"&amp;$G$1)</f>
        <v>#N/A</v>
      </c>
      <c r="G6" s="1379"/>
      <c r="H6" s="1064" t="s">
        <v>398</v>
      </c>
      <c r="I6" s="3699" t="s">
        <v>694</v>
      </c>
      <c r="J6" s="301" t="e">
        <f ca="1">ROUND(M6*M8*M7*(1-M9)/10000,0)</f>
        <v>#N/A</v>
      </c>
      <c r="K6" s="155" t="s">
        <v>2106</v>
      </c>
      <c r="L6" s="302" t="s">
        <v>696</v>
      </c>
      <c r="M6" s="303" t="e">
        <f ca="1">INDIRECT("'数据-取费表'!z"&amp;$G$1)</f>
        <v>#N/A</v>
      </c>
    </row>
    <row r="7" spans="1:37" ht="18" customHeight="1">
      <c r="A7" s="1068"/>
      <c r="B7" s="3700"/>
      <c r="C7" s="1070"/>
      <c r="D7" s="307"/>
      <c r="E7" s="3473" t="s">
        <v>697</v>
      </c>
      <c r="F7" s="303" t="e">
        <f ca="1">IF(INDIRECT("'数据-取费表'!ah"&amp;$G$1)="",INDIRECT("'数据-取费表'!k"&amp;$G$1),INDIRECT("'数据-取费表'!ah"&amp;$G$1))</f>
        <v>#N/A</v>
      </c>
      <c r="G7" s="1379"/>
      <c r="H7" s="304"/>
      <c r="I7" s="3700"/>
      <c r="J7" s="306"/>
      <c r="K7" s="307"/>
      <c r="L7" s="302" t="s">
        <v>697</v>
      </c>
      <c r="M7" s="303" t="e">
        <f ca="1">F7</f>
        <v>#N/A</v>
      </c>
    </row>
    <row r="8" spans="1:37" ht="18" customHeight="1">
      <c r="A8" s="304"/>
      <c r="B8" s="3700"/>
      <c r="C8" s="306"/>
      <c r="D8" s="307"/>
      <c r="E8" s="302" t="s">
        <v>698</v>
      </c>
      <c r="F8" s="303" t="e">
        <f ca="1">INDIRECT("'数据-取费表'!ai"&amp;$G$1)</f>
        <v>#N/A</v>
      </c>
      <c r="G8" s="1379"/>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79"/>
      <c r="H9" s="304"/>
      <c r="I9" s="3701"/>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2114</v>
      </c>
      <c r="E10" s="313" t="s">
        <v>701</v>
      </c>
      <c r="F10" s="1111" t="s">
        <v>3417</v>
      </c>
      <c r="G10" s="1379"/>
      <c r="H10" s="1064" t="s">
        <v>402</v>
      </c>
      <c r="I10" s="1360" t="s">
        <v>700</v>
      </c>
      <c r="J10" s="301" t="e">
        <f ca="1">ROUND(IF(M10="押一",J6/12*M11,IF(M10="押二",J6/12*2*M11,IF(M10="押三",J6/12*3*M11,J11*M11))),0)</f>
        <v>#N/A</v>
      </c>
      <c r="K10" s="1361" t="s">
        <v>2114</v>
      </c>
      <c r="L10" s="313" t="s">
        <v>701</v>
      </c>
      <c r="M10" s="1111" t="s">
        <v>3397</v>
      </c>
    </row>
    <row r="11" spans="1:37" ht="18" customHeight="1">
      <c r="A11" s="308"/>
      <c r="B11" s="1362" t="s">
        <v>679</v>
      </c>
      <c r="C11" s="954"/>
      <c r="D11" s="1363"/>
      <c r="E11" s="313" t="s">
        <v>702</v>
      </c>
      <c r="F11" s="314">
        <f ca="1">'数据-取费表'!B39</f>
        <v>1.4999999999999999E-2</v>
      </c>
      <c r="G11" s="1379"/>
      <c r="H11" s="1072"/>
      <c r="I11" s="1362" t="s">
        <v>679</v>
      </c>
      <c r="J11" s="954"/>
      <c r="K11" s="682"/>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470" t="s">
        <v>705</v>
      </c>
      <c r="E13" s="3470"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480" t="s">
        <v>708</v>
      </c>
      <c r="E14" s="3479"/>
      <c r="F14" s="319"/>
      <c r="G14" s="1379"/>
      <c r="H14" s="977" t="s">
        <v>398</v>
      </c>
      <c r="I14" s="302" t="s">
        <v>709</v>
      </c>
      <c r="J14" s="21" t="e">
        <f ca="1">C29</f>
        <v>#N/A</v>
      </c>
      <c r="K14" s="3472"/>
      <c r="L14" s="802"/>
      <c r="M14" s="803"/>
    </row>
    <row r="15" spans="1:37" s="1392" customFormat="1" ht="18" customHeight="1" thickBot="1">
      <c r="A15" s="977" t="s">
        <v>399</v>
      </c>
      <c r="B15" s="302" t="s">
        <v>710</v>
      </c>
      <c r="C15" s="21" t="e">
        <f ca="1">ROUND(C14*F15,0)</f>
        <v>#N/A</v>
      </c>
      <c r="D15" s="3471" t="s">
        <v>711</v>
      </c>
      <c r="E15" s="3471"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482"/>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0" t="e">
        <f ca="1">ROUND(IF(AND(项目基本情况!B11="自然人",项目基本情况!B10="北京市"),J6*M17/(1+'数据-取费表'!C42),J18+J19+J20),2)</f>
        <v>#N/A</v>
      </c>
      <c r="K17" s="3480" t="s">
        <v>720</v>
      </c>
      <c r="L17" s="348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481"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486"/>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2" t="s">
        <v>729</v>
      </c>
      <c r="E20" s="302" t="s">
        <v>712</v>
      </c>
      <c r="F20" s="322">
        <f>'数据-取费表'!B37</f>
        <v>0.02</v>
      </c>
      <c r="G20" s="1391"/>
      <c r="H20" s="977" t="s">
        <v>680</v>
      </c>
      <c r="I20" s="155" t="s">
        <v>730</v>
      </c>
      <c r="J20" s="22" t="e">
        <f ca="1">ROUND(M20*M21/10000,2)</f>
        <v>#N/A</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2"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86"/>
      <c r="F22" s="23"/>
      <c r="G22" s="1379"/>
      <c r="H22" s="977" t="s">
        <v>402</v>
      </c>
      <c r="I22" s="302" t="s">
        <v>738</v>
      </c>
      <c r="J22" s="21" t="e">
        <f ca="1">ROUND(J14*M22,2)</f>
        <v>#N/A</v>
      </c>
      <c r="K22" s="3481"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t="e">
        <f ca="1">ROUND(J13*M23,2)</f>
        <v>#N/A</v>
      </c>
      <c r="K23" s="3481"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86"/>
      <c r="F25" s="23"/>
      <c r="G25" s="1379"/>
      <c r="H25" s="1074" t="s">
        <v>394</v>
      </c>
      <c r="I25" s="1089" t="s">
        <v>752</v>
      </c>
      <c r="J25" s="310" t="e">
        <f ca="1">J5-J16</f>
        <v>#N/A</v>
      </c>
      <c r="K25" s="1090" t="s">
        <v>753</v>
      </c>
      <c r="L25" s="1091"/>
      <c r="M25" s="1092"/>
    </row>
    <row r="26" spans="1:37">
      <c r="A26" s="977"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2" t="s">
        <v>761</v>
      </c>
      <c r="E27" s="3471"/>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5.2400000000000002E-2</v>
      </c>
      <c r="D28" s="2422" t="s">
        <v>765</v>
      </c>
      <c r="E28" s="302" t="s">
        <v>712</v>
      </c>
      <c r="F28" s="322">
        <f>'数据-取费表'!B41</f>
        <v>5.5000000000000007E-2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482"/>
      <c r="F30" s="1067"/>
      <c r="G30" s="1379"/>
      <c r="H30" s="2690"/>
      <c r="I30" s="1393"/>
      <c r="J30" s="1394"/>
      <c r="K30" s="2469"/>
      <c r="L30" s="2691"/>
      <c r="M30" s="2692"/>
    </row>
    <row r="31" spans="1:37" ht="18" customHeight="1">
      <c r="A31" s="977" t="s">
        <v>398</v>
      </c>
      <c r="B31" s="302" t="s">
        <v>719</v>
      </c>
      <c r="C31" s="2310" t="e">
        <f ca="1">ROUND(IF(AND(项目基本情况!B11="自然人",项目基本情况!B10="北京市"),C6*F31/(1+'数据-取费表'!C42),C32+C33+C34),2)</f>
        <v>#N/A</v>
      </c>
      <c r="D31" s="3480" t="s">
        <v>720</v>
      </c>
      <c r="E31" s="3481" t="s">
        <v>770</v>
      </c>
      <c r="F31" s="2309" t="str">
        <f>IF(项目基本情况!B11="企业","——",IF(M47="住宅",IF(F6*F7*F8/12/(1+'数据-取费表'!F30)&gt;100000,4%,2.5%),IF(F6*F7*F8/12/(1+'数据-取费表'!F30)&gt;100000,12%,7%)))</f>
        <v>——</v>
      </c>
      <c r="G31" s="1379"/>
      <c r="H31" s="2801" t="s">
        <v>2308</v>
      </c>
      <c r="I31" s="1393"/>
      <c r="J31" s="1394"/>
      <c r="K31" s="2469"/>
      <c r="L31" s="2691"/>
      <c r="M31" s="2692"/>
    </row>
    <row r="32" spans="1:37" ht="18" customHeight="1">
      <c r="A32" s="977" t="s">
        <v>397</v>
      </c>
      <c r="B32" s="302" t="s">
        <v>723</v>
      </c>
      <c r="C32" s="21" t="e">
        <f ca="1">IF(项目基本情况!B11="自然人","——",ROUND(C6*F32/(1+'数据-取费表'!C42),2))</f>
        <v>#N/A</v>
      </c>
      <c r="D32" s="3481" t="s">
        <v>724</v>
      </c>
      <c r="E32" s="302" t="s">
        <v>712</v>
      </c>
      <c r="F32" s="331">
        <f>'数据-取费表'!B41</f>
        <v>5.5000000000000007E-2</v>
      </c>
      <c r="G32" s="1379"/>
      <c r="H32" s="2690"/>
      <c r="I32" s="1393"/>
      <c r="J32" s="1394"/>
      <c r="K32" s="2469"/>
      <c r="L32" s="2691"/>
      <c r="M32" s="2692"/>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t="e">
        <f ca="1">IF(项目基本情况!B11="自然人","——",ROUND(F34*F35/10000,2))</f>
        <v>#N/A</v>
      </c>
      <c r="D34" s="324" t="s">
        <v>731</v>
      </c>
      <c r="E34" s="302" t="s">
        <v>732</v>
      </c>
      <c r="F34" s="325">
        <f>'数据-取费表'!B52</f>
        <v>1.5</v>
      </c>
      <c r="G34" s="1379"/>
      <c r="H34" s="2690"/>
      <c r="I34" s="1393"/>
      <c r="J34" s="1394"/>
      <c r="K34" s="2695"/>
      <c r="L34" s="2696"/>
      <c r="M34" s="2696"/>
    </row>
    <row r="35" spans="1:18" ht="18" customHeight="1">
      <c r="A35" s="1098"/>
      <c r="B35" s="1096"/>
      <c r="C35" s="26"/>
      <c r="D35" s="327"/>
      <c r="E35" s="302" t="s">
        <v>736</v>
      </c>
      <c r="F35" s="303" t="e">
        <f ca="1">INDIRECT("'数据-取费表'!r"&amp;$G$1)</f>
        <v>#N/A</v>
      </c>
      <c r="G35" s="1379"/>
      <c r="H35" s="2690"/>
      <c r="I35" s="1393"/>
      <c r="J35" s="1394"/>
      <c r="K35" s="2694"/>
      <c r="L35" s="2693"/>
      <c r="M35" s="2693"/>
    </row>
    <row r="36" spans="1:18" ht="18" customHeight="1">
      <c r="A36" s="1097" t="s">
        <v>402</v>
      </c>
      <c r="B36" s="302" t="s">
        <v>738</v>
      </c>
      <c r="C36" s="21" t="e">
        <f ca="1">ROUND(C29*F36,2)</f>
        <v>#N/A</v>
      </c>
      <c r="D36" s="3481" t="s">
        <v>771</v>
      </c>
      <c r="E36" s="302" t="s">
        <v>712</v>
      </c>
      <c r="F36" s="328" t="e">
        <f ca="1">INDIRECT("'数据-取费表'!Ak"&amp;$G$1)</f>
        <v>#N/A</v>
      </c>
      <c r="G36" s="1379"/>
      <c r="H36" s="2693"/>
      <c r="I36" s="1393"/>
      <c r="J36" s="1394"/>
      <c r="K36" s="2538"/>
      <c r="L36" s="2693"/>
      <c r="M36" s="2693"/>
    </row>
    <row r="37" spans="1:18" ht="18" customHeight="1">
      <c r="A37" s="977" t="s">
        <v>437</v>
      </c>
      <c r="B37" s="302" t="s">
        <v>742</v>
      </c>
      <c r="C37" s="21" t="e">
        <f ca="1">ROUND(C13*F37,2)</f>
        <v>#N/A</v>
      </c>
      <c r="D37" s="3481" t="s">
        <v>743</v>
      </c>
      <c r="E37" s="302" t="s">
        <v>744</v>
      </c>
      <c r="F37" s="330" t="e">
        <f ca="1">INDIRECT("'数据-取费表'!Al"&amp;$G$1)</f>
        <v>#N/A</v>
      </c>
      <c r="G37" s="1379"/>
      <c r="H37" s="2693"/>
      <c r="I37" s="1393"/>
      <c r="J37" s="1394"/>
      <c r="K37" s="2538"/>
      <c r="L37" s="2693"/>
      <c r="M37" s="2693"/>
    </row>
    <row r="38" spans="1:18" ht="18" customHeight="1" thickBot="1">
      <c r="A38" s="1084" t="s">
        <v>683</v>
      </c>
      <c r="B38" s="1085" t="s">
        <v>728</v>
      </c>
      <c r="C38" s="1086" t="e">
        <f ca="1">ROUND(C5*F38,2)</f>
        <v>#N/A</v>
      </c>
      <c r="D38" s="1087" t="s">
        <v>748</v>
      </c>
      <c r="E38" s="1085" t="s">
        <v>744</v>
      </c>
      <c r="F38" s="1081" t="e">
        <f ca="1">INDIRECT("'数据-取费表'!Am"&amp;$G$1)</f>
        <v>#N/A</v>
      </c>
      <c r="G38" s="1379"/>
      <c r="H38" s="2693"/>
      <c r="I38" s="1393"/>
      <c r="J38" s="1394"/>
      <c r="K38" s="2697"/>
      <c r="L38" s="2693"/>
      <c r="M38" s="2693"/>
    </row>
    <row r="39" spans="1:18" ht="24.6" customHeight="1" thickTop="1">
      <c r="A39" s="1074" t="s">
        <v>394</v>
      </c>
      <c r="B39" s="1089" t="s">
        <v>752</v>
      </c>
      <c r="C39" s="310" t="e">
        <f ca="1">C5-C30</f>
        <v>#N/A</v>
      </c>
      <c r="D39" s="1090" t="s">
        <v>753</v>
      </c>
      <c r="E39" s="1091"/>
      <c r="F39" s="1092"/>
      <c r="G39" s="1379"/>
      <c r="H39" s="2693"/>
      <c r="I39" s="1393"/>
      <c r="J39" s="1394"/>
      <c r="K39" s="2697"/>
      <c r="L39" s="2693"/>
      <c r="M39" s="2693"/>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7"/>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8"/>
      <c r="L41" s="1186"/>
      <c r="M41" s="1186"/>
    </row>
    <row r="42" spans="1:18" ht="18" customHeight="1">
      <c r="A42" s="308"/>
      <c r="B42" s="309"/>
      <c r="C42" s="310"/>
      <c r="D42" s="327"/>
      <c r="E42" s="302" t="s">
        <v>766</v>
      </c>
      <c r="F42" s="312" t="e">
        <f ca="1">INDIRECT("'数据-取费表'!v"&amp;$G$1)</f>
        <v>#N/A</v>
      </c>
      <c r="G42" s="1379"/>
      <c r="H42" s="1186"/>
      <c r="I42" s="1393"/>
      <c r="J42" s="1394"/>
      <c r="K42" s="2538"/>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8"/>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698"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3398</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485" t="e">
        <f ca="1">C49+C53+C55</f>
        <v>#N/A</v>
      </c>
      <c r="D48" s="1107"/>
      <c r="E48" s="1108"/>
      <c r="F48" s="957"/>
      <c r="G48" s="720"/>
      <c r="H48" s="721"/>
      <c r="I48" s="1416" t="s">
        <v>819</v>
      </c>
      <c r="J48" s="1417" t="s">
        <v>3399</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2106</v>
      </c>
      <c r="E49" s="1367" t="s">
        <v>780</v>
      </c>
      <c r="F49" s="1055"/>
      <c r="G49" s="1420"/>
      <c r="H49" s="721"/>
      <c r="I49" s="1416" t="s">
        <v>823</v>
      </c>
      <c r="J49" s="1421">
        <v>2004</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1"/>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40</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2114</v>
      </c>
      <c r="E53" s="313" t="s">
        <v>701</v>
      </c>
      <c r="F53" s="1111"/>
      <c r="I53" s="1434" t="s">
        <v>836</v>
      </c>
      <c r="J53" s="2162" t="e">
        <f ca="1">IF(M47="住宅",IF(D1="——",MAX(J51,L48),MAX(J51,L48-'数据-取费表'!B24)),IF(D1="——",MIN(J51,L48),MIN(J51,L48-'数据-取费表'!B24)))</f>
        <v>#N/A</v>
      </c>
      <c r="K53" s="3702" t="s">
        <v>837</v>
      </c>
      <c r="L53" s="3703"/>
      <c r="O53" s="1413" t="s">
        <v>409</v>
      </c>
      <c r="P53" s="1414" t="s">
        <v>838</v>
      </c>
      <c r="Q53" s="1415" t="e">
        <f ca="1">Q47+Q48</f>
        <v>#N/A</v>
      </c>
      <c r="R53" s="1415" t="s">
        <v>410</v>
      </c>
    </row>
    <row r="54" spans="1:18" s="1379" customFormat="1" ht="13.5" thickBot="1">
      <c r="A54" s="1148"/>
      <c r="B54" s="1362" t="s">
        <v>679</v>
      </c>
      <c r="C54" s="954"/>
      <c r="D54" s="1361"/>
      <c r="E54" s="3474"/>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474"/>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3418</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0" t="e">
        <f ca="1">ROUND(IF(AND(项目基本情况!B11="自然人",项目基本情况!B10="北京市"),C49*F59/(1+'数据-取费表'!C42),C60+C61+C62),0)</f>
        <v>#N/A</v>
      </c>
      <c r="D59" s="958" t="s">
        <v>720</v>
      </c>
      <c r="E59" s="959"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5.5000000000000007E-2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730</v>
      </c>
      <c r="C62" s="22" t="e">
        <f ca="1">IF(项目基本情况!B11="自然人","——",ROUND(F62*F63/10000,2))</f>
        <v>#N/A</v>
      </c>
      <c r="D62" s="960" t="s">
        <v>731</v>
      </c>
      <c r="E62" s="945" t="s">
        <v>732</v>
      </c>
      <c r="F62" s="325">
        <f t="shared" si="0"/>
        <v>1.5</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771</v>
      </c>
      <c r="E64" s="945"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748</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8" priority="4">
      <formula>$L$48&gt;$J$51</formula>
    </cfRule>
  </conditionalFormatting>
  <conditionalFormatting sqref="I55 I60">
    <cfRule type="expression" dxfId="187" priority="5">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1"/>
      <c r="C1" s="1374" t="s">
        <v>3</v>
      </c>
      <c r="D1" s="1357" t="s">
        <v>43</v>
      </c>
      <c r="E1" s="1358" t="s">
        <v>678</v>
      </c>
      <c r="F1" s="1057">
        <f ca="1">J53</f>
        <v>40.36</v>
      </c>
      <c r="G1" s="1373">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159498</v>
      </c>
      <c r="C2" s="1382" t="s">
        <v>805</v>
      </c>
      <c r="D2" s="1382"/>
      <c r="E2" s="1383"/>
      <c r="F2" s="1384"/>
      <c r="G2" s="2699"/>
      <c r="H2" s="2688"/>
      <c r="I2" s="2688"/>
      <c r="J2" s="2688"/>
      <c r="K2" s="2689"/>
      <c r="L2" s="2688"/>
      <c r="M2" s="2688"/>
    </row>
    <row r="3" spans="1:37" ht="18" customHeight="1" thickBot="1">
      <c r="A3" s="1385" t="s">
        <v>806</v>
      </c>
      <c r="B3" s="1386">
        <f ca="1">IF(ISERROR(B2*10000/F43),0,ROUND(B2*10000/F43,0))</f>
        <v>12112</v>
      </c>
      <c r="C3" s="1382" t="s">
        <v>807</v>
      </c>
      <c r="D3" s="1382"/>
      <c r="E3" s="1383"/>
      <c r="F3" s="1384"/>
      <c r="G3" s="2699"/>
      <c r="H3" s="681"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8876</v>
      </c>
      <c r="D5" s="1359" t="s">
        <v>693</v>
      </c>
      <c r="E5" s="1066"/>
      <c r="F5" s="1067"/>
      <c r="G5" s="1379"/>
      <c r="H5" s="299">
        <v>1</v>
      </c>
      <c r="I5" s="300" t="s">
        <v>692</v>
      </c>
      <c r="J5" s="1065">
        <f ca="1">J6+J10+J12</f>
        <v>0</v>
      </c>
      <c r="K5" s="1359" t="s">
        <v>693</v>
      </c>
      <c r="L5" s="1066"/>
      <c r="M5" s="1067"/>
    </row>
    <row r="6" spans="1:37" ht="18" customHeight="1">
      <c r="A6" s="1064" t="s">
        <v>398</v>
      </c>
      <c r="B6" s="3699" t="s">
        <v>694</v>
      </c>
      <c r="C6" s="1069">
        <f ca="1">ROUND(F6*F8*F7*(1-F9)/10000,0)</f>
        <v>8865</v>
      </c>
      <c r="D6" s="155" t="s">
        <v>2107</v>
      </c>
      <c r="E6" s="302" t="s">
        <v>696</v>
      </c>
      <c r="F6" s="303">
        <f ca="1">INDIRECT("'数据-取费表'!u"&amp;$G$1)</f>
        <v>2.2000000000000002</v>
      </c>
      <c r="G6" s="1379"/>
      <c r="H6" s="1064" t="s">
        <v>398</v>
      </c>
      <c r="I6" s="3699" t="s">
        <v>694</v>
      </c>
      <c r="J6" s="301">
        <f ca="1">ROUND(M6*M8*M7*(1-M9)/10000,0)</f>
        <v>0</v>
      </c>
      <c r="K6" s="155" t="s">
        <v>2106</v>
      </c>
      <c r="L6" s="302" t="s">
        <v>696</v>
      </c>
      <c r="M6" s="303">
        <f ca="1">INDIRECT("'数据-取费表'!z"&amp;$G$1)</f>
        <v>0</v>
      </c>
    </row>
    <row r="7" spans="1:37" ht="18" customHeight="1">
      <c r="A7" s="1068"/>
      <c r="B7" s="3700"/>
      <c r="C7" s="1070"/>
      <c r="D7" s="307"/>
      <c r="E7" s="3448" t="s">
        <v>697</v>
      </c>
      <c r="F7" s="303">
        <f ca="1">IF(INDIRECT("'数据-取费表'!ah"&amp;$G$1)="",INDIRECT("'数据-取费表'!k"&amp;$G$1),INDIRECT("'数据-取费表'!ah"&amp;$G$1))</f>
        <v>116204.73999999999</v>
      </c>
      <c r="G7" s="1379"/>
      <c r="H7" s="304"/>
      <c r="I7" s="3700"/>
      <c r="J7" s="306"/>
      <c r="K7" s="307"/>
      <c r="L7" s="302" t="s">
        <v>697</v>
      </c>
      <c r="M7" s="303">
        <f ca="1">F7</f>
        <v>116204.73999999999</v>
      </c>
    </row>
    <row r="8" spans="1:37" ht="18" customHeight="1">
      <c r="A8" s="304"/>
      <c r="B8" s="3700"/>
      <c r="C8" s="306"/>
      <c r="D8" s="307"/>
      <c r="E8" s="302" t="s">
        <v>698</v>
      </c>
      <c r="F8" s="303">
        <f ca="1">INDIRECT("'数据-取费表'!ai"&amp;$G$1)</f>
        <v>365</v>
      </c>
      <c r="G8" s="1379"/>
      <c r="H8" s="304"/>
      <c r="I8" s="3700"/>
      <c r="J8" s="306"/>
      <c r="K8" s="307"/>
      <c r="L8" s="302" t="s">
        <v>698</v>
      </c>
      <c r="M8" s="303">
        <f ca="1">INDIRECT("'数据-取费表'!ai"&amp;$G$1)</f>
        <v>365</v>
      </c>
    </row>
    <row r="9" spans="1:37" ht="18" customHeight="1">
      <c r="A9" s="304"/>
      <c r="B9" s="3701"/>
      <c r="C9" s="306"/>
      <c r="D9" s="307"/>
      <c r="E9" s="302" t="s">
        <v>699</v>
      </c>
      <c r="F9" s="312">
        <f ca="1">INDIRECT("'数据-取费表'!w"&amp;$G$1)</f>
        <v>0.05</v>
      </c>
      <c r="G9" s="1379"/>
      <c r="H9" s="304"/>
      <c r="I9" s="3701"/>
      <c r="J9" s="306"/>
      <c r="K9" s="307"/>
      <c r="L9" s="313" t="s">
        <v>699</v>
      </c>
      <c r="M9" s="314">
        <f ca="1">INDIRECT("'数据-取费表'!ab"&amp;$G$1)</f>
        <v>0</v>
      </c>
    </row>
    <row r="10" spans="1:37" ht="18" customHeight="1">
      <c r="A10" s="1064" t="s">
        <v>402</v>
      </c>
      <c r="B10" s="1360" t="s">
        <v>700</v>
      </c>
      <c r="C10" s="316">
        <f ca="1">ROUND(IF(F10="押一",C6/12*F11,IF(F10="押二",C6/12*2*F11,IF(F10="押三",C6/12*3*F11,C11*F11))),0)</f>
        <v>11</v>
      </c>
      <c r="D10" s="1361" t="s">
        <v>2114</v>
      </c>
      <c r="E10" s="313" t="s">
        <v>701</v>
      </c>
      <c r="F10" s="1111" t="s">
        <v>3397</v>
      </c>
      <c r="G10" s="1379"/>
      <c r="H10" s="1064" t="s">
        <v>402</v>
      </c>
      <c r="I10" s="1360" t="s">
        <v>700</v>
      </c>
      <c r="J10" s="301">
        <f ca="1">ROUND(IF(M10="押一",J6/12*M11,IF(M10="押二",J6/12*2*M11,IF(M10="押三",J6/12*3*M11,J11*M11))),0)</f>
        <v>0</v>
      </c>
      <c r="K10" s="1361" t="s">
        <v>2114</v>
      </c>
      <c r="L10" s="313" t="s">
        <v>701</v>
      </c>
      <c r="M10" s="1111" t="s">
        <v>3397</v>
      </c>
    </row>
    <row r="11" spans="1:37" ht="18" customHeight="1">
      <c r="A11" s="308"/>
      <c r="B11" s="1362" t="s">
        <v>679</v>
      </c>
      <c r="C11" s="954"/>
      <c r="D11" s="1363"/>
      <c r="E11" s="313" t="s">
        <v>702</v>
      </c>
      <c r="F11" s="314">
        <f ca="1">'数据-取费表'!B39</f>
        <v>1.4999999999999999E-2</v>
      </c>
      <c r="G11" s="1379"/>
      <c r="H11" s="1072"/>
      <c r="I11" s="1362" t="s">
        <v>679</v>
      </c>
      <c r="J11" s="954"/>
      <c r="K11" s="682"/>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100740</v>
      </c>
      <c r="D13" s="3445" t="s">
        <v>705</v>
      </c>
      <c r="E13" s="3445" t="s">
        <v>706</v>
      </c>
      <c r="F13" s="1077">
        <f ca="1">INDIRECT("'数据-取费表'!y"&amp;$G$1)</f>
        <v>0.98</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75671</v>
      </c>
      <c r="D14" s="3455" t="s">
        <v>708</v>
      </c>
      <c r="E14" s="3454"/>
      <c r="F14" s="319"/>
      <c r="G14" s="1379"/>
      <c r="H14" s="977" t="s">
        <v>398</v>
      </c>
      <c r="I14" s="302" t="s">
        <v>709</v>
      </c>
      <c r="J14" s="21">
        <f ca="1">C29</f>
        <v>102796</v>
      </c>
      <c r="K14" s="3447"/>
      <c r="L14" s="802"/>
      <c r="M14" s="803"/>
    </row>
    <row r="15" spans="1:37" s="1392" customFormat="1" ht="18" customHeight="1" thickBot="1">
      <c r="A15" s="977" t="s">
        <v>399</v>
      </c>
      <c r="B15" s="302" t="s">
        <v>710</v>
      </c>
      <c r="C15" s="21">
        <f ca="1">ROUND(C14*F15,0)</f>
        <v>3784</v>
      </c>
      <c r="D15" s="3446" t="s">
        <v>711</v>
      </c>
      <c r="E15" s="3446"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420</v>
      </c>
      <c r="K16" s="1082" t="s">
        <v>715</v>
      </c>
      <c r="L16" s="3457"/>
      <c r="M16" s="1067"/>
    </row>
    <row r="17" spans="1:37" s="1392" customFormat="1" ht="18" customHeight="1">
      <c r="A17" s="977" t="s">
        <v>681</v>
      </c>
      <c r="B17" s="302" t="s">
        <v>716</v>
      </c>
      <c r="C17" s="21">
        <f ca="1">ROUND(F17*(F43+INDIRECT("'数据-取费表'!S"&amp;$G$1))/10000,0)</f>
        <v>2703</v>
      </c>
      <c r="D17" s="302" t="s">
        <v>717</v>
      </c>
      <c r="E17" s="302" t="s">
        <v>718</v>
      </c>
      <c r="F17" s="23">
        <f>'数据-取费表'!B35</f>
        <v>200</v>
      </c>
      <c r="G17" s="1391"/>
      <c r="H17" s="977" t="s">
        <v>398</v>
      </c>
      <c r="I17" s="302" t="s">
        <v>719</v>
      </c>
      <c r="J17" s="2310">
        <f ca="1">ROUND(IF(AND(项目基本情况!B11="自然人",项目基本情况!B10="北京市"),J6*M17/(1+'数据-取费表'!C42),J18+J19+J20),2)</f>
        <v>8.7899999999999991</v>
      </c>
      <c r="K17" s="3455" t="s">
        <v>720</v>
      </c>
      <c r="L17" s="3456"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1513</v>
      </c>
      <c r="D18" s="302" t="s">
        <v>711</v>
      </c>
      <c r="E18" s="302" t="s">
        <v>712</v>
      </c>
      <c r="F18" s="322">
        <f>'数据-取费表'!B36</f>
        <v>0.02</v>
      </c>
      <c r="G18" s="1391"/>
      <c r="H18" s="977" t="s">
        <v>397</v>
      </c>
      <c r="I18" s="302" t="s">
        <v>723</v>
      </c>
      <c r="J18" s="21">
        <f ca="1">ROUND(J6*M18/(1+'数据-取费表'!C42),2)</f>
        <v>0</v>
      </c>
      <c r="K18" s="3456"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83671</v>
      </c>
      <c r="D19" s="131" t="s">
        <v>726</v>
      </c>
      <c r="E19" s="3461"/>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1673</v>
      </c>
      <c r="D20" s="2422" t="s">
        <v>729</v>
      </c>
      <c r="E20" s="302" t="s">
        <v>712</v>
      </c>
      <c r="F20" s="322">
        <f>'数据-取费表'!B37</f>
        <v>0.02</v>
      </c>
      <c r="G20" s="1391"/>
      <c r="H20" s="977" t="s">
        <v>680</v>
      </c>
      <c r="I20" s="155" t="s">
        <v>730</v>
      </c>
      <c r="J20" s="22">
        <f ca="1">ROUND(M20*M21/10000,2)</f>
        <v>8.7899999999999991</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2" t="s">
        <v>734</v>
      </c>
      <c r="E21" s="302" t="s">
        <v>735</v>
      </c>
      <c r="F21" s="322">
        <f>'数据-取费表'!B38</f>
        <v>0.02</v>
      </c>
      <c r="G21" s="1391"/>
      <c r="H21" s="326"/>
      <c r="I21" s="311"/>
      <c r="J21" s="26"/>
      <c r="K21" s="327"/>
      <c r="L21" s="302" t="s">
        <v>736</v>
      </c>
      <c r="M21" s="303">
        <f ca="1">INDIRECT("'数据-取费表'!r"&amp;$G$1)</f>
        <v>58598.03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61"/>
      <c r="F22" s="23"/>
      <c r="G22" s="1379"/>
      <c r="H22" s="977" t="s">
        <v>402</v>
      </c>
      <c r="I22" s="302" t="s">
        <v>738</v>
      </c>
      <c r="J22" s="21">
        <f ca="1">ROUND(J14*M22,2)</f>
        <v>411.18</v>
      </c>
      <c r="K22" s="3456" t="s">
        <v>739</v>
      </c>
      <c r="L22" s="302" t="s">
        <v>712</v>
      </c>
      <c r="M22" s="328">
        <f ca="1">INDIRECT("'数据-取费表'!Ak"&amp;$G$1)</f>
        <v>4.0000000000000001E-3</v>
      </c>
    </row>
    <row r="23" spans="1:37" s="1392" customFormat="1" ht="18" customHeight="1">
      <c r="A23" s="977" t="s">
        <v>397</v>
      </c>
      <c r="B23" s="302" t="s">
        <v>740</v>
      </c>
      <c r="C23" s="21">
        <f ca="1">IF('数据-取费表'!B22&lt;=1,ROUND(C19*F24*F23/2,0)+ROUND(C20*F24*F23/2,0),ROUND(C19*(POWER((1+F24),F23/2)-1),0)+ROUND(C20*(POWER((1+F24),F23/2)-1),0))</f>
        <v>2945</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f ca="1">ROUND(J13*M23,2)</f>
        <v>0</v>
      </c>
      <c r="K23" s="3456"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f ca="1">ROUND(J5*M24,2)</f>
        <v>0</v>
      </c>
      <c r="K24" s="1087" t="s">
        <v>748</v>
      </c>
      <c r="L24" s="1085" t="s">
        <v>744</v>
      </c>
      <c r="M24" s="1081">
        <f ca="1">INDIRECT("'数据-取费表'!Am"&amp;$G$1)</f>
        <v>4.0000000000000001E-3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61"/>
      <c r="F25" s="23"/>
      <c r="G25" s="1379"/>
      <c r="H25" s="1074" t="s">
        <v>394</v>
      </c>
      <c r="I25" s="1089" t="s">
        <v>752</v>
      </c>
      <c r="J25" s="310">
        <f ca="1">J5-J16</f>
        <v>-420</v>
      </c>
      <c r="K25" s="1090" t="s">
        <v>753</v>
      </c>
      <c r="L25" s="1091"/>
      <c r="M25" s="1092"/>
    </row>
    <row r="26" spans="1:37">
      <c r="A26" s="977" t="s">
        <v>397</v>
      </c>
      <c r="B26" s="302" t="s">
        <v>754</v>
      </c>
      <c r="C26" s="21">
        <f ca="1">ROUND((C19+C20)*F26,0)</f>
        <v>6828</v>
      </c>
      <c r="D26" s="2422" t="s">
        <v>755</v>
      </c>
      <c r="E26" s="313" t="s">
        <v>756</v>
      </c>
      <c r="F26" s="312">
        <f ca="1">INDIRECT("'数据-取费表'!q"&amp;$G$1)</f>
        <v>0.08</v>
      </c>
      <c r="G26" s="1379"/>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1.6000000000000001E-3</v>
      </c>
      <c r="D27" s="2422" t="s">
        <v>761</v>
      </c>
      <c r="E27" s="3446"/>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5.2400000000000002E-2</v>
      </c>
      <c r="D28" s="2422"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102796</v>
      </c>
      <c r="D29" s="1087"/>
      <c r="E29" s="1085"/>
      <c r="F29" s="1088"/>
      <c r="G29" s="1391"/>
      <c r="H29" s="334" t="s">
        <v>396</v>
      </c>
      <c r="I29" s="335" t="s">
        <v>768</v>
      </c>
      <c r="J29" s="336">
        <f ca="1">ROUND(J26/(1+F40)^F41,0)</f>
        <v>0</v>
      </c>
      <c r="K29" s="337" t="s">
        <v>769</v>
      </c>
      <c r="L29" s="338"/>
      <c r="M29" s="339">
        <f ca="1">INDIRECT("'数据-取费表'!k"&amp;$G$1)</f>
        <v>131681.74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2034</v>
      </c>
      <c r="D30" s="1082" t="s">
        <v>715</v>
      </c>
      <c r="E30" s="3457"/>
      <c r="F30" s="1067"/>
      <c r="G30" s="1379"/>
      <c r="H30" s="2690"/>
      <c r="I30" s="1393"/>
      <c r="J30" s="1394"/>
      <c r="K30" s="2469"/>
      <c r="L30" s="2691"/>
      <c r="M30" s="2692"/>
    </row>
    <row r="31" spans="1:37" ht="18" customHeight="1">
      <c r="A31" s="977" t="s">
        <v>398</v>
      </c>
      <c r="B31" s="302" t="s">
        <v>719</v>
      </c>
      <c r="C31" s="2310">
        <f ca="1">ROUND(IF(AND(项目基本情况!B11="自然人",项目基本情况!B10="北京市"),C6*F31/(1+'数据-取费表'!C42),C32+C33+C34),2)</f>
        <v>1486.29</v>
      </c>
      <c r="D31" s="3455" t="s">
        <v>720</v>
      </c>
      <c r="E31" s="3456" t="s">
        <v>770</v>
      </c>
      <c r="F31" s="2309" t="str">
        <f>IF(项目基本情况!B11="企业","——",IF(M47="住宅",IF(F6*F7*F8/12/(1+'数据-取费表'!F30)&gt;100000,4%,2.5%),IF(F6*F7*F8/12/(1+'数据-取费表'!F30)&gt;100000,12%,7%)))</f>
        <v>——</v>
      </c>
      <c r="G31" s="1379"/>
      <c r="H31" s="2801" t="s">
        <v>2308</v>
      </c>
      <c r="I31" s="1393"/>
      <c r="J31" s="1394"/>
      <c r="K31" s="2469"/>
      <c r="L31" s="2691"/>
      <c r="M31" s="2692"/>
    </row>
    <row r="32" spans="1:37" ht="18" customHeight="1">
      <c r="A32" s="977" t="s">
        <v>397</v>
      </c>
      <c r="B32" s="302" t="s">
        <v>723</v>
      </c>
      <c r="C32" s="21">
        <f ca="1">IF(项目基本情况!B11="自然人","——",ROUND(C6*F32/(1+'数据-取费表'!C42),2))</f>
        <v>464.36</v>
      </c>
      <c r="D32" s="3456" t="s">
        <v>724</v>
      </c>
      <c r="E32" s="302" t="s">
        <v>712</v>
      </c>
      <c r="F32" s="331">
        <f>'数据-取费表'!B41</f>
        <v>5.5000000000000007E-2</v>
      </c>
      <c r="G32" s="1379"/>
      <c r="H32" s="2690"/>
      <c r="I32" s="1393"/>
      <c r="J32" s="1394"/>
      <c r="K32" s="2469"/>
      <c r="L32" s="2691"/>
      <c r="M32" s="2692"/>
    </row>
    <row r="33" spans="1:18" ht="18" customHeight="1">
      <c r="A33" s="977" t="s">
        <v>399</v>
      </c>
      <c r="B33" s="302" t="s">
        <v>727</v>
      </c>
      <c r="C33" s="21">
        <f ca="1">IF(项目基本情况!B11="自然人","——",IF(D33="按租金收入计税",ROUND(C6*F33/(1+'数据-取费表'!C42),2),IF(D33="按房产原值计税",ROUND(C29*F33*0.7,2),INDIRECT("'数据-取费表'!Aj"&amp;$G$1))))</f>
        <v>1013.14</v>
      </c>
      <c r="D33" s="1365" t="s">
        <v>3336</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f ca="1">IF(项目基本情况!B11="自然人","——",ROUND(F34*F35/10000,2))</f>
        <v>8.7899999999999991</v>
      </c>
      <c r="D34" s="324" t="s">
        <v>731</v>
      </c>
      <c r="E34" s="302" t="s">
        <v>732</v>
      </c>
      <c r="F34" s="325">
        <f>'数据-取费表'!B52</f>
        <v>1.5</v>
      </c>
      <c r="G34" s="1379"/>
      <c r="H34" s="2690"/>
      <c r="I34" s="1393"/>
      <c r="J34" s="1394"/>
      <c r="K34" s="2695"/>
      <c r="L34" s="2696"/>
      <c r="M34" s="2696"/>
    </row>
    <row r="35" spans="1:18" ht="18" customHeight="1">
      <c r="A35" s="1098"/>
      <c r="B35" s="1096"/>
      <c r="C35" s="26"/>
      <c r="D35" s="327"/>
      <c r="E35" s="302" t="s">
        <v>736</v>
      </c>
      <c r="F35" s="303">
        <f ca="1">INDIRECT("'数据-取费表'!r"&amp;$G$1)</f>
        <v>58598.03</v>
      </c>
      <c r="G35" s="1379"/>
      <c r="H35" s="2690"/>
      <c r="I35" s="1393"/>
      <c r="J35" s="1394"/>
      <c r="K35" s="2694"/>
      <c r="L35" s="2693"/>
      <c r="M35" s="2693"/>
    </row>
    <row r="36" spans="1:18" ht="18" customHeight="1">
      <c r="A36" s="1097" t="s">
        <v>402</v>
      </c>
      <c r="B36" s="302" t="s">
        <v>738</v>
      </c>
      <c r="C36" s="21">
        <f ca="1">ROUND(C29*F36,2)</f>
        <v>411.18</v>
      </c>
      <c r="D36" s="3456" t="s">
        <v>771</v>
      </c>
      <c r="E36" s="302" t="s">
        <v>712</v>
      </c>
      <c r="F36" s="328">
        <f ca="1">INDIRECT("'数据-取费表'!Ak"&amp;$G$1)</f>
        <v>4.0000000000000001E-3</v>
      </c>
      <c r="G36" s="1379"/>
      <c r="H36" s="2693"/>
      <c r="I36" s="1393"/>
      <c r="J36" s="1394"/>
      <c r="K36" s="2538"/>
      <c r="L36" s="2693"/>
      <c r="M36" s="2693"/>
    </row>
    <row r="37" spans="1:18" ht="18" customHeight="1">
      <c r="A37" s="977" t="s">
        <v>437</v>
      </c>
      <c r="B37" s="302" t="s">
        <v>742</v>
      </c>
      <c r="C37" s="21">
        <f ca="1">ROUND(C13*F37,2)</f>
        <v>100.74</v>
      </c>
      <c r="D37" s="3456" t="s">
        <v>743</v>
      </c>
      <c r="E37" s="302" t="s">
        <v>744</v>
      </c>
      <c r="F37" s="330">
        <f ca="1">INDIRECT("'数据-取费表'!Al"&amp;$G$1)</f>
        <v>1E-3</v>
      </c>
      <c r="G37" s="1379"/>
      <c r="H37" s="2693"/>
      <c r="I37" s="1393"/>
      <c r="J37" s="1394"/>
      <c r="K37" s="2538"/>
      <c r="L37" s="2693"/>
      <c r="M37" s="2693"/>
    </row>
    <row r="38" spans="1:18" ht="18" customHeight="1" thickBot="1">
      <c r="A38" s="1084" t="s">
        <v>683</v>
      </c>
      <c r="B38" s="1085" t="s">
        <v>728</v>
      </c>
      <c r="C38" s="1086">
        <f ca="1">ROUND(C5*F38,2)</f>
        <v>35.5</v>
      </c>
      <c r="D38" s="1087" t="s">
        <v>748</v>
      </c>
      <c r="E38" s="1085" t="s">
        <v>744</v>
      </c>
      <c r="F38" s="1081">
        <f ca="1">INDIRECT("'数据-取费表'!Am"&amp;$G$1)</f>
        <v>4.0000000000000001E-3</v>
      </c>
      <c r="G38" s="1379"/>
      <c r="H38" s="2693"/>
      <c r="I38" s="1393"/>
      <c r="J38" s="1394"/>
      <c r="K38" s="2697"/>
      <c r="L38" s="2693"/>
      <c r="M38" s="2693"/>
    </row>
    <row r="39" spans="1:18" ht="24.6" customHeight="1" thickTop="1">
      <c r="A39" s="1074" t="s">
        <v>394</v>
      </c>
      <c r="B39" s="1089" t="s">
        <v>752</v>
      </c>
      <c r="C39" s="310">
        <f ca="1">C5-C30</f>
        <v>6842</v>
      </c>
      <c r="D39" s="1090" t="s">
        <v>753</v>
      </c>
      <c r="E39" s="1091"/>
      <c r="F39" s="1092"/>
      <c r="G39" s="1379"/>
      <c r="H39" s="2693"/>
      <c r="I39" s="1393"/>
      <c r="J39" s="1394"/>
      <c r="K39" s="2697"/>
      <c r="L39" s="2693"/>
      <c r="M39" s="2693"/>
    </row>
    <row r="40" spans="1:18" ht="18" customHeight="1">
      <c r="A40" s="299" t="s">
        <v>395</v>
      </c>
      <c r="B40" s="300" t="s">
        <v>774</v>
      </c>
      <c r="C40" s="301">
        <f ca="1">ROUND(C39*(1-((1+F42)/(1+F40))^F41)/(F40-F42),0)</f>
        <v>157278</v>
      </c>
      <c r="D40" s="324" t="s">
        <v>758</v>
      </c>
      <c r="E40" s="302" t="s">
        <v>759</v>
      </c>
      <c r="F40" s="312">
        <f ca="1">INDIRECT("'数据-取费表'!I"&amp;$G$1)</f>
        <v>0.05</v>
      </c>
      <c r="G40" s="1379"/>
      <c r="H40" s="1456">
        <f ca="1">C39/C6</f>
        <v>0.77179921037789057</v>
      </c>
      <c r="I40" s="1393"/>
      <c r="J40" s="1394"/>
      <c r="K40" s="2697"/>
      <c r="L40" s="1456"/>
      <c r="M40" s="1456"/>
    </row>
    <row r="41" spans="1:18" ht="18" customHeight="1">
      <c r="A41" s="304"/>
      <c r="B41" s="305"/>
      <c r="C41" s="306"/>
      <c r="D41" s="332" t="s">
        <v>775</v>
      </c>
      <c r="E41" s="302" t="s">
        <v>763</v>
      </c>
      <c r="F41" s="333">
        <f ca="1">IF(INDIRECT("'数据-取费表'!af"&amp;$G$1)=0,INDIRECT("'数据-取费表'!ae"&amp;$G$1),INDIRECT("'数据-取费表'!af"&amp;$G$1))</f>
        <v>40.36</v>
      </c>
      <c r="G41" s="1379"/>
      <c r="H41" s="1186"/>
      <c r="I41" s="1393"/>
      <c r="J41" s="1394"/>
      <c r="K41" s="2538"/>
      <c r="L41" s="1186"/>
      <c r="M41" s="1186"/>
    </row>
    <row r="42" spans="1:18" ht="18" customHeight="1">
      <c r="A42" s="308"/>
      <c r="B42" s="309"/>
      <c r="C42" s="310"/>
      <c r="D42" s="327"/>
      <c r="E42" s="302" t="s">
        <v>766</v>
      </c>
      <c r="F42" s="312">
        <f ca="1">INDIRECT("'数据-取费表'!v"&amp;$G$1)</f>
        <v>0.02</v>
      </c>
      <c r="G42" s="1379"/>
      <c r="H42" s="1186"/>
      <c r="I42" s="1393"/>
      <c r="J42" s="1394"/>
      <c r="K42" s="2538"/>
      <c r="L42" s="1186"/>
      <c r="M42" s="1186"/>
    </row>
    <row r="43" spans="1:18" ht="18" customHeight="1" thickBot="1">
      <c r="A43" s="334" t="s">
        <v>396</v>
      </c>
      <c r="B43" s="335" t="s">
        <v>776</v>
      </c>
      <c r="C43" s="336">
        <f ca="1">ROUND(C40*10000/F43,0)</f>
        <v>11944</v>
      </c>
      <c r="D43" s="337" t="s">
        <v>777</v>
      </c>
      <c r="E43" s="338" t="s">
        <v>778</v>
      </c>
      <c r="F43" s="339">
        <f ca="1">INDIRECT("'数据-取费表'!k"&amp;$G$1)</f>
        <v>131681.74</v>
      </c>
      <c r="G43" s="1379"/>
      <c r="H43" s="1186"/>
      <c r="I43" s="1186"/>
      <c r="J43" s="1186"/>
      <c r="K43" s="2538"/>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698" t="s">
        <v>808</v>
      </c>
      <c r="P45" s="1456"/>
      <c r="Q45" s="1456"/>
      <c r="R45" s="1456"/>
    </row>
    <row r="46" spans="1:18" s="1379" customFormat="1" ht="13.5" thickBot="1">
      <c r="A46" s="1399" t="s">
        <v>809</v>
      </c>
      <c r="C46" s="1400">
        <f ca="1">C68-C40</f>
        <v>-12574</v>
      </c>
      <c r="D46" s="1401" t="str">
        <f>C2</f>
        <v>万元</v>
      </c>
      <c r="E46" s="1395"/>
      <c r="F46" s="1395"/>
      <c r="I46" s="1402" t="s">
        <v>810</v>
      </c>
      <c r="J46" s="1403"/>
      <c r="K46" s="1404"/>
      <c r="L46" s="1405">
        <f ca="1">IF(M47="住宅",0,IF(L48&gt;J51,L60,J60))</f>
        <v>2220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3398</v>
      </c>
      <c r="K47" s="1411" t="s">
        <v>816</v>
      </c>
      <c r="L47" s="1412">
        <f ca="1">INDIRECT("'数据-取费表'!d"&amp;$G$1)</f>
        <v>50</v>
      </c>
      <c r="M47" s="1375" t="str">
        <f>IF(ISNUMBER(FIND("住宅",C1)),"住宅","非住宅")</f>
        <v>非住宅</v>
      </c>
      <c r="O47" s="1413" t="s">
        <v>403</v>
      </c>
      <c r="P47" s="1414" t="s">
        <v>817</v>
      </c>
      <c r="Q47" s="1415">
        <f ca="1">C40+J29</f>
        <v>157278</v>
      </c>
      <c r="R47" s="1415" t="s">
        <v>818</v>
      </c>
    </row>
    <row r="48" spans="1:18" s="1379" customFormat="1" ht="28.5" thickBot="1">
      <c r="A48" s="1105" t="s">
        <v>438</v>
      </c>
      <c r="B48" s="300" t="s">
        <v>692</v>
      </c>
      <c r="C48" s="3460">
        <f ca="1">C49+C53+C55</f>
        <v>8217</v>
      </c>
      <c r="D48" s="1107"/>
      <c r="E48" s="1108"/>
      <c r="F48" s="957"/>
      <c r="G48" s="720"/>
      <c r="H48" s="721"/>
      <c r="I48" s="1416" t="s">
        <v>819</v>
      </c>
      <c r="J48" s="1417" t="s">
        <v>3399</v>
      </c>
      <c r="K48" s="1418" t="s">
        <v>820</v>
      </c>
      <c r="L48" s="1419">
        <f ca="1">INDIRECT("'数据-取费表'!f"&amp;$G$1)</f>
        <v>40.36</v>
      </c>
      <c r="O48" s="1413" t="s">
        <v>404</v>
      </c>
      <c r="P48" s="1414" t="s">
        <v>821</v>
      </c>
      <c r="Q48" s="1415">
        <f ca="1">J60</f>
        <v>2220</v>
      </c>
      <c r="R48" s="1415" t="s">
        <v>822</v>
      </c>
    </row>
    <row r="49" spans="1:18" s="1379" customFormat="1" ht="13.5" thickBot="1">
      <c r="A49" s="970" t="s">
        <v>439</v>
      </c>
      <c r="B49" s="1366" t="s">
        <v>779</v>
      </c>
      <c r="C49" s="1109">
        <f ca="1">ROUND(F49*F51*F50*(1-F52)/10000,0)</f>
        <v>8207</v>
      </c>
      <c r="D49" s="1050" t="s">
        <v>2106</v>
      </c>
      <c r="E49" s="1367" t="s">
        <v>780</v>
      </c>
      <c r="F49" s="1055">
        <v>2.15</v>
      </c>
      <c r="G49" s="1420"/>
      <c r="H49" s="721"/>
      <c r="I49" s="1416" t="s">
        <v>823</v>
      </c>
      <c r="J49" s="1421">
        <v>2023</v>
      </c>
      <c r="K49" s="1418" t="s">
        <v>824</v>
      </c>
      <c r="L49" s="1422"/>
      <c r="O49" s="1423" t="s">
        <v>405</v>
      </c>
      <c r="P49" s="1414" t="s">
        <v>825</v>
      </c>
      <c r="Q49" s="1415">
        <f ca="1">C29</f>
        <v>102796</v>
      </c>
      <c r="R49" s="1415" t="s">
        <v>818</v>
      </c>
    </row>
    <row r="50" spans="1:18" s="1379" customFormat="1" ht="13.5" thickBot="1">
      <c r="A50" s="971"/>
      <c r="B50" s="974"/>
      <c r="C50" s="1113"/>
      <c r="D50" s="948"/>
      <c r="E50" s="1051" t="s">
        <v>697</v>
      </c>
      <c r="F50" s="1052">
        <f ca="1">F7</f>
        <v>116204.73999999999</v>
      </c>
      <c r="H50" s="721"/>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2"/>
      <c r="B51" s="974"/>
      <c r="C51" s="975"/>
      <c r="D51" s="948"/>
      <c r="E51" s="976" t="s">
        <v>698</v>
      </c>
      <c r="F51" s="303">
        <f ca="1">F8</f>
        <v>365</v>
      </c>
      <c r="I51" s="1427" t="s">
        <v>829</v>
      </c>
      <c r="J51" s="1428">
        <f>IF(J49="",J50,J49+J50-YEAR('数据-取费表'!B2))</f>
        <v>59</v>
      </c>
      <c r="K51" s="1429" t="s">
        <v>830</v>
      </c>
      <c r="L51" s="1430">
        <f ca="1">ROUND(-PV(INDIRECT("'数据-取费表'!h"&amp;$G$1),J51,(C39-C13*C76),0),0)</f>
        <v>-4315</v>
      </c>
      <c r="M51" s="1431"/>
      <c r="O51" s="1423" t="s">
        <v>407</v>
      </c>
      <c r="P51" s="1414" t="s">
        <v>831</v>
      </c>
      <c r="Q51" s="1426">
        <f>J52</f>
        <v>7.4999999999999997E-2</v>
      </c>
      <c r="R51" s="1415"/>
    </row>
    <row r="52" spans="1:18" s="1379" customFormat="1" ht="13.5" thickBot="1">
      <c r="A52" s="972"/>
      <c r="B52" s="974"/>
      <c r="C52" s="975"/>
      <c r="D52" s="948"/>
      <c r="E52" s="976" t="s">
        <v>699</v>
      </c>
      <c r="F52" s="1049">
        <v>0.1</v>
      </c>
      <c r="I52" s="1432" t="s">
        <v>832</v>
      </c>
      <c r="J52" s="1433">
        <v>7.4999999999999997E-2</v>
      </c>
      <c r="K52" s="1432" t="s">
        <v>833</v>
      </c>
      <c r="L52" s="1433"/>
      <c r="O52" s="1423" t="s">
        <v>408</v>
      </c>
      <c r="P52" s="1414" t="s">
        <v>834</v>
      </c>
      <c r="Q52" s="1415">
        <f ca="1">J53</f>
        <v>40.36</v>
      </c>
      <c r="R52" s="1415" t="s">
        <v>835</v>
      </c>
    </row>
    <row r="53" spans="1:18" s="1379" customFormat="1" ht="24.75" thickBot="1">
      <c r="A53" s="1147" t="s">
        <v>440</v>
      </c>
      <c r="B53" s="1368" t="s">
        <v>700</v>
      </c>
      <c r="C53" s="316">
        <f ca="1">ROUND(IF(F53="押一",C49/12*F11,IF(F53="押二",C49/12*2*F11,IF(F53="押三",C49/12*3*F11,C54*F11))),0)</f>
        <v>10</v>
      </c>
      <c r="D53" s="1361" t="s">
        <v>2114</v>
      </c>
      <c r="E53" s="313" t="s">
        <v>701</v>
      </c>
      <c r="F53" s="1111" t="s">
        <v>3397</v>
      </c>
      <c r="I53" s="1434" t="s">
        <v>836</v>
      </c>
      <c r="J53" s="2162">
        <f ca="1">IF(M47="住宅",IF(D1="——",MAX(J51,L48),MAX(J51,L48-'数据-取费表'!B24)),IF(D1="——",MIN(J51,L48),MIN(J51,L48-'数据-取费表'!B24)))</f>
        <v>40.36</v>
      </c>
      <c r="K53" s="3702" t="s">
        <v>837</v>
      </c>
      <c r="L53" s="3703"/>
      <c r="O53" s="1413" t="s">
        <v>409</v>
      </c>
      <c r="P53" s="1414" t="s">
        <v>838</v>
      </c>
      <c r="Q53" s="1415">
        <f ca="1">Q47+Q48</f>
        <v>159498</v>
      </c>
      <c r="R53" s="1415" t="s">
        <v>410</v>
      </c>
    </row>
    <row r="54" spans="1:18" s="1379" customFormat="1" ht="13.5" thickBot="1">
      <c r="A54" s="1148"/>
      <c r="B54" s="1362" t="s">
        <v>679</v>
      </c>
      <c r="C54" s="954"/>
      <c r="D54" s="1361"/>
      <c r="E54" s="344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449"/>
      <c r="F55" s="1435"/>
      <c r="I55" s="1438" t="s">
        <v>840</v>
      </c>
      <c r="J55" s="1439">
        <f ca="1">ROUND(IF(J47="钢混",J57/J50,1-(1-2%)*(J50-J57)/J50),3)</f>
        <v>0.311</v>
      </c>
      <c r="K55" s="1440" t="s">
        <v>841</v>
      </c>
      <c r="L55" s="1441"/>
      <c r="O55" s="1406" t="s">
        <v>811</v>
      </c>
      <c r="P55" s="1407" t="s">
        <v>812</v>
      </c>
      <c r="Q55" s="1408" t="s">
        <v>813</v>
      </c>
      <c r="R55" s="1408" t="s">
        <v>814</v>
      </c>
    </row>
    <row r="56" spans="1:18" s="1379" customFormat="1" ht="25.5" thickTop="1" thickBot="1">
      <c r="A56" s="952">
        <v>2</v>
      </c>
      <c r="B56" s="953" t="s">
        <v>704</v>
      </c>
      <c r="C56" s="232">
        <f ca="1">C13</f>
        <v>100740</v>
      </c>
      <c r="D56" s="1442"/>
      <c r="E56" s="1443"/>
      <c r="F56" s="1435"/>
      <c r="I56" s="1444" t="s">
        <v>842</v>
      </c>
      <c r="J56" s="1445" t="s">
        <v>3418</v>
      </c>
      <c r="K56" s="1416" t="s">
        <v>843</v>
      </c>
      <c r="L56" s="1419" t="str">
        <f ca="1">IF(L48&lt;J51,"——",L48-J53)</f>
        <v>——</v>
      </c>
      <c r="O56" s="1413" t="s">
        <v>403</v>
      </c>
      <c r="P56" s="1414" t="s">
        <v>817</v>
      </c>
      <c r="Q56" s="1415">
        <f ca="1">C40+J29</f>
        <v>157278</v>
      </c>
      <c r="R56" s="1415" t="s">
        <v>818</v>
      </c>
    </row>
    <row r="57" spans="1:18" s="1379" customFormat="1" ht="24.75" thickBot="1">
      <c r="A57" s="1446"/>
      <c r="B57" s="945" t="s">
        <v>767</v>
      </c>
      <c r="C57" s="238">
        <f ca="1">C29</f>
        <v>102796</v>
      </c>
      <c r="D57" s="1447"/>
      <c r="E57" s="1448"/>
      <c r="F57" s="1449"/>
      <c r="I57" s="1450" t="s">
        <v>844</v>
      </c>
      <c r="J57" s="1451">
        <f ca="1">IF(OR(M47="住宅",J51&lt;L48,J56="是"),"——",J51-L48)</f>
        <v>18.64</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1922</v>
      </c>
      <c r="D58" s="955" t="s">
        <v>715</v>
      </c>
      <c r="E58" s="956"/>
      <c r="F58" s="957"/>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0">
        <f ca="1">ROUND(IF(AND(项目基本情况!B11="自然人",项目基本情况!B10="北京市"),C49*F59/(1+'数据-取费表'!C42),C60+C61+C62),0)</f>
        <v>1377</v>
      </c>
      <c r="D59" s="958" t="s">
        <v>720</v>
      </c>
      <c r="E59" s="959" t="s">
        <v>721</v>
      </c>
      <c r="F59" s="2309" t="str">
        <f>IF(项目基本情况!B11="企业","——",IF('数据-取费表'!B10="住宅",IF(F49*F50*F51/12/(1+'数据-取费表'!F30)&gt;100000,4%,2.5%),IF(F49*F50*F51/12/(1+'数据-取费表'!F30)&gt;100000,12%,7%)))</f>
        <v>——</v>
      </c>
      <c r="I59" s="1450" t="s">
        <v>851</v>
      </c>
      <c r="J59" s="1451">
        <f ca="1">IF(OR(M47="住宅",J51&lt;L48,J56="是"),"——",ROUND(C29*J58,0))</f>
        <v>41118</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430.41</v>
      </c>
      <c r="D60" s="959" t="s">
        <v>724</v>
      </c>
      <c r="E60" s="945" t="s">
        <v>712</v>
      </c>
      <c r="F60" s="331">
        <f t="shared" ref="F60:F66" si="0">F32</f>
        <v>5.5000000000000007E-2</v>
      </c>
      <c r="I60" s="1453" t="s">
        <v>853</v>
      </c>
      <c r="J60" s="1454">
        <f ca="1">IF(OR(M47="住宅",J51&lt;L48,J56="是"),"0",ROUND(J59/(1+J52)^J53,0))</f>
        <v>2220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937.94</v>
      </c>
      <c r="D61" s="1365" t="s">
        <v>3336</v>
      </c>
      <c r="E61" s="945"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730</v>
      </c>
      <c r="C62" s="22">
        <f ca="1">IF(项目基本情况!B11="自然人","——",ROUND(F62*F63/10000,2))</f>
        <v>8.7899999999999991</v>
      </c>
      <c r="D62" s="960" t="s">
        <v>731</v>
      </c>
      <c r="E62" s="945" t="s">
        <v>732</v>
      </c>
      <c r="F62" s="325">
        <f t="shared" si="0"/>
        <v>1.5</v>
      </c>
      <c r="I62" s="1457" t="s">
        <v>858</v>
      </c>
      <c r="J62" s="1458" t="s">
        <v>859</v>
      </c>
      <c r="K62" s="1458" t="s">
        <v>860</v>
      </c>
      <c r="L62" s="1458" t="s">
        <v>861</v>
      </c>
      <c r="M62" s="1459" t="s">
        <v>862</v>
      </c>
      <c r="O62" s="1413" t="s">
        <v>409</v>
      </c>
      <c r="P62" s="1414" t="s">
        <v>838</v>
      </c>
      <c r="Q62" s="1415">
        <f ca="1">Q56+Q57</f>
        <v>157278</v>
      </c>
      <c r="R62" s="1415" t="s">
        <v>410</v>
      </c>
    </row>
    <row r="63" spans="1:18" s="1379" customFormat="1" ht="13.5" thickBot="1">
      <c r="A63" s="326"/>
      <c r="B63" s="951"/>
      <c r="C63" s="26"/>
      <c r="D63" s="961"/>
      <c r="E63" s="945" t="s">
        <v>736</v>
      </c>
      <c r="F63" s="303">
        <f t="shared" ca="1" si="0"/>
        <v>58598.03</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411.18</v>
      </c>
      <c r="D64" s="959" t="s">
        <v>771</v>
      </c>
      <c r="E64" s="945" t="s">
        <v>712</v>
      </c>
      <c r="F64" s="328">
        <f t="shared" ca="1" si="0"/>
        <v>4.0000000000000001E-3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100.74</v>
      </c>
      <c r="D65" s="959" t="s">
        <v>743</v>
      </c>
      <c r="E65" s="945" t="s">
        <v>744</v>
      </c>
      <c r="F65" s="330">
        <f t="shared" ca="1" si="0"/>
        <v>1E-3</v>
      </c>
      <c r="I65" s="1457" t="s">
        <v>867</v>
      </c>
      <c r="J65" s="1458">
        <v>40</v>
      </c>
      <c r="K65" s="1458">
        <v>30</v>
      </c>
      <c r="L65" s="1458">
        <v>50</v>
      </c>
      <c r="M65" s="1460">
        <v>0.02</v>
      </c>
      <c r="O65" s="1413" t="s">
        <v>403</v>
      </c>
      <c r="P65" s="1414" t="s">
        <v>868</v>
      </c>
      <c r="Q65" s="1415">
        <f ca="1">C40+J29</f>
        <v>157278</v>
      </c>
      <c r="R65" s="1415" t="s">
        <v>818</v>
      </c>
    </row>
    <row r="66" spans="1:18" s="1379" customFormat="1" ht="16.5" thickBot="1">
      <c r="A66" s="977" t="s">
        <v>793</v>
      </c>
      <c r="B66" s="945" t="s">
        <v>728</v>
      </c>
      <c r="C66" s="21">
        <f ca="1">ROUND(C48*F66,2)</f>
        <v>32.869999999999997</v>
      </c>
      <c r="D66" s="959" t="s">
        <v>748</v>
      </c>
      <c r="E66" s="945" t="s">
        <v>712</v>
      </c>
      <c r="F66" s="312">
        <f t="shared" ca="1" si="0"/>
        <v>4.0000000000000001E-3</v>
      </c>
      <c r="O66" s="1413" t="s">
        <v>404</v>
      </c>
      <c r="P66" s="1414" t="s">
        <v>846</v>
      </c>
      <c r="Q66" s="1415">
        <f ca="1">L60</f>
        <v>0</v>
      </c>
      <c r="R66" s="1415" t="s">
        <v>869</v>
      </c>
    </row>
    <row r="67" spans="1:18" s="1379" customFormat="1" ht="16.5" thickBot="1">
      <c r="A67" s="952" t="s">
        <v>394</v>
      </c>
      <c r="B67" s="962" t="s">
        <v>752</v>
      </c>
      <c r="C67" s="316">
        <f ca="1">C48-C58</f>
        <v>6295</v>
      </c>
      <c r="D67" s="958" t="s">
        <v>753</v>
      </c>
      <c r="E67" s="963"/>
      <c r="F67" s="964"/>
      <c r="O67" s="1423" t="s">
        <v>405</v>
      </c>
      <c r="P67" s="1414" t="s">
        <v>850</v>
      </c>
      <c r="Q67" s="1461">
        <f ca="1">L51</f>
        <v>-4315</v>
      </c>
      <c r="R67" s="1415" t="s">
        <v>870</v>
      </c>
    </row>
    <row r="68" spans="1:18" s="1379" customFormat="1" ht="16.5" thickBot="1">
      <c r="A68" s="942" t="s">
        <v>395</v>
      </c>
      <c r="B68" s="943" t="s">
        <v>774</v>
      </c>
      <c r="C68" s="301">
        <f ca="1">ROUND(C67*(1-((1+F70)/(1+F68))^F69)/(F68-F70),0)</f>
        <v>144704</v>
      </c>
      <c r="D68" s="960" t="s">
        <v>758</v>
      </c>
      <c r="E68" s="945" t="s">
        <v>759</v>
      </c>
      <c r="F68" s="312">
        <f ca="1">F40</f>
        <v>0.05</v>
      </c>
      <c r="O68" s="1423" t="s">
        <v>406</v>
      </c>
      <c r="P68" s="1462" t="s">
        <v>871</v>
      </c>
      <c r="Q68" s="1415">
        <f ca="1">ROUND(Q69-Q70*Q71,0)</f>
        <v>-210</v>
      </c>
      <c r="R68" s="1415" t="s">
        <v>414</v>
      </c>
    </row>
    <row r="69" spans="1:18" s="1379" customFormat="1" ht="13.5" thickBot="1">
      <c r="A69" s="946"/>
      <c r="B69" s="947"/>
      <c r="C69" s="306"/>
      <c r="D69" s="965" t="s">
        <v>762</v>
      </c>
      <c r="E69" s="945" t="s">
        <v>763</v>
      </c>
      <c r="F69" s="333">
        <f ca="1">F41</f>
        <v>40.36</v>
      </c>
      <c r="O69" s="1423" t="s">
        <v>411</v>
      </c>
      <c r="P69" s="1462" t="s">
        <v>872</v>
      </c>
      <c r="Q69" s="1415">
        <f ca="1">C39</f>
        <v>6842</v>
      </c>
      <c r="R69" s="1415" t="s">
        <v>818</v>
      </c>
    </row>
    <row r="70" spans="1:18" s="1379" customFormat="1" ht="13.5" thickBot="1">
      <c r="A70" s="949"/>
      <c r="B70" s="950"/>
      <c r="C70" s="310"/>
      <c r="D70" s="961"/>
      <c r="E70" s="945" t="s">
        <v>766</v>
      </c>
      <c r="F70" s="1049">
        <v>0.02</v>
      </c>
      <c r="O70" s="1423" t="s">
        <v>412</v>
      </c>
      <c r="P70" s="1462" t="s">
        <v>873</v>
      </c>
      <c r="Q70" s="1415">
        <f ca="1">C13</f>
        <v>100740</v>
      </c>
      <c r="R70" s="1415" t="s">
        <v>818</v>
      </c>
    </row>
    <row r="71" spans="1:18" s="1379" customFormat="1" ht="13.5" thickBot="1">
      <c r="A71" s="966" t="s">
        <v>396</v>
      </c>
      <c r="B71" s="967" t="s">
        <v>776</v>
      </c>
      <c r="C71" s="336">
        <f ca="1">ROUND(C68*10000/F71,0)</f>
        <v>10989</v>
      </c>
      <c r="D71" s="968" t="s">
        <v>777</v>
      </c>
      <c r="E71" s="969" t="s">
        <v>778</v>
      </c>
      <c r="F71" s="339">
        <f ca="1">F43</f>
        <v>131681.74</v>
      </c>
      <c r="O71" s="1423" t="s">
        <v>413</v>
      </c>
      <c r="P71" s="1462" t="s">
        <v>874</v>
      </c>
      <c r="Q71" s="1426">
        <f ca="1">C76</f>
        <v>7.0000000000000007E-2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7052</v>
      </c>
      <c r="D75" s="1379"/>
      <c r="E75" s="1379"/>
      <c r="F75" s="1379"/>
      <c r="K75" s="1397"/>
      <c r="L75" s="1379"/>
      <c r="O75" s="1413" t="s">
        <v>409</v>
      </c>
      <c r="P75" s="1414" t="s">
        <v>838</v>
      </c>
      <c r="Q75" s="1415">
        <f ca="1">Q65+Q66</f>
        <v>157278</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-3.0999999999999917E-2</v>
      </c>
    </row>
    <row r="80" spans="1:18">
      <c r="B80" s="340" t="s">
        <v>800</v>
      </c>
      <c r="C80" s="274">
        <f ca="1">ROUND(C75/C39,3)</f>
        <v>1.0309999999999999</v>
      </c>
    </row>
    <row r="81" spans="2:3">
      <c r="B81" s="270" t="s">
        <v>801</v>
      </c>
      <c r="C81" s="238"/>
    </row>
    <row r="82" spans="2:3">
      <c r="B82" s="273" t="s">
        <v>802</v>
      </c>
      <c r="C82" s="275">
        <f ca="1">1-C83</f>
        <v>0.35899999999999999</v>
      </c>
    </row>
    <row r="83" spans="2:3">
      <c r="B83" s="273" t="s">
        <v>803</v>
      </c>
      <c r="C83" s="274">
        <f ca="1">ROUND(C13/C40,3)</f>
        <v>0.64100000000000001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1"/>
      <c r="C1" s="1374" t="s">
        <v>21</v>
      </c>
      <c r="D1" s="1357" t="s">
        <v>43</v>
      </c>
      <c r="E1" s="1358" t="s">
        <v>678</v>
      </c>
      <c r="F1" s="1057" t="e">
        <f ca="1">J53</f>
        <v>#N/A</v>
      </c>
      <c r="G1" s="1373"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#N/A</v>
      </c>
      <c r="C2" s="1382" t="s">
        <v>805</v>
      </c>
      <c r="D2" s="1382"/>
      <c r="E2" s="1383"/>
      <c r="F2" s="1384"/>
      <c r="G2" s="2699"/>
      <c r="H2" s="2688"/>
      <c r="I2" s="2688"/>
      <c r="J2" s="2688"/>
      <c r="K2" s="2689"/>
      <c r="L2" s="2688"/>
      <c r="M2" s="2688"/>
    </row>
    <row r="3" spans="1:37" ht="18" customHeight="1" thickBot="1">
      <c r="A3" s="1385" t="s">
        <v>806</v>
      </c>
      <c r="B3" s="1386">
        <f ca="1">IF(ISERROR(B2*10000/F43),0,ROUND(B2*10000/F43,0))</f>
        <v>0</v>
      </c>
      <c r="C3" s="1382" t="s">
        <v>807</v>
      </c>
      <c r="D3" s="1382"/>
      <c r="E3" s="1383"/>
      <c r="F3" s="1384"/>
      <c r="G3" s="2699"/>
      <c r="H3" s="681"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c r="P5" s="1379" t="e">
        <f ca="1">C6+'收益法-工业'!C6</f>
        <v>#N/A</v>
      </c>
    </row>
    <row r="6" spans="1:37" ht="18" customHeight="1">
      <c r="A6" s="1064" t="s">
        <v>398</v>
      </c>
      <c r="B6" s="3699" t="s">
        <v>694</v>
      </c>
      <c r="C6" s="1069" t="e">
        <f ca="1">ROUND(F6*F8*F7*(1-F9)/10000,0)</f>
        <v>#N/A</v>
      </c>
      <c r="D6" s="155" t="s">
        <v>2107</v>
      </c>
      <c r="E6" s="302" t="s">
        <v>696</v>
      </c>
      <c r="F6" s="303" t="e">
        <f ca="1">INDIRECT("'数据-取费表'!u"&amp;$G$1)</f>
        <v>#N/A</v>
      </c>
      <c r="G6" s="1379"/>
      <c r="H6" s="1064" t="s">
        <v>398</v>
      </c>
      <c r="I6" s="3699" t="s">
        <v>694</v>
      </c>
      <c r="J6" s="301" t="e">
        <f ca="1">ROUND(M6*M8*M7*(1-M9)/10000,0)</f>
        <v>#N/A</v>
      </c>
      <c r="K6" s="155" t="s">
        <v>2106</v>
      </c>
      <c r="L6" s="302" t="s">
        <v>696</v>
      </c>
      <c r="M6" s="303" t="e">
        <f ca="1">INDIRECT("'数据-取费表'!z"&amp;$G$1)</f>
        <v>#N/A</v>
      </c>
    </row>
    <row r="7" spans="1:37" ht="18" customHeight="1">
      <c r="A7" s="1068"/>
      <c r="B7" s="3700"/>
      <c r="C7" s="1070"/>
      <c r="D7" s="307"/>
      <c r="E7" s="1071" t="s">
        <v>697</v>
      </c>
      <c r="F7" s="303" t="e">
        <f ca="1">IF(INDIRECT("'数据-取费表'!ah"&amp;$G$1)="",INDIRECT("'数据-取费表'!k"&amp;$G$1),INDIRECT("'数据-取费表'!ah"&amp;$G$1))</f>
        <v>#N/A</v>
      </c>
      <c r="G7" s="1379"/>
      <c r="H7" s="304"/>
      <c r="I7" s="3700"/>
      <c r="J7" s="306"/>
      <c r="K7" s="307"/>
      <c r="L7" s="302" t="s">
        <v>697</v>
      </c>
      <c r="M7" s="303" t="e">
        <f ca="1">F7</f>
        <v>#N/A</v>
      </c>
    </row>
    <row r="8" spans="1:37" ht="18" customHeight="1">
      <c r="A8" s="304"/>
      <c r="B8" s="3700"/>
      <c r="C8" s="306"/>
      <c r="D8" s="307"/>
      <c r="E8" s="302" t="s">
        <v>698</v>
      </c>
      <c r="F8" s="303" t="e">
        <f ca="1">INDIRECT("'数据-取费表'!ai"&amp;$G$1)</f>
        <v>#N/A</v>
      </c>
      <c r="G8" s="1379"/>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79"/>
      <c r="H9" s="304"/>
      <c r="I9" s="3701"/>
      <c r="J9" s="306"/>
      <c r="K9" s="307"/>
      <c r="L9" s="313" t="s">
        <v>699</v>
      </c>
      <c r="M9" s="314" t="e">
        <f ca="1">INDIRECT("'数据-取费表'!ab"&amp;$G$1)</f>
        <v>#N/A</v>
      </c>
    </row>
    <row r="10" spans="1:37" ht="18" customHeight="1">
      <c r="A10" s="1064" t="s">
        <v>402</v>
      </c>
      <c r="B10" s="1360" t="s">
        <v>700</v>
      </c>
      <c r="C10" s="316" t="e">
        <f ca="1">ROUND(IF(F10="押一",C6/12*F11,IF(F10="押二",C6/12*2*F11,IF(F10="押三",C6/12*3*F11,C11*F11))),0)</f>
        <v>#N/A</v>
      </c>
      <c r="D10" s="1361" t="s">
        <v>2115</v>
      </c>
      <c r="E10" s="313" t="s">
        <v>701</v>
      </c>
      <c r="F10" s="1111" t="s">
        <v>3397</v>
      </c>
      <c r="G10" s="1379"/>
      <c r="H10" s="1064" t="s">
        <v>402</v>
      </c>
      <c r="I10" s="1360" t="s">
        <v>700</v>
      </c>
      <c r="J10" s="301">
        <f ca="1">ROUND(IF(M10="押一",J6/12*M11,IF(M10="押二",J6/12*2*M11,IF(M10="押三",J6/12*3*M11,J11*M11))),0)</f>
        <v>0</v>
      </c>
      <c r="K10" s="1361" t="s">
        <v>2114</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2"/>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1076" t="s">
        <v>705</v>
      </c>
      <c r="E13" s="1076"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1340" t="s">
        <v>708</v>
      </c>
      <c r="E14" s="1337"/>
      <c r="F14" s="319"/>
      <c r="G14" s="1379"/>
      <c r="H14" s="977" t="s">
        <v>398</v>
      </c>
      <c r="I14" s="302" t="s">
        <v>709</v>
      </c>
      <c r="J14" s="21" t="e">
        <f ca="1">C29</f>
        <v>#N/A</v>
      </c>
      <c r="K14" s="12"/>
      <c r="L14" s="802"/>
      <c r="M14" s="803"/>
    </row>
    <row r="15" spans="1:37" s="1392" customFormat="1" ht="18" customHeight="1" thickBot="1">
      <c r="A15" s="977" t="s">
        <v>399</v>
      </c>
      <c r="B15" s="302" t="s">
        <v>710</v>
      </c>
      <c r="C15" s="21" t="e">
        <f ca="1">ROUND(C14*F15,0)</f>
        <v>#N/A</v>
      </c>
      <c r="D15" s="320" t="s">
        <v>711</v>
      </c>
      <c r="E15" s="320"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1083"/>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0" t="e">
        <f ca="1">ROUND(IF(AND(项目基本情况!B11="自然人",项目基本情况!B10="北京市"),J6*M17/(1+'数据-取费表'!C42),J18+J19+J20),2)</f>
        <v>#N/A</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1355"/>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323" t="s">
        <v>729</v>
      </c>
      <c r="E20" s="302" t="s">
        <v>712</v>
      </c>
      <c r="F20" s="322">
        <f>'数据-取费表'!B37</f>
        <v>0.02</v>
      </c>
      <c r="G20" s="1391"/>
      <c r="H20" s="977" t="s">
        <v>680</v>
      </c>
      <c r="I20" s="155" t="s">
        <v>730</v>
      </c>
      <c r="J20" s="22" t="e">
        <f ca="1">ROUND(M20*M21/10000,2)</f>
        <v>#N/A</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t="e">
        <f ca="1">ROUND(J14*M22,2)</f>
        <v>#N/A</v>
      </c>
      <c r="K22" s="1339"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t="e">
        <f ca="1">ROUND(J13*M23,2)</f>
        <v>#N/A</v>
      </c>
      <c r="K23" s="1339"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t="e">
        <f ca="1">J5-J16</f>
        <v>#N/A</v>
      </c>
      <c r="K25" s="1090" t="s">
        <v>753</v>
      </c>
      <c r="L25" s="1091"/>
      <c r="M25" s="1092"/>
    </row>
    <row r="26" spans="1:37">
      <c r="A26" s="977" t="s">
        <v>397</v>
      </c>
      <c r="B26" s="302" t="s">
        <v>754</v>
      </c>
      <c r="C26" s="21" t="e">
        <f ca="1">ROUND((C19+C20)*F26,0)</f>
        <v>#N/A</v>
      </c>
      <c r="D26" s="3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323" t="s">
        <v>761</v>
      </c>
      <c r="E27" s="320"/>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1083"/>
      <c r="F30" s="1067"/>
      <c r="G30" s="1379"/>
      <c r="H30" s="2690"/>
      <c r="I30" s="1393"/>
      <c r="J30" s="1394"/>
      <c r="K30" s="2469"/>
      <c r="L30" s="2691"/>
      <c r="M30" s="2692"/>
    </row>
    <row r="31" spans="1:37" ht="18" customHeight="1">
      <c r="A31" s="977" t="s">
        <v>398</v>
      </c>
      <c r="B31" s="302" t="s">
        <v>719</v>
      </c>
      <c r="C31" s="2310" t="e">
        <f ca="1">ROUND(IF(AND(项目基本情况!B11="自然人",项目基本情况!B10="北京市"),C6*F31/(1+'数据-取费表'!C42),C32+C33+C34),2)</f>
        <v>#N/A</v>
      </c>
      <c r="D31" s="1340" t="s">
        <v>720</v>
      </c>
      <c r="E31" s="1339" t="s">
        <v>770</v>
      </c>
      <c r="F31" s="2309" t="str">
        <f>IF(项目基本情况!B11="企业","——",IF(M47="住宅",IF(F6*F7*F8/12/(1+'数据-取费表'!F30)&gt;100000,4%,2.5%),IF(F6*F7*F8/12/(1+'数据-取费表'!F30)&gt;100000,12%,7%)))</f>
        <v>——</v>
      </c>
      <c r="G31" s="1379"/>
      <c r="H31" s="2801" t="s">
        <v>2308</v>
      </c>
      <c r="I31" s="1393"/>
      <c r="J31" s="1394"/>
      <c r="K31" s="2469"/>
      <c r="L31" s="2691"/>
      <c r="M31" s="2692"/>
    </row>
    <row r="32" spans="1:37" ht="18" customHeight="1">
      <c r="A32" s="977" t="s">
        <v>397</v>
      </c>
      <c r="B32" s="302" t="s">
        <v>723</v>
      </c>
      <c r="C32" s="21" t="e">
        <f ca="1">IF(项目基本情况!B11="自然人","——",ROUND(C6*F32/(1+'数据-取费表'!C42),2))</f>
        <v>#N/A</v>
      </c>
      <c r="D32" s="1339" t="s">
        <v>724</v>
      </c>
      <c r="E32" s="302" t="s">
        <v>712</v>
      </c>
      <c r="F32" s="331">
        <f>'数据-取费表'!B41</f>
        <v>5.5000000000000007E-2</v>
      </c>
      <c r="G32" s="1379"/>
      <c r="H32" s="2690"/>
      <c r="I32" s="1393"/>
      <c r="J32" s="1394"/>
      <c r="K32" s="2469"/>
      <c r="L32" s="2691"/>
      <c r="M32" s="2692"/>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t="e">
        <f ca="1">IF(项目基本情况!B11="自然人","——",ROUND(F34*F35/10000,2))</f>
        <v>#N/A</v>
      </c>
      <c r="D34" s="324" t="s">
        <v>731</v>
      </c>
      <c r="E34" s="302" t="s">
        <v>732</v>
      </c>
      <c r="F34" s="325">
        <f>'数据-取费表'!B52</f>
        <v>1.5</v>
      </c>
      <c r="G34" s="1379"/>
      <c r="H34" s="2690"/>
      <c r="I34" s="1393"/>
      <c r="J34" s="1394"/>
      <c r="K34" s="2695"/>
      <c r="L34" s="2696"/>
      <c r="M34" s="2696"/>
    </row>
    <row r="35" spans="1:18" ht="18" customHeight="1">
      <c r="A35" s="1098"/>
      <c r="B35" s="1096"/>
      <c r="C35" s="26"/>
      <c r="D35" s="327"/>
      <c r="E35" s="302" t="s">
        <v>736</v>
      </c>
      <c r="F35" s="303" t="e">
        <f ca="1">INDIRECT("'数据-取费表'!r"&amp;$G$1)</f>
        <v>#N/A</v>
      </c>
      <c r="G35" s="1379"/>
      <c r="H35" s="2690"/>
      <c r="I35" s="1393"/>
      <c r="J35" s="1394"/>
      <c r="K35" s="2694"/>
      <c r="L35" s="2693"/>
      <c r="M35" s="2693"/>
    </row>
    <row r="36" spans="1:18" ht="18" customHeight="1">
      <c r="A36" s="1097" t="s">
        <v>402</v>
      </c>
      <c r="B36" s="302" t="s">
        <v>738</v>
      </c>
      <c r="C36" s="21" t="e">
        <f ca="1">ROUND(C29*F36,2)</f>
        <v>#N/A</v>
      </c>
      <c r="D36" s="1339" t="s">
        <v>771</v>
      </c>
      <c r="E36" s="302" t="s">
        <v>712</v>
      </c>
      <c r="F36" s="328" t="e">
        <f ca="1">INDIRECT("'数据-取费表'!Ak"&amp;$G$1)</f>
        <v>#N/A</v>
      </c>
      <c r="G36" s="1379"/>
      <c r="H36" s="2693"/>
      <c r="I36" s="1393" t="e">
        <f ca="1">C6+'收益法-工业'!C6+'收益法-车库'!C6</f>
        <v>#N/A</v>
      </c>
      <c r="J36" s="1394"/>
      <c r="K36" s="2538"/>
      <c r="L36" s="2693"/>
      <c r="M36" s="2693"/>
    </row>
    <row r="37" spans="1:18" ht="18" customHeight="1">
      <c r="A37" s="977" t="s">
        <v>437</v>
      </c>
      <c r="B37" s="302" t="s">
        <v>742</v>
      </c>
      <c r="C37" s="21" t="e">
        <f ca="1">ROUND(C13*F37,2)</f>
        <v>#N/A</v>
      </c>
      <c r="D37" s="1339" t="s">
        <v>743</v>
      </c>
      <c r="E37" s="302" t="s">
        <v>744</v>
      </c>
      <c r="F37" s="330" t="e">
        <f ca="1">INDIRECT("'数据-取费表'!Al"&amp;$G$1)</f>
        <v>#N/A</v>
      </c>
      <c r="G37" s="1379"/>
      <c r="H37" s="2693"/>
      <c r="I37" s="1393"/>
      <c r="J37" s="1394"/>
      <c r="K37" s="2538"/>
      <c r="L37" s="2693"/>
      <c r="M37" s="2693"/>
    </row>
    <row r="38" spans="1:18" ht="18" customHeight="1" thickBot="1">
      <c r="A38" s="1084" t="s">
        <v>684</v>
      </c>
      <c r="B38" s="1085" t="s">
        <v>728</v>
      </c>
      <c r="C38" s="1086" t="e">
        <f ca="1">ROUND(C5*F38,2)</f>
        <v>#N/A</v>
      </c>
      <c r="D38" s="1087" t="s">
        <v>748</v>
      </c>
      <c r="E38" s="1085" t="s">
        <v>744</v>
      </c>
      <c r="F38" s="1081" t="e">
        <f ca="1">INDIRECT("'数据-取费表'!Am"&amp;$G$1)</f>
        <v>#N/A</v>
      </c>
      <c r="G38" s="1379"/>
      <c r="H38" s="2693"/>
      <c r="I38" s="1393"/>
      <c r="J38" s="1394"/>
      <c r="K38" s="2697"/>
      <c r="L38" s="2693"/>
      <c r="M38" s="2693"/>
    </row>
    <row r="39" spans="1:18" ht="24.6" customHeight="1" thickTop="1">
      <c r="A39" s="1074" t="s">
        <v>394</v>
      </c>
      <c r="B39" s="1089" t="s">
        <v>772</v>
      </c>
      <c r="C39" s="310" t="e">
        <f ca="1">C5-C30</f>
        <v>#N/A</v>
      </c>
      <c r="D39" s="1090" t="s">
        <v>773</v>
      </c>
      <c r="E39" s="1091"/>
      <c r="F39" s="1092"/>
      <c r="G39" s="1379"/>
      <c r="H39" s="2693"/>
      <c r="I39" s="1393" t="e">
        <f ca="1">C39/C6</f>
        <v>#N/A</v>
      </c>
      <c r="J39" s="1394"/>
      <c r="K39" s="2697"/>
      <c r="L39" s="2693"/>
      <c r="M39" s="2693"/>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7"/>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8"/>
      <c r="L41" s="1186"/>
      <c r="M41" s="1186"/>
    </row>
    <row r="42" spans="1:18" ht="18" customHeight="1">
      <c r="A42" s="308"/>
      <c r="B42" s="309"/>
      <c r="C42" s="310"/>
      <c r="D42" s="327"/>
      <c r="E42" s="302" t="s">
        <v>766</v>
      </c>
      <c r="F42" s="312" t="e">
        <f ca="1">INDIRECT("'数据-取费表'!v"&amp;$G$1)</f>
        <v>#N/A</v>
      </c>
      <c r="G42" s="1379"/>
      <c r="H42" s="1186"/>
      <c r="I42" s="1393"/>
      <c r="J42" s="1394"/>
      <c r="K42" s="2538"/>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8"/>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698"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3398</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1354" t="e">
        <f ca="1">C49+C53+C55</f>
        <v>#N/A</v>
      </c>
      <c r="D48" s="1107"/>
      <c r="E48" s="1108"/>
      <c r="F48" s="957"/>
      <c r="G48" s="720"/>
      <c r="H48" s="721"/>
      <c r="I48" s="1416" t="s">
        <v>819</v>
      </c>
      <c r="J48" s="1417" t="s">
        <v>3399</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1"/>
      <c r="I49" s="1416" t="s">
        <v>823</v>
      </c>
      <c r="J49" s="1421">
        <v>2004</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1"/>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40</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2114</v>
      </c>
      <c r="E53" s="313" t="s">
        <v>701</v>
      </c>
      <c r="F53" s="1111"/>
      <c r="I53" s="1434" t="s">
        <v>836</v>
      </c>
      <c r="J53" s="2162" t="e">
        <f ca="1">IF(M47="住宅",IF(D1="——",MAX(J51,L48),MAX(J51,L48-'数据-取费表'!B24)),IF(D1="——",MIN(J51,L48),MIN(J51,L48-'数据-取费表'!B24)))</f>
        <v>#N/A</v>
      </c>
      <c r="K53" s="3702" t="s">
        <v>837</v>
      </c>
      <c r="L53" s="3703"/>
      <c r="O53" s="1413" t="s">
        <v>409</v>
      </c>
      <c r="P53" s="1414" t="s">
        <v>838</v>
      </c>
      <c r="Q53" s="1415" t="e">
        <f ca="1">Q47+Q48</f>
        <v>#N/A</v>
      </c>
      <c r="R53" s="1415" t="s">
        <v>410</v>
      </c>
    </row>
    <row r="54" spans="1:18" s="1379" customFormat="1" ht="13.5" thickBot="1">
      <c r="A54" s="1148"/>
      <c r="B54" s="1362" t="s">
        <v>679</v>
      </c>
      <c r="C54" s="954"/>
      <c r="D54" s="1361"/>
      <c r="E54" s="136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3418</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0" t="e">
        <f ca="1">ROUND(IF(AND(项目基本情况!B11="自然人",项目基本情况!B10="北京市"),C49*F59/(1+'数据-取费表'!C42),C60+C61+C62),0)</f>
        <v>#N/A</v>
      </c>
      <c r="D59" s="958" t="s">
        <v>720</v>
      </c>
      <c r="E59" s="959"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5.5000000000000007E-2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IF(项目基本情况!B11="自然人","——",ROUND(F62*F63/10000,2))</f>
        <v>#N/A</v>
      </c>
      <c r="D62" s="960" t="s">
        <v>786</v>
      </c>
      <c r="E62" s="945" t="s">
        <v>787</v>
      </c>
      <c r="F62" s="325">
        <f t="shared" si="0"/>
        <v>1.5</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1"/>
      <c r="C1" s="1374" t="s">
        <v>673</v>
      </c>
      <c r="D1" s="1357" t="s">
        <v>43</v>
      </c>
      <c r="E1" s="1358" t="s">
        <v>678</v>
      </c>
      <c r="F1" s="1057" t="e">
        <f ca="1">J53</f>
        <v>#N/A</v>
      </c>
      <c r="G1" s="1373"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418" t="e">
        <f ca="1">ROUND(D2/10000,4)</f>
        <v>#N/A</v>
      </c>
      <c r="C2" s="1382" t="s">
        <v>879</v>
      </c>
      <c r="D2" s="1466" t="e">
        <f ca="1">C40+J29+L46</f>
        <v>#N/A</v>
      </c>
      <c r="E2" s="1383" t="s">
        <v>880</v>
      </c>
      <c r="F2" s="1384"/>
      <c r="G2" s="2699"/>
      <c r="H2" s="2688"/>
      <c r="I2" s="2688"/>
      <c r="J2" s="2688"/>
      <c r="K2" s="2689"/>
      <c r="L2" s="2688"/>
      <c r="M2" s="2688"/>
    </row>
    <row r="3" spans="1:37" ht="18" customHeight="1" thickBot="1">
      <c r="A3" s="1385" t="s">
        <v>881</v>
      </c>
      <c r="B3" s="1386">
        <f ca="1">IF(ISERROR(D2/F43),0,ROUND(D2/F43,0))</f>
        <v>0</v>
      </c>
      <c r="C3" s="1382" t="s">
        <v>882</v>
      </c>
      <c r="D3" s="1382"/>
      <c r="E3" s="1383"/>
      <c r="F3" s="1384"/>
      <c r="G3" s="2699"/>
      <c r="H3" s="681"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t="e">
        <f ca="1">C6+C10+C12</f>
        <v>#N/A</v>
      </c>
      <c r="D5" s="1359" t="s">
        <v>889</v>
      </c>
      <c r="E5" s="1066"/>
      <c r="F5" s="1067"/>
      <c r="G5" s="1379"/>
      <c r="H5" s="299">
        <v>1</v>
      </c>
      <c r="I5" s="300" t="s">
        <v>888</v>
      </c>
      <c r="J5" s="1065" t="e">
        <f ca="1">J6+J10+J12</f>
        <v>#N/A</v>
      </c>
      <c r="K5" s="1359" t="s">
        <v>889</v>
      </c>
      <c r="L5" s="1066"/>
      <c r="M5" s="1067"/>
    </row>
    <row r="6" spans="1:37" ht="18" customHeight="1">
      <c r="A6" s="1064" t="s">
        <v>398</v>
      </c>
      <c r="B6" s="3699" t="s">
        <v>694</v>
      </c>
      <c r="C6" s="1069" t="e">
        <f ca="1">ROUND(F6*F8*F7*(1-F9),0)</f>
        <v>#N/A</v>
      </c>
      <c r="D6" s="155" t="s">
        <v>2104</v>
      </c>
      <c r="E6" s="302" t="s">
        <v>696</v>
      </c>
      <c r="F6" s="303" t="e">
        <f ca="1">INDIRECT("'数据-取费表'!u"&amp;$G$1)</f>
        <v>#N/A</v>
      </c>
      <c r="G6" s="1379"/>
      <c r="H6" s="1064" t="s">
        <v>398</v>
      </c>
      <c r="I6" s="3699" t="s">
        <v>694</v>
      </c>
      <c r="J6" s="301" t="e">
        <f ca="1">ROUND(M6*M8*M7*(1-M9),0)</f>
        <v>#N/A</v>
      </c>
      <c r="K6" s="1371" t="s">
        <v>2105</v>
      </c>
      <c r="L6" s="302" t="s">
        <v>696</v>
      </c>
      <c r="M6" s="303" t="e">
        <f ca="1">INDIRECT("'数据-取费表'!z"&amp;$G$1)</f>
        <v>#N/A</v>
      </c>
    </row>
    <row r="7" spans="1:37" ht="18" customHeight="1">
      <c r="A7" s="1068"/>
      <c r="B7" s="3700"/>
      <c r="C7" s="1070"/>
      <c r="D7" s="307"/>
      <c r="E7" s="1071" t="s">
        <v>697</v>
      </c>
      <c r="F7" s="303" t="e">
        <f ca="1">IF(INDIRECT("'数据-取费表'!ah"&amp;$G$1)="",INDIRECT("'数据-取费表'!k"&amp;$G$1),INDIRECT("'数据-取费表'!ah"&amp;$G$1))</f>
        <v>#N/A</v>
      </c>
      <c r="G7" s="1379"/>
      <c r="H7" s="304"/>
      <c r="I7" s="3700"/>
      <c r="J7" s="306"/>
      <c r="K7" s="307"/>
      <c r="L7" s="302" t="s">
        <v>697</v>
      </c>
      <c r="M7" s="303" t="e">
        <f ca="1">F7</f>
        <v>#N/A</v>
      </c>
    </row>
    <row r="8" spans="1:37" ht="18" customHeight="1">
      <c r="A8" s="304"/>
      <c r="B8" s="3700"/>
      <c r="C8" s="306"/>
      <c r="D8" s="307"/>
      <c r="E8" s="302" t="s">
        <v>698</v>
      </c>
      <c r="F8" s="303" t="e">
        <f ca="1">INDIRECT("'数据-取费表'!ai"&amp;$G$1)</f>
        <v>#N/A</v>
      </c>
      <c r="G8" s="1379"/>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79"/>
      <c r="H9" s="304"/>
      <c r="I9" s="3701"/>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2114</v>
      </c>
      <c r="E10" s="313" t="s">
        <v>701</v>
      </c>
      <c r="F10" s="1111" t="s">
        <v>3417</v>
      </c>
      <c r="G10" s="1379"/>
      <c r="H10" s="1064" t="s">
        <v>402</v>
      </c>
      <c r="I10" s="1360" t="s">
        <v>700</v>
      </c>
      <c r="J10" s="301">
        <f ca="1">ROUND(IF(M10="押一",J6/12*M11,IF(M10="押二",J6/12*2*M11,IF(M10="押三",J6/12*3*M11,J11*M11))),0)</f>
        <v>0</v>
      </c>
      <c r="K10" s="1372" t="s">
        <v>2116</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82"/>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1076" t="s">
        <v>705</v>
      </c>
      <c r="E13" s="1076"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ROUND(INDIRECT("'数据-取费表'!l"&amp;$G$1)*F43+'数据-取费表'!L14*INDIRECT("'数据-取费表'!S"&amp;$G$1),0)</f>
        <v>#N/A</v>
      </c>
      <c r="D14" s="1340" t="s">
        <v>708</v>
      </c>
      <c r="E14" s="1337"/>
      <c r="F14" s="319"/>
      <c r="G14" s="1379"/>
      <c r="H14" s="977" t="s">
        <v>398</v>
      </c>
      <c r="I14" s="302" t="s">
        <v>709</v>
      </c>
      <c r="J14" s="21" t="e">
        <f ca="1">C29</f>
        <v>#N/A</v>
      </c>
      <c r="K14" s="12"/>
      <c r="L14" s="802"/>
      <c r="M14" s="803"/>
    </row>
    <row r="15" spans="1:37" s="1392" customFormat="1" ht="18" customHeight="1" thickBot="1">
      <c r="A15" s="977" t="s">
        <v>399</v>
      </c>
      <c r="B15" s="302" t="s">
        <v>710</v>
      </c>
      <c r="C15" s="21" t="e">
        <f ca="1">ROUND(C14*F15,0)</f>
        <v>#N/A</v>
      </c>
      <c r="D15" s="320" t="s">
        <v>711</v>
      </c>
      <c r="E15" s="320"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ROUND(INDIRECT("'数据-取费表'!l"&amp;$G$1)*F43*F16,0)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1083"/>
      <c r="M16" s="1067"/>
    </row>
    <row r="17" spans="1:37" s="1392" customFormat="1" ht="18" customHeight="1">
      <c r="A17" s="977" t="s">
        <v>681</v>
      </c>
      <c r="B17" s="302" t="s">
        <v>716</v>
      </c>
      <c r="C17" s="21" t="e">
        <f ca="1">ROUND(F17*(F43+INDIRECT("'数据-取费表'!S"&amp;$G$1)),0)</f>
        <v>#N/A</v>
      </c>
      <c r="D17" s="302" t="s">
        <v>717</v>
      </c>
      <c r="E17" s="302" t="s">
        <v>718</v>
      </c>
      <c r="F17" s="23">
        <f>'数据-取费表'!B35</f>
        <v>200</v>
      </c>
      <c r="G17" s="1391"/>
      <c r="H17" s="977" t="s">
        <v>398</v>
      </c>
      <c r="I17" s="302" t="s">
        <v>719</v>
      </c>
      <c r="J17" s="2310" t="e">
        <f ca="1">ROUND(IF(AND(项目基本情况!B11="自然人",项目基本情况!B10="北京市"),J6*M17/(1+'数据-取费表'!C42),J18+J19+J20),0)</f>
        <v>#N/A</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ROUND(J6*M18/(1+'数据-取费表'!C42),0)</f>
        <v>#N/A</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1355"/>
      <c r="F19" s="23"/>
      <c r="G19" s="1379"/>
      <c r="H19" s="977" t="s">
        <v>399</v>
      </c>
      <c r="I19" s="302" t="s">
        <v>727</v>
      </c>
      <c r="J19" s="21" t="e">
        <f ca="1">IF(K19="按租金收入计税",ROUND(J6*M19/(1+'数据-取费表'!C42),0),ROUND(C29*M19*0.7,0))</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323" t="s">
        <v>729</v>
      </c>
      <c r="E20" s="302" t="s">
        <v>712</v>
      </c>
      <c r="F20" s="322">
        <f>'数据-取费表'!B37</f>
        <v>0.02</v>
      </c>
      <c r="G20" s="1391"/>
      <c r="H20" s="977" t="s">
        <v>680</v>
      </c>
      <c r="I20" s="155" t="s">
        <v>730</v>
      </c>
      <c r="J20" s="22" t="e">
        <f ca="1">ROUND(M20*M21,0)</f>
        <v>#N/A</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t="e">
        <f ca="1">ROUND(J14*M22,0)</f>
        <v>#N/A</v>
      </c>
      <c r="K22" s="1339"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t="e">
        <f ca="1">ROUND(J13*M23,0)</f>
        <v>#N/A</v>
      </c>
      <c r="K23" s="1339"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t="e">
        <f ca="1">ROUND(J5*M24,0)</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t="e">
        <f ca="1">J5-J16</f>
        <v>#N/A</v>
      </c>
      <c r="K25" s="1090" t="s">
        <v>753</v>
      </c>
      <c r="L25" s="1091"/>
      <c r="M25" s="1092"/>
    </row>
    <row r="26" spans="1:37" ht="18" customHeight="1">
      <c r="A26" s="977" t="s">
        <v>397</v>
      </c>
      <c r="B26" s="302" t="s">
        <v>754</v>
      </c>
      <c r="C26" s="21" t="e">
        <f ca="1">ROUND((C19+C20)*F26,0)</f>
        <v>#N/A</v>
      </c>
      <c r="D26" s="3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323" t="s">
        <v>761</v>
      </c>
      <c r="E27" s="320"/>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1083"/>
      <c r="F30" s="1067"/>
      <c r="G30" s="1379"/>
      <c r="H30" s="2690"/>
      <c r="I30" s="1393"/>
      <c r="J30" s="1394"/>
      <c r="K30" s="2469"/>
      <c r="L30" s="2691"/>
      <c r="M30" s="2692"/>
    </row>
    <row r="31" spans="1:37" ht="18" customHeight="1">
      <c r="A31" s="977" t="s">
        <v>398</v>
      </c>
      <c r="B31" s="302" t="s">
        <v>719</v>
      </c>
      <c r="C31" s="2310" t="e">
        <f ca="1">ROUND(IF(AND(项目基本情况!B11="自然人",项目基本情况!B10="北京市"),C6*F31/(1+'数据-取费表'!C42),C32+C33+C34),0)</f>
        <v>#N/A</v>
      </c>
      <c r="D31" s="1340" t="s">
        <v>720</v>
      </c>
      <c r="E31" s="1339" t="s">
        <v>770</v>
      </c>
      <c r="F31" s="2309" t="str">
        <f>IF(项目基本情况!B11="企业","——",IF(M47="住宅",IF(F6*F7*F8/12/(1+'数据-取费表'!F30)&gt;100000,4%,2.5%),IF(F6*F7*F8/12/(1+'数据-取费表'!F30)&gt;100000,12%,7%)))</f>
        <v>——</v>
      </c>
      <c r="G31" s="1379"/>
      <c r="H31" s="2801" t="s">
        <v>2308</v>
      </c>
      <c r="I31" s="1393"/>
      <c r="J31" s="1394"/>
      <c r="K31" s="2469"/>
      <c r="L31" s="2691"/>
      <c r="M31" s="2692"/>
    </row>
    <row r="32" spans="1:37" ht="18" customHeight="1">
      <c r="A32" s="977" t="s">
        <v>397</v>
      </c>
      <c r="B32" s="302" t="s">
        <v>723</v>
      </c>
      <c r="C32" s="21" t="e">
        <f ca="1">IF(项目基本情况!B11="自然人","——",ROUND(C6*F32/(1+'数据-取费表'!C42),0))</f>
        <v>#N/A</v>
      </c>
      <c r="D32" s="1339" t="s">
        <v>724</v>
      </c>
      <c r="E32" s="302" t="s">
        <v>712</v>
      </c>
      <c r="F32" s="331">
        <f>'数据-取费表'!B41</f>
        <v>5.5000000000000007E-2</v>
      </c>
      <c r="G32" s="1379"/>
      <c r="H32" s="2690"/>
      <c r="I32" s="1393"/>
      <c r="J32" s="1394"/>
      <c r="K32" s="2469"/>
      <c r="L32" s="2691"/>
      <c r="M32" s="2692"/>
    </row>
    <row r="33" spans="1:18" ht="18" customHeight="1">
      <c r="A33" s="977" t="s">
        <v>399</v>
      </c>
      <c r="B33" s="302" t="s">
        <v>727</v>
      </c>
      <c r="C33" s="21" t="e">
        <f ca="1">IF(项目基本情况!B11="自然人","——",IF(D33="按租金收入计税",ROUND(C6*F33/(1+'数据-取费表'!C42),0),IF(D33="按房产原值计税",ROUND(C29*F33*0.7,0),INDIRECT("'数据-取费表'!Aj"&amp;$G$1))))</f>
        <v>#N/A</v>
      </c>
      <c r="D33" s="1365" t="s">
        <v>3336</v>
      </c>
      <c r="E33" s="302" t="s">
        <v>712</v>
      </c>
      <c r="F33" s="322">
        <f>IF(D33="按票据","——",IF(D33="按租金收入计税",'数据-取费表'!B51,'数据-取费表'!B50))</f>
        <v>0.12</v>
      </c>
      <c r="G33" s="1379"/>
      <c r="H33" s="2693"/>
      <c r="I33" s="1393"/>
      <c r="J33" s="1394"/>
      <c r="K33" s="2694"/>
      <c r="L33" s="2693"/>
      <c r="M33" s="2693"/>
    </row>
    <row r="34" spans="1:18" ht="18" customHeight="1">
      <c r="A34" s="1064" t="s">
        <v>680</v>
      </c>
      <c r="B34" s="155" t="s">
        <v>730</v>
      </c>
      <c r="C34" s="22" t="e">
        <f ca="1">IF(项目基本情况!B11="自然人","——",ROUND(F34*F35,0))</f>
        <v>#N/A</v>
      </c>
      <c r="D34" s="324" t="s">
        <v>731</v>
      </c>
      <c r="E34" s="302" t="s">
        <v>732</v>
      </c>
      <c r="F34" s="325">
        <f>'数据-取费表'!B52</f>
        <v>1.5</v>
      </c>
      <c r="G34" s="1379"/>
      <c r="H34" s="2690"/>
      <c r="I34" s="1393"/>
      <c r="J34" s="1394"/>
      <c r="K34" s="2695"/>
      <c r="L34" s="2696"/>
      <c r="M34" s="2696"/>
    </row>
    <row r="35" spans="1:18" ht="18" customHeight="1">
      <c r="A35" s="1098"/>
      <c r="B35" s="1096"/>
      <c r="C35" s="26"/>
      <c r="D35" s="327"/>
      <c r="E35" s="302" t="s">
        <v>736</v>
      </c>
      <c r="F35" s="303" t="e">
        <f ca="1">INDIRECT("'数据-取费表'!r"&amp;$G$1)</f>
        <v>#N/A</v>
      </c>
      <c r="G35" s="1379"/>
      <c r="H35" s="2690"/>
      <c r="I35" s="1393"/>
      <c r="J35" s="1394"/>
      <c r="K35" s="2694"/>
      <c r="L35" s="2693"/>
      <c r="M35" s="2693"/>
    </row>
    <row r="36" spans="1:18" ht="18" customHeight="1">
      <c r="A36" s="1097" t="s">
        <v>402</v>
      </c>
      <c r="B36" s="302" t="s">
        <v>738</v>
      </c>
      <c r="C36" s="21" t="e">
        <f ca="1">ROUND(C29*F36,0)</f>
        <v>#N/A</v>
      </c>
      <c r="D36" s="1339" t="s">
        <v>771</v>
      </c>
      <c r="E36" s="302" t="s">
        <v>712</v>
      </c>
      <c r="F36" s="328" t="e">
        <f ca="1">INDIRECT("'数据-取费表'!Ak"&amp;$G$1)</f>
        <v>#N/A</v>
      </c>
      <c r="G36" s="1379"/>
      <c r="H36" s="2693"/>
      <c r="I36" s="1393"/>
      <c r="J36" s="1394"/>
      <c r="K36" s="2538"/>
      <c r="L36" s="2693"/>
      <c r="M36" s="2693"/>
    </row>
    <row r="37" spans="1:18" ht="18" customHeight="1">
      <c r="A37" s="977" t="s">
        <v>437</v>
      </c>
      <c r="B37" s="302" t="s">
        <v>742</v>
      </c>
      <c r="C37" s="21" t="e">
        <f ca="1">ROUND(C13*F37,0)</f>
        <v>#N/A</v>
      </c>
      <c r="D37" s="1339" t="s">
        <v>743</v>
      </c>
      <c r="E37" s="302" t="s">
        <v>744</v>
      </c>
      <c r="F37" s="330" t="e">
        <f ca="1">INDIRECT("'数据-取费表'!Al"&amp;$G$1)</f>
        <v>#N/A</v>
      </c>
      <c r="G37" s="1379"/>
      <c r="H37" s="2693"/>
      <c r="I37" s="1393"/>
      <c r="J37" s="1394"/>
      <c r="K37" s="2538"/>
      <c r="L37" s="2693"/>
      <c r="M37" s="2693"/>
    </row>
    <row r="38" spans="1:18" ht="18" customHeight="1" thickBot="1">
      <c r="A38" s="1084" t="s">
        <v>684</v>
      </c>
      <c r="B38" s="1085" t="s">
        <v>728</v>
      </c>
      <c r="C38" s="1086" t="e">
        <f ca="1">ROUND(C5*F38,0)</f>
        <v>#N/A</v>
      </c>
      <c r="D38" s="1087" t="s">
        <v>748</v>
      </c>
      <c r="E38" s="1085" t="s">
        <v>744</v>
      </c>
      <c r="F38" s="1081" t="e">
        <f ca="1">INDIRECT("'数据-取费表'!Am"&amp;$G$1)</f>
        <v>#N/A</v>
      </c>
      <c r="G38" s="1379"/>
      <c r="H38" s="2693"/>
      <c r="I38" s="1393"/>
      <c r="J38" s="1394"/>
      <c r="K38" s="2697"/>
      <c r="L38" s="2693"/>
      <c r="M38" s="2693"/>
    </row>
    <row r="39" spans="1:18" ht="24.6" customHeight="1" thickTop="1">
      <c r="A39" s="1074" t="s">
        <v>394</v>
      </c>
      <c r="B39" s="1089" t="s">
        <v>772</v>
      </c>
      <c r="C39" s="310" t="e">
        <f ca="1">C5-C30</f>
        <v>#N/A</v>
      </c>
      <c r="D39" s="1090" t="s">
        <v>773</v>
      </c>
      <c r="E39" s="1091"/>
      <c r="F39" s="1092"/>
      <c r="G39" s="1379"/>
      <c r="H39" s="2693"/>
      <c r="I39" s="1393"/>
      <c r="J39" s="1394"/>
      <c r="K39" s="2697"/>
      <c r="L39" s="2693"/>
      <c r="M39" s="2693"/>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7"/>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8"/>
      <c r="L41" s="1186"/>
      <c r="M41" s="1186"/>
    </row>
    <row r="42" spans="1:18" ht="18" customHeight="1">
      <c r="A42" s="308"/>
      <c r="B42" s="309"/>
      <c r="C42" s="310"/>
      <c r="D42" s="327"/>
      <c r="E42" s="302" t="s">
        <v>766</v>
      </c>
      <c r="F42" s="312" t="e">
        <f ca="1">INDIRECT("'数据-取费表'!v"&amp;$G$1)</f>
        <v>#N/A</v>
      </c>
      <c r="G42" s="1379"/>
      <c r="H42" s="1186"/>
      <c r="I42" s="1393"/>
      <c r="J42" s="1394"/>
      <c r="K42" s="2538"/>
      <c r="L42" s="1186"/>
      <c r="M42" s="1186"/>
    </row>
    <row r="43" spans="1:18" ht="18" customHeight="1" thickBot="1">
      <c r="A43" s="334" t="s">
        <v>396</v>
      </c>
      <c r="B43" s="335" t="s">
        <v>776</v>
      </c>
      <c r="C43" s="336" t="e">
        <f ca="1">ROUND(C40/F43,0)</f>
        <v>#N/A</v>
      </c>
      <c r="D43" s="337" t="s">
        <v>777</v>
      </c>
      <c r="E43" s="338" t="s">
        <v>778</v>
      </c>
      <c r="F43" s="339" t="e">
        <f ca="1">INDIRECT("'数据-取费表'!k"&amp;$G$1)</f>
        <v>#N/A</v>
      </c>
      <c r="G43" s="1379"/>
      <c r="H43" s="1186"/>
      <c r="I43" s="1186"/>
      <c r="J43" s="1186"/>
      <c r="K43" s="2538"/>
      <c r="L43" s="1186"/>
      <c r="M43" s="1186"/>
    </row>
    <row r="44" spans="1:18" s="1379" customFormat="1" ht="18" customHeight="1">
      <c r="A44" s="1395"/>
      <c r="B44" s="1395"/>
      <c r="C44" s="1396"/>
      <c r="D44" s="1395"/>
      <c r="E44" s="1395"/>
      <c r="F44" s="1395"/>
      <c r="K44" s="1397"/>
    </row>
    <row r="45" spans="1:18" s="1379" customFormat="1" ht="18" customHeight="1" thickBot="1">
      <c r="A45" s="3424" t="s">
        <v>3352</v>
      </c>
      <c r="B45" s="1395"/>
      <c r="C45" s="1467" t="e">
        <f ca="1">ROUND((C68-C40)/10000,4)</f>
        <v>#N/A</v>
      </c>
      <c r="D45" s="3425" t="s">
        <v>3353</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0"/>
      <c r="I47" s="1409" t="s">
        <v>815</v>
      </c>
      <c r="J47" s="1410" t="s">
        <v>3398</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1354" t="e">
        <f ca="1">C49+C53+C55</f>
        <v>#N/A</v>
      </c>
      <c r="D48" s="1107"/>
      <c r="E48" s="1108"/>
      <c r="F48" s="957"/>
      <c r="G48" s="720"/>
      <c r="H48" s="721"/>
      <c r="I48" s="1416" t="s">
        <v>819</v>
      </c>
      <c r="J48" s="1417" t="s">
        <v>3399</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ROUND(F49*F51*F50*(1-F52),0)</f>
        <v>#N/A</v>
      </c>
      <c r="D49" s="1050" t="s">
        <v>695</v>
      </c>
      <c r="E49" s="1367" t="s">
        <v>780</v>
      </c>
      <c r="F49" s="1055"/>
      <c r="G49" s="1420"/>
      <c r="H49" s="721"/>
      <c r="I49" s="1416" t="s">
        <v>823</v>
      </c>
      <c r="J49" s="1421">
        <v>2005</v>
      </c>
      <c r="K49" s="1418" t="s">
        <v>824</v>
      </c>
      <c r="L49" s="1422"/>
      <c r="O49" s="1423" t="s">
        <v>405</v>
      </c>
      <c r="P49" s="1414" t="s">
        <v>825</v>
      </c>
      <c r="Q49" s="1415" t="e">
        <f ca="1">C29</f>
        <v>#N/A</v>
      </c>
      <c r="R49" s="1415" t="s">
        <v>818</v>
      </c>
    </row>
    <row r="50" spans="1:18" s="1379" customFormat="1" ht="13.5" thickBot="1">
      <c r="A50" s="971"/>
      <c r="B50" s="974"/>
      <c r="C50" s="975"/>
      <c r="D50" s="948"/>
      <c r="E50" s="1051" t="s">
        <v>697</v>
      </c>
      <c r="F50" s="1052" t="e">
        <f ca="1">F7</f>
        <v>#N/A</v>
      </c>
      <c r="H50" s="721"/>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41</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30.75" customHeight="1" thickBot="1">
      <c r="A53" s="1106" t="s">
        <v>440</v>
      </c>
      <c r="B53" s="323" t="s">
        <v>700</v>
      </c>
      <c r="C53" s="316">
        <f ca="1">ROUND(IF(F53="押一",C49/12*F11,IF(F53="押二",C49/12*2*F11,IF(F53="押三",C49/12*3*F11,C54*F11))),0)</f>
        <v>0</v>
      </c>
      <c r="D53" s="1361" t="s">
        <v>2117</v>
      </c>
      <c r="E53" s="313" t="s">
        <v>701</v>
      </c>
      <c r="F53" s="1111"/>
      <c r="I53" s="1434" t="s">
        <v>836</v>
      </c>
      <c r="J53" s="2162" t="e">
        <f ca="1">IF(M47="住宅",IF(D1="——",MAX(J51,L48),MAX(J51,L48-'数据-取费表'!B24)),IF(D1="——",MIN(J51,L48),MIN(J51,L48-'数据-取费表'!B24)))</f>
        <v>#N/A</v>
      </c>
      <c r="K53" s="3702" t="s">
        <v>837</v>
      </c>
      <c r="L53" s="3703"/>
      <c r="O53" s="1413" t="s">
        <v>409</v>
      </c>
      <c r="P53" s="1414" t="s">
        <v>838</v>
      </c>
      <c r="Q53" s="1415" t="e">
        <f ca="1">Q47+Q48</f>
        <v>#N/A</v>
      </c>
      <c r="R53" s="1415" t="s">
        <v>410</v>
      </c>
    </row>
    <row r="54" spans="1:18" s="1379" customFormat="1" ht="13.5" thickBot="1">
      <c r="A54" s="970"/>
      <c r="B54" s="1468" t="s">
        <v>891</v>
      </c>
      <c r="C54" s="954"/>
      <c r="D54" s="1361"/>
      <c r="E54" s="136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2">
        <v>2</v>
      </c>
      <c r="B56" s="953" t="s">
        <v>704</v>
      </c>
      <c r="C56" s="232" t="e">
        <f ca="1">C13</f>
        <v>#N/A</v>
      </c>
      <c r="D56" s="1442"/>
      <c r="E56" s="1443"/>
      <c r="F56" s="1435"/>
      <c r="I56" s="1444" t="s">
        <v>842</v>
      </c>
      <c r="J56" s="1445" t="s">
        <v>3418</v>
      </c>
      <c r="K56" s="1416" t="s">
        <v>843</v>
      </c>
      <c r="L56" s="1419" t="e">
        <f ca="1">IF(L48&lt;J51,"——",L48-J51)</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893</v>
      </c>
      <c r="Q57" s="1415" t="e">
        <f ca="1">L60</f>
        <v>#N/A</v>
      </c>
      <c r="R57" s="1415" t="s">
        <v>894</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0" t="e">
        <f ca="1">ROUND(IF(AND(项目基本情况!B11="自然人",项目基本情况!B10="北京市"),C49*F59/(1+'数据-取费表'!C42),C60+C61+C62),0)</f>
        <v>#N/A</v>
      </c>
      <c r="D59" s="958" t="s">
        <v>720</v>
      </c>
      <c r="E59" s="959"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IF(项目基本情况!B11="自然人","——",ROUND(C48*F60/(1+'数据-取费表'!C42),0))</f>
        <v>#N/A</v>
      </c>
      <c r="D60" s="959" t="s">
        <v>724</v>
      </c>
      <c r="E60" s="945" t="s">
        <v>712</v>
      </c>
      <c r="F60" s="331">
        <f t="shared" ref="F60:F66" si="0">F32</f>
        <v>5.5000000000000007E-2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IF(项目基本情况!B11="自然人","——",IF(D61="按租金收入计税",ROUND(C49*F61/(1+'数据-取费表'!C42),0),IF(D61="按房产原值计税",ROUND(C57*F61*0.7,0),INDIRECT("'数据-取费表'!Aj"&amp;$G$1))))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IF(项目基本情况!B11="自然人","——",ROUND(F62*F63,0))</f>
        <v>#N/A</v>
      </c>
      <c r="D62" s="960" t="s">
        <v>786</v>
      </c>
      <c r="E62" s="945" t="s">
        <v>787</v>
      </c>
      <c r="F62" s="325">
        <f t="shared" si="0"/>
        <v>1.5</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ROUND(C57*F64,0)</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ROUND(C56*F65,0)</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ROUND(C48*F66,0)</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ROUND(C68/F71,0)</f>
        <v>#N/A</v>
      </c>
      <c r="D71" s="968" t="s">
        <v>777</v>
      </c>
      <c r="E71" s="969" t="s">
        <v>778</v>
      </c>
      <c r="F71" s="339" t="e">
        <f ca="1">F43</f>
        <v>#N/A</v>
      </c>
      <c r="O71" s="1423" t="s">
        <v>413</v>
      </c>
      <c r="P71" s="1462" t="s">
        <v>874</v>
      </c>
      <c r="Q71" s="1426" t="e">
        <f ca="1">C76</f>
        <v>#N/A</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2316</v>
      </c>
      <c r="K1" s="2832"/>
      <c r="L1" s="2832"/>
      <c r="M1" s="2832"/>
      <c r="N1" s="2832"/>
      <c r="O1" s="2832"/>
      <c r="P1" s="2832"/>
      <c r="Q1" s="2832"/>
      <c r="R1" s="2833"/>
      <c r="S1" s="2834"/>
      <c r="T1" s="2834"/>
      <c r="U1" s="2834"/>
    </row>
    <row r="2" spans="1:22" s="2846" customFormat="1" ht="13.15" customHeight="1">
      <c r="A2" s="1380" t="s">
        <v>2317</v>
      </c>
      <c r="B2" s="2836" t="e">
        <f>IF(D2="——",C40,C40+E2)</f>
        <v>#DIV/0!</v>
      </c>
      <c r="C2" s="2837" t="s">
        <v>2318</v>
      </c>
      <c r="D2" s="3436" t="s">
        <v>3359</v>
      </c>
      <c r="E2" s="3437"/>
      <c r="F2" s="2839"/>
      <c r="G2" s="2840"/>
      <c r="H2" s="2841"/>
      <c r="I2" s="2842"/>
      <c r="J2" s="3704" t="s">
        <v>2319</v>
      </c>
      <c r="K2" s="3705"/>
      <c r="L2" s="2843" t="s">
        <v>2320</v>
      </c>
      <c r="M2" s="2843" t="s">
        <v>2321</v>
      </c>
      <c r="N2" s="2843" t="s">
        <v>2322</v>
      </c>
      <c r="O2" s="2843" t="s">
        <v>2323</v>
      </c>
      <c r="P2" s="2843" t="s">
        <v>2324</v>
      </c>
      <c r="Q2" s="2844" t="s">
        <v>2325</v>
      </c>
      <c r="R2" s="2845" t="s">
        <v>2326</v>
      </c>
      <c r="S2" s="2834"/>
      <c r="T2" s="2834"/>
      <c r="U2" s="2834"/>
      <c r="V2" s="2842"/>
    </row>
    <row r="3" spans="1:22" s="2846" customFormat="1" ht="13.15" customHeight="1">
      <c r="A3" s="2847" t="s">
        <v>2327</v>
      </c>
      <c r="B3" s="2848" t="e">
        <f>ROUND(B2*10000/B4,0)</f>
        <v>#DIV/0!</v>
      </c>
      <c r="C3" s="2837" t="s">
        <v>2328</v>
      </c>
      <c r="D3" s="2837"/>
      <c r="E3" s="2838"/>
      <c r="F3" s="2839"/>
      <c r="G3" s="2840"/>
      <c r="H3" s="2841"/>
      <c r="I3" s="2842"/>
      <c r="J3" s="3706" t="s">
        <v>2329</v>
      </c>
      <c r="K3" s="3707"/>
      <c r="L3" s="2849"/>
      <c r="M3" s="2849"/>
      <c r="N3" s="2849"/>
      <c r="O3" s="2849"/>
      <c r="P3" s="2849"/>
      <c r="Q3" s="2850"/>
      <c r="R3" s="2851">
        <f>SUM(L3:Q3)</f>
        <v>0</v>
      </c>
      <c r="S3" s="2834"/>
      <c r="T3" s="2834"/>
      <c r="U3" s="2834"/>
      <c r="V3" s="2842"/>
    </row>
    <row r="4" spans="1:22" s="2846" customFormat="1" ht="13.15" customHeight="1">
      <c r="A4" s="2852" t="s">
        <v>2330</v>
      </c>
      <c r="B4" s="2853"/>
      <c r="C4" s="2837"/>
      <c r="D4" s="2837"/>
      <c r="E4" s="2838"/>
      <c r="F4" s="2839"/>
      <c r="G4" s="2840"/>
      <c r="H4" s="2841"/>
      <c r="I4" s="2842"/>
      <c r="J4" s="3706" t="s">
        <v>2331</v>
      </c>
      <c r="K4" s="3707"/>
      <c r="L4" s="2854"/>
      <c r="M4" s="2854"/>
      <c r="N4" s="2854"/>
      <c r="O4" s="2854"/>
      <c r="P4" s="2854"/>
      <c r="Q4" s="2855"/>
      <c r="R4" s="2856">
        <f>SUM(L4:Q4)</f>
        <v>0</v>
      </c>
      <c r="S4" s="2834"/>
      <c r="T4" s="2834"/>
      <c r="U4" s="2834"/>
      <c r="V4" s="2842"/>
    </row>
    <row r="5" spans="1:22" s="2846" customFormat="1" ht="13.15" customHeight="1" thickBot="1">
      <c r="A5" s="2857" t="s">
        <v>2332</v>
      </c>
      <c r="B5" s="2858"/>
      <c r="C5" s="2837"/>
      <c r="D5" s="2859"/>
      <c r="E5" s="2839"/>
      <c r="F5" s="2839"/>
      <c r="G5" s="2840"/>
      <c r="H5" s="2841"/>
      <c r="I5" s="2842"/>
      <c r="J5" s="2860" t="s">
        <v>2333</v>
      </c>
      <c r="K5" s="2861"/>
      <c r="L5" s="2861"/>
      <c r="M5" s="2862"/>
      <c r="N5" s="2862"/>
      <c r="O5" s="2862"/>
      <c r="P5" s="2862"/>
      <c r="Q5" s="2862"/>
      <c r="R5" s="2845">
        <f>SUM(R14,R19,R24,R25,R27,R28)</f>
        <v>0</v>
      </c>
      <c r="S5" s="2834"/>
      <c r="T5" s="2834" t="s">
        <v>2334</v>
      </c>
      <c r="U5" s="2834" t="e">
        <f>ROUND(R5*10000/365/R3,1)</f>
        <v>#DIV/0!</v>
      </c>
      <c r="V5" s="2842"/>
    </row>
    <row r="6" spans="1:22" s="2846" customFormat="1" ht="13.15" customHeight="1" thickBot="1">
      <c r="A6" s="3708" t="s">
        <v>2335</v>
      </c>
      <c r="B6" s="3709"/>
      <c r="C6" s="3710"/>
      <c r="D6" s="2863"/>
      <c r="E6" s="2864"/>
      <c r="F6" s="2865"/>
      <c r="G6" s="2866"/>
      <c r="H6" s="2841"/>
      <c r="I6" s="2842"/>
      <c r="J6" s="3711">
        <v>1</v>
      </c>
      <c r="K6" s="3712" t="s">
        <v>2336</v>
      </c>
      <c r="L6" s="2867" t="s">
        <v>2337</v>
      </c>
      <c r="M6" s="2868" t="s">
        <v>2338</v>
      </c>
      <c r="N6" s="2868" t="s">
        <v>2339</v>
      </c>
      <c r="O6" s="2868" t="s">
        <v>2340</v>
      </c>
      <c r="P6" s="2868" t="s">
        <v>2341</v>
      </c>
      <c r="Q6" s="2868" t="s">
        <v>2342</v>
      </c>
      <c r="R6" s="2851" t="s">
        <v>2343</v>
      </c>
      <c r="S6" s="2834"/>
      <c r="T6" s="2834" t="s">
        <v>2344</v>
      </c>
      <c r="U6" s="2834"/>
      <c r="V6" s="2842"/>
    </row>
    <row r="7" spans="1:22" s="2846" customFormat="1" ht="13.15" customHeight="1">
      <c r="A7" s="2869" t="s">
        <v>2345</v>
      </c>
      <c r="B7" s="2870"/>
      <c r="C7" s="2871"/>
      <c r="D7" s="2872">
        <f>SUM(D9,D10,D11,D17,0)</f>
        <v>0</v>
      </c>
      <c r="E7" s="2873" t="e">
        <f>E9+E10+E11+E17</f>
        <v>#DIV/0!</v>
      </c>
      <c r="F7" s="2874"/>
      <c r="G7" s="2875"/>
      <c r="H7" s="2841"/>
      <c r="I7" s="2842"/>
      <c r="J7" s="3711"/>
      <c r="K7" s="3713"/>
      <c r="L7" s="2876" t="s">
        <v>2346</v>
      </c>
      <c r="M7" s="2877"/>
      <c r="N7" s="2853"/>
      <c r="O7" s="2878"/>
      <c r="P7" s="2878"/>
      <c r="Q7" s="2879">
        <v>365</v>
      </c>
      <c r="R7" s="2880">
        <f>ROUND(M7*N7*O7*P7*Q7/10000,0)</f>
        <v>0</v>
      </c>
      <c r="S7" s="2834"/>
      <c r="T7" s="2834" t="s">
        <v>2347</v>
      </c>
      <c r="U7" s="2834"/>
      <c r="V7" s="2842"/>
    </row>
    <row r="8" spans="1:22" s="2846" customFormat="1" ht="13.15" customHeight="1">
      <c r="A8" s="2881" t="s">
        <v>2348</v>
      </c>
      <c r="B8" s="3715" t="s">
        <v>2349</v>
      </c>
      <c r="C8" s="3716"/>
      <c r="D8" s="2882" t="s">
        <v>2350</v>
      </c>
      <c r="E8" s="2883" t="s">
        <v>2351</v>
      </c>
      <c r="F8" s="2884" t="s">
        <v>2352</v>
      </c>
      <c r="G8" s="2885"/>
      <c r="H8" s="2841"/>
      <c r="I8" s="2842"/>
      <c r="J8" s="3711"/>
      <c r="K8" s="3713"/>
      <c r="L8" s="2876" t="s">
        <v>2353</v>
      </c>
      <c r="M8" s="2877"/>
      <c r="N8" s="2853"/>
      <c r="O8" s="2878"/>
      <c r="P8" s="2878"/>
      <c r="Q8" s="2879">
        <v>365</v>
      </c>
      <c r="R8" s="2880">
        <f t="shared" ref="R8:R13" si="0">ROUND(M8*N8*O8*P8*Q8/10000,0)</f>
        <v>0</v>
      </c>
      <c r="S8" s="2834"/>
      <c r="T8" s="2834" t="s">
        <v>2354</v>
      </c>
      <c r="U8" s="2834"/>
      <c r="V8" s="2842"/>
    </row>
    <row r="9" spans="1:22" s="2846" customFormat="1" ht="13.15" customHeight="1">
      <c r="A9" s="2881">
        <v>1</v>
      </c>
      <c r="B9" s="3715" t="s">
        <v>2355</v>
      </c>
      <c r="C9" s="3716"/>
      <c r="D9" s="2882">
        <f>ROUND(D6*E9,0)</f>
        <v>0</v>
      </c>
      <c r="E9" s="2886"/>
      <c r="F9" s="2887" t="s">
        <v>2356</v>
      </c>
      <c r="G9" s="2866"/>
      <c r="H9" s="2841"/>
      <c r="I9" s="2842"/>
      <c r="J9" s="3711"/>
      <c r="K9" s="3713"/>
      <c r="L9" s="2876" t="s">
        <v>2357</v>
      </c>
      <c r="M9" s="2877"/>
      <c r="N9" s="2853"/>
      <c r="O9" s="2878"/>
      <c r="P9" s="2878"/>
      <c r="Q9" s="2879">
        <v>365</v>
      </c>
      <c r="R9" s="2880">
        <f t="shared" si="0"/>
        <v>0</v>
      </c>
      <c r="S9" s="2834"/>
      <c r="T9" s="2834"/>
      <c r="U9" s="2834"/>
      <c r="V9" s="2842"/>
    </row>
    <row r="10" spans="1:22" s="2846" customFormat="1" ht="13.15" customHeight="1">
      <c r="A10" s="2881">
        <v>2</v>
      </c>
      <c r="B10" s="3715" t="s">
        <v>2358</v>
      </c>
      <c r="C10" s="3716"/>
      <c r="D10" s="2882">
        <f>ROUND(D6*E10,0)</f>
        <v>0</v>
      </c>
      <c r="E10" s="2886"/>
      <c r="F10" s="2887" t="s">
        <v>2359</v>
      </c>
      <c r="G10" s="2866"/>
      <c r="H10" s="2841"/>
      <c r="I10" s="2842"/>
      <c r="J10" s="3711"/>
      <c r="K10" s="3713"/>
      <c r="L10" s="2876" t="s">
        <v>2360</v>
      </c>
      <c r="M10" s="2877"/>
      <c r="N10" s="2853"/>
      <c r="O10" s="2878"/>
      <c r="P10" s="2878"/>
      <c r="Q10" s="2879">
        <v>365</v>
      </c>
      <c r="R10" s="2880">
        <f t="shared" si="0"/>
        <v>0</v>
      </c>
      <c r="S10" s="2834"/>
      <c r="T10" s="2834"/>
      <c r="U10" s="2834"/>
      <c r="V10" s="2842"/>
    </row>
    <row r="11" spans="1:22" s="2846" customFormat="1" ht="13.15" customHeight="1">
      <c r="A11" s="2881">
        <v>3</v>
      </c>
      <c r="B11" s="3715" t="s">
        <v>2361</v>
      </c>
      <c r="C11" s="3716"/>
      <c r="D11" s="2882">
        <f>D12+D14+D15+D16</f>
        <v>0</v>
      </c>
      <c r="E11" s="2888" t="e">
        <f>D11/D6</f>
        <v>#DIV/0!</v>
      </c>
      <c r="F11" s="2884"/>
      <c r="G11" s="2885"/>
      <c r="H11" s="2841"/>
      <c r="I11" s="2842"/>
      <c r="J11" s="3711"/>
      <c r="K11" s="3713"/>
      <c r="L11" s="2876" t="s">
        <v>2362</v>
      </c>
      <c r="M11" s="2877"/>
      <c r="N11" s="2853"/>
      <c r="O11" s="2878"/>
      <c r="P11" s="2878"/>
      <c r="Q11" s="2879">
        <v>365</v>
      </c>
      <c r="R11" s="2880">
        <f t="shared" si="0"/>
        <v>0</v>
      </c>
      <c r="S11" s="2834"/>
      <c r="T11" s="2834"/>
      <c r="U11" s="2834"/>
      <c r="V11" s="2842"/>
    </row>
    <row r="12" spans="1:22" s="2846" customFormat="1" ht="13.15" customHeight="1">
      <c r="A12" s="2889" t="s">
        <v>2363</v>
      </c>
      <c r="B12" s="3717" t="s">
        <v>2364</v>
      </c>
      <c r="C12" s="3718"/>
      <c r="D12" s="2890">
        <f>ROUND(D13*1.2%*(1-30%),0)</f>
        <v>0</v>
      </c>
      <c r="E12" s="2891">
        <v>1.2E-2</v>
      </c>
      <c r="F12" s="2884" t="s">
        <v>2365</v>
      </c>
      <c r="G12" s="2885"/>
      <c r="H12" s="2841"/>
      <c r="I12" s="2842"/>
      <c r="J12" s="3711"/>
      <c r="K12" s="3713"/>
      <c r="L12" s="2876" t="s">
        <v>2366</v>
      </c>
      <c r="M12" s="2877"/>
      <c r="N12" s="2853"/>
      <c r="O12" s="2878"/>
      <c r="P12" s="2878"/>
      <c r="Q12" s="2879">
        <v>365</v>
      </c>
      <c r="R12" s="2880">
        <f t="shared" si="0"/>
        <v>0</v>
      </c>
      <c r="S12" s="2834"/>
      <c r="T12" s="2834"/>
      <c r="U12" s="2834"/>
      <c r="V12" s="2842"/>
    </row>
    <row r="13" spans="1:22" s="2846" customFormat="1" ht="13.15" customHeight="1">
      <c r="A13" s="2889"/>
      <c r="B13" s="2892"/>
      <c r="C13" s="2893" t="s">
        <v>2367</v>
      </c>
      <c r="D13" s="2894"/>
      <c r="E13" s="2895"/>
      <c r="F13" s="2884"/>
      <c r="G13" s="2885"/>
      <c r="H13" s="2841"/>
      <c r="I13" s="2842"/>
      <c r="J13" s="3711"/>
      <c r="K13" s="3713"/>
      <c r="L13" s="2876" t="s">
        <v>2368</v>
      </c>
      <c r="M13" s="2877"/>
      <c r="N13" s="2853"/>
      <c r="O13" s="2878"/>
      <c r="P13" s="2878"/>
      <c r="Q13" s="2879">
        <v>365</v>
      </c>
      <c r="R13" s="2880">
        <f t="shared" si="0"/>
        <v>0</v>
      </c>
      <c r="S13" s="2834"/>
      <c r="T13" s="2834"/>
      <c r="U13" s="2834"/>
      <c r="V13" s="2842"/>
    </row>
    <row r="14" spans="1:22" s="2846" customFormat="1" ht="13.15" customHeight="1">
      <c r="A14" s="2889" t="s">
        <v>2369</v>
      </c>
      <c r="B14" s="3717" t="s">
        <v>2370</v>
      </c>
      <c r="C14" s="3718"/>
      <c r="D14" s="2890">
        <f>ROUND(E14*B5/10000,0)</f>
        <v>0</v>
      </c>
      <c r="E14" s="2879"/>
      <c r="F14" s="2884" t="s">
        <v>2371</v>
      </c>
      <c r="G14" s="2885"/>
      <c r="H14" s="2841"/>
      <c r="I14" s="2842"/>
      <c r="J14" s="3711"/>
      <c r="K14" s="3714"/>
      <c r="L14" s="2896" t="s">
        <v>2372</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2373</v>
      </c>
      <c r="B15" s="3717" t="s">
        <v>2374</v>
      </c>
      <c r="C15" s="3718"/>
      <c r="D15" s="2890">
        <f>ROUND(D6*E15,0)</f>
        <v>0</v>
      </c>
      <c r="E15" s="2891">
        <v>5.5E-2</v>
      </c>
      <c r="F15" s="2884" t="s">
        <v>2375</v>
      </c>
      <c r="G15" s="2866"/>
      <c r="H15" s="2841"/>
      <c r="I15" s="2842"/>
      <c r="J15" s="3711">
        <v>2</v>
      </c>
      <c r="K15" s="3712" t="s">
        <v>2376</v>
      </c>
      <c r="L15" s="2876" t="s">
        <v>2377</v>
      </c>
      <c r="M15" s="2877" t="s">
        <v>2378</v>
      </c>
      <c r="N15" s="2877" t="s">
        <v>2379</v>
      </c>
      <c r="O15" s="2878" t="s">
        <v>2380</v>
      </c>
      <c r="P15" s="2878" t="s">
        <v>2342</v>
      </c>
      <c r="Q15" s="2853" t="s">
        <v>2381</v>
      </c>
      <c r="R15" s="2900" t="s">
        <v>2343</v>
      </c>
      <c r="S15" s="2834"/>
      <c r="T15" s="2834"/>
      <c r="U15" s="2834"/>
      <c r="V15" s="2842"/>
    </row>
    <row r="16" spans="1:22" s="2846" customFormat="1" ht="13.15" customHeight="1">
      <c r="A16" s="2889" t="s">
        <v>2382</v>
      </c>
      <c r="B16" s="3717" t="s">
        <v>2383</v>
      </c>
      <c r="C16" s="3718"/>
      <c r="D16" s="2901">
        <f>D6*E16</f>
        <v>0</v>
      </c>
      <c r="E16" s="2902"/>
      <c r="F16" s="2887" t="s">
        <v>2384</v>
      </c>
      <c r="G16" s="2866"/>
      <c r="H16" s="2841"/>
      <c r="I16" s="2842"/>
      <c r="J16" s="3711"/>
      <c r="K16" s="3713"/>
      <c r="L16" s="2876" t="s">
        <v>2385</v>
      </c>
      <c r="M16" s="2877"/>
      <c r="N16" s="2877"/>
      <c r="O16" s="2878"/>
      <c r="P16" s="2879">
        <v>365</v>
      </c>
      <c r="Q16" s="2853"/>
      <c r="R16" s="2900">
        <f>ROUND(M16*N16*O16*P16/10000,0)</f>
        <v>0</v>
      </c>
      <c r="S16" s="2834"/>
      <c r="T16" s="2834"/>
      <c r="U16" s="2834"/>
      <c r="V16" s="2842"/>
    </row>
    <row r="17" spans="1:22" s="2846" customFormat="1" ht="13.15" customHeight="1" thickBot="1">
      <c r="A17" s="2903">
        <v>4</v>
      </c>
      <c r="B17" s="3719" t="s">
        <v>2386</v>
      </c>
      <c r="C17" s="3720"/>
      <c r="D17" s="2904">
        <f>ROUND(D6*E17,0)</f>
        <v>0</v>
      </c>
      <c r="E17" s="2905"/>
      <c r="F17" s="2906" t="s">
        <v>2387</v>
      </c>
      <c r="G17" s="2866"/>
      <c r="H17" s="2841"/>
      <c r="I17" s="2842"/>
      <c r="J17" s="3711"/>
      <c r="K17" s="3713"/>
      <c r="L17" s="2876" t="s">
        <v>2388</v>
      </c>
      <c r="M17" s="2877"/>
      <c r="N17" s="2877"/>
      <c r="O17" s="2878"/>
      <c r="P17" s="2879">
        <v>365</v>
      </c>
      <c r="Q17" s="2853"/>
      <c r="R17" s="2900">
        <f>ROUND(M17*N17*O17*P17/10000,0)</f>
        <v>0</v>
      </c>
      <c r="S17" s="2834"/>
      <c r="T17" s="2834"/>
      <c r="U17" s="2834"/>
      <c r="V17" s="2842"/>
    </row>
    <row r="18" spans="1:22" s="2846" customFormat="1" ht="13.15" customHeight="1" thickBot="1">
      <c r="A18" s="2869" t="s">
        <v>2389</v>
      </c>
      <c r="B18" s="2870"/>
      <c r="C18" s="2870"/>
      <c r="D18" s="2907">
        <f>ROUND(D6*E18,0)</f>
        <v>0</v>
      </c>
      <c r="E18" s="2908"/>
      <c r="F18" s="2909" t="s">
        <v>2390</v>
      </c>
      <c r="G18" s="2866"/>
      <c r="H18" s="2841"/>
      <c r="I18" s="2842"/>
      <c r="J18" s="3711"/>
      <c r="K18" s="3713"/>
      <c r="L18" s="2876" t="s">
        <v>2391</v>
      </c>
      <c r="M18" s="2877"/>
      <c r="N18" s="2877"/>
      <c r="O18" s="2878"/>
      <c r="P18" s="2879">
        <v>365</v>
      </c>
      <c r="Q18" s="2853"/>
      <c r="R18" s="2900">
        <f>ROUND(M18*N18*O18*P18/10000,0)</f>
        <v>0</v>
      </c>
      <c r="S18" s="2834"/>
      <c r="T18" s="2834"/>
      <c r="U18" s="2834"/>
      <c r="V18" s="2842"/>
    </row>
    <row r="19" spans="1:22" s="2846" customFormat="1" ht="13.15" customHeight="1" thickBot="1">
      <c r="A19" s="2910" t="s">
        <v>2392</v>
      </c>
      <c r="B19" s="2864"/>
      <c r="C19" s="2864"/>
      <c r="D19" s="2864"/>
      <c r="E19" s="2864"/>
      <c r="F19" s="2865"/>
      <c r="G19" s="2885"/>
      <c r="H19" s="2841"/>
      <c r="I19" s="2842"/>
      <c r="J19" s="3711"/>
      <c r="K19" s="3714"/>
      <c r="L19" s="2896" t="s">
        <v>2372</v>
      </c>
      <c r="M19" s="2897"/>
      <c r="N19" s="2897">
        <f>SUM(N16:N18)</f>
        <v>0</v>
      </c>
      <c r="O19" s="2898"/>
      <c r="P19" s="2911" t="s">
        <v>2436</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11">
        <v>3</v>
      </c>
      <c r="K20" s="3712" t="s">
        <v>2393</v>
      </c>
      <c r="L20" s="2876" t="s">
        <v>2394</v>
      </c>
      <c r="M20" s="2877" t="s">
        <v>2395</v>
      </c>
      <c r="N20" s="2914" t="s">
        <v>2396</v>
      </c>
      <c r="O20" s="2878" t="s">
        <v>2397</v>
      </c>
      <c r="P20" s="2879" t="s">
        <v>2398</v>
      </c>
      <c r="Q20" s="2853" t="s">
        <v>2399</v>
      </c>
      <c r="R20" s="2900" t="s">
        <v>2400</v>
      </c>
      <c r="S20" s="2915"/>
      <c r="T20" s="2915"/>
      <c r="U20" s="2915"/>
      <c r="V20" s="2842"/>
    </row>
    <row r="21" spans="1:22" s="2846" customFormat="1" ht="13.15" customHeight="1">
      <c r="A21" s="2869"/>
      <c r="B21" s="2870"/>
      <c r="C21" s="2916" t="s">
        <v>2401</v>
      </c>
      <c r="D21" s="2917" t="s">
        <v>2402</v>
      </c>
      <c r="E21" s="2918" t="s">
        <v>2403</v>
      </c>
      <c r="F21" s="2913"/>
      <c r="G21" s="2885"/>
      <c r="H21" s="2841"/>
      <c r="I21" s="2842"/>
      <c r="J21" s="3711"/>
      <c r="K21" s="3713"/>
      <c r="L21" s="2876" t="s">
        <v>2404</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2405</v>
      </c>
      <c r="D22" s="2921" t="s">
        <v>2406</v>
      </c>
      <c r="E22" s="2922" t="s">
        <v>2407</v>
      </c>
      <c r="F22" s="2913"/>
      <c r="G22" s="2923"/>
      <c r="H22" s="2841"/>
      <c r="I22" s="2842"/>
      <c r="J22" s="3711"/>
      <c r="K22" s="3713"/>
      <c r="L22" s="2876" t="s">
        <v>2408</v>
      </c>
      <c r="M22" s="2877"/>
      <c r="N22" s="2877"/>
      <c r="O22" s="2878"/>
      <c r="P22" s="2879">
        <v>365</v>
      </c>
      <c r="Q22" s="2853"/>
      <c r="R22" s="2919">
        <f>ROUND(M22*N22*O22*P22/10000,0)</f>
        <v>0</v>
      </c>
      <c r="S22" s="2915"/>
      <c r="T22" s="2915"/>
      <c r="U22" s="2915"/>
      <c r="V22" s="2842"/>
    </row>
    <row r="23" spans="1:22" s="2846" customFormat="1" ht="13.15" customHeight="1">
      <c r="A23" s="2924">
        <v>1</v>
      </c>
      <c r="B23" s="2925" t="s">
        <v>2409</v>
      </c>
      <c r="C23" s="2926">
        <f>D6</f>
        <v>0</v>
      </c>
      <c r="D23" s="2927">
        <f>C23*(1+D24)</f>
        <v>0</v>
      </c>
      <c r="E23" s="2928">
        <f>D23*(1+E24)</f>
        <v>0</v>
      </c>
      <c r="F23" s="2929"/>
      <c r="G23" s="2930"/>
      <c r="H23" s="2841"/>
      <c r="I23" s="2842"/>
      <c r="J23" s="3711"/>
      <c r="K23" s="3713"/>
      <c r="L23" s="2876" t="s">
        <v>2410</v>
      </c>
      <c r="M23" s="2877"/>
      <c r="N23" s="2877"/>
      <c r="O23" s="2878"/>
      <c r="P23" s="2879">
        <v>365</v>
      </c>
      <c r="Q23" s="2853"/>
      <c r="R23" s="2919">
        <f>ROUND(M23*N23*O23*P23/10000,0)</f>
        <v>0</v>
      </c>
      <c r="S23" s="2834"/>
      <c r="T23" s="2834"/>
      <c r="U23" s="2834"/>
      <c r="V23" s="2842"/>
    </row>
    <row r="24" spans="1:22" s="2846" customFormat="1" ht="13.15" customHeight="1">
      <c r="A24" s="2931"/>
      <c r="B24" s="2932" t="s">
        <v>2411</v>
      </c>
      <c r="C24" s="2933"/>
      <c r="D24" s="2934"/>
      <c r="E24" s="2935"/>
      <c r="F24" s="2936"/>
      <c r="G24" s="2930"/>
      <c r="H24" s="2841"/>
      <c r="I24" s="2842"/>
      <c r="J24" s="3711"/>
      <c r="K24" s="3714"/>
      <c r="L24" s="2896" t="s">
        <v>2372</v>
      </c>
      <c r="M24" s="2897">
        <f>SUM(M21:M23)</f>
        <v>0</v>
      </c>
      <c r="N24" s="2897"/>
      <c r="O24" s="2898"/>
      <c r="P24" s="2911" t="s">
        <v>2436</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2412</v>
      </c>
      <c r="L25" s="2939"/>
      <c r="M25" s="2939"/>
      <c r="N25" s="2939"/>
      <c r="O25" s="2939"/>
      <c r="P25" s="2940"/>
      <c r="Q25" s="2941">
        <v>0</v>
      </c>
      <c r="R25" s="2912">
        <f>ROUND(R14*Q25,0)</f>
        <v>0</v>
      </c>
      <c r="S25" s="2834"/>
      <c r="T25" s="2834"/>
      <c r="U25" s="2834"/>
      <c r="V25" s="2942"/>
    </row>
    <row r="26" spans="1:22" s="2943" customFormat="1" ht="13.15" customHeight="1">
      <c r="A26" s="2924">
        <v>2</v>
      </c>
      <c r="B26" s="2925" t="s">
        <v>2413</v>
      </c>
      <c r="C26" s="2926">
        <f>D7</f>
        <v>0</v>
      </c>
      <c r="D26" s="2927">
        <f>D23*D27</f>
        <v>0</v>
      </c>
      <c r="E26" s="2928">
        <f>E23*E27</f>
        <v>0</v>
      </c>
      <c r="F26" s="2929"/>
      <c r="G26" s="2930"/>
      <c r="H26" s="2841"/>
      <c r="I26" s="2842"/>
      <c r="J26" s="3721">
        <v>5</v>
      </c>
      <c r="K26" s="2944" t="s">
        <v>2414</v>
      </c>
      <c r="L26" s="2945"/>
      <c r="M26" s="2946"/>
      <c r="N26" s="2947" t="s">
        <v>2415</v>
      </c>
      <c r="O26" s="2947" t="s">
        <v>2416</v>
      </c>
      <c r="P26" s="2948" t="s">
        <v>2417</v>
      </c>
      <c r="Q26" s="2948" t="s">
        <v>2418</v>
      </c>
      <c r="R26" s="2851" t="s">
        <v>2343</v>
      </c>
      <c r="S26" s="2949"/>
      <c r="T26" s="2949"/>
      <c r="U26" s="2949"/>
      <c r="V26" s="2942"/>
    </row>
    <row r="27" spans="1:22" s="2846" customFormat="1" ht="13.15" customHeight="1">
      <c r="A27" s="2931"/>
      <c r="B27" s="2932" t="s">
        <v>2419</v>
      </c>
      <c r="C27" s="2950" t="e">
        <f>E7</f>
        <v>#DIV/0!</v>
      </c>
      <c r="D27" s="2934"/>
      <c r="E27" s="2935"/>
      <c r="F27" s="2936"/>
      <c r="G27" s="2930"/>
      <c r="H27" s="2951"/>
      <c r="I27" s="2942"/>
      <c r="J27" s="372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2420</v>
      </c>
      <c r="F28" s="2936"/>
      <c r="G28" s="2923"/>
      <c r="H28" s="2951"/>
      <c r="I28" s="2942"/>
      <c r="J28" s="2957">
        <v>6</v>
      </c>
      <c r="K28" s="2958" t="s">
        <v>2421</v>
      </c>
      <c r="L28" s="2959" t="s">
        <v>2422</v>
      </c>
      <c r="M28" s="2960"/>
      <c r="N28" s="2959" t="s">
        <v>2423</v>
      </c>
      <c r="O28" s="2961"/>
      <c r="P28" s="2959" t="s">
        <v>2424</v>
      </c>
      <c r="Q28" s="2962">
        <v>1.4999999999999999E-2</v>
      </c>
      <c r="R28" s="2963"/>
      <c r="S28" s="2915"/>
      <c r="T28" s="2915"/>
      <c r="U28" s="2915"/>
      <c r="V28" s="2942"/>
    </row>
    <row r="29" spans="1:22" s="2943" customFormat="1" ht="13.15" customHeight="1">
      <c r="A29" s="2924">
        <v>3</v>
      </c>
      <c r="B29" s="2925" t="s">
        <v>2425</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2419</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2426</v>
      </c>
      <c r="K31" s="2832"/>
      <c r="L31" s="2832"/>
      <c r="M31" s="2832"/>
      <c r="N31" s="2832"/>
      <c r="O31" s="2832"/>
      <c r="P31" s="2832"/>
      <c r="Q31" s="2832"/>
      <c r="R31" s="2833"/>
      <c r="S31" s="2915"/>
      <c r="T31" s="2834"/>
      <c r="U31" s="2834"/>
      <c r="V31" s="2942"/>
    </row>
    <row r="32" spans="1:22" s="2943" customFormat="1" ht="13.15" customHeight="1">
      <c r="A32" s="2924">
        <v>4</v>
      </c>
      <c r="B32" s="2925" t="s">
        <v>2427</v>
      </c>
      <c r="C32" s="2926">
        <f>C23-C26-C29</f>
        <v>0</v>
      </c>
      <c r="D32" s="2927">
        <f>D23-D26-D29</f>
        <v>0</v>
      </c>
      <c r="E32" s="2928">
        <f>E23-E26-E29</f>
        <v>0</v>
      </c>
      <c r="F32" s="2929"/>
      <c r="G32" s="2923"/>
      <c r="H32" s="2841"/>
      <c r="I32" s="2842"/>
      <c r="J32" s="3704" t="s">
        <v>2319</v>
      </c>
      <c r="K32" s="3705"/>
      <c r="L32" s="2843" t="s">
        <v>2320</v>
      </c>
      <c r="M32" s="2843" t="s">
        <v>2321</v>
      </c>
      <c r="N32" s="2843" t="s">
        <v>2322</v>
      </c>
      <c r="O32" s="2843" t="s">
        <v>2323</v>
      </c>
      <c r="P32" s="2843" t="s">
        <v>2324</v>
      </c>
      <c r="Q32" s="2844" t="s">
        <v>2325</v>
      </c>
      <c r="R32" s="2966" t="s">
        <v>2326</v>
      </c>
      <c r="S32" s="2915"/>
      <c r="T32" s="2834"/>
      <c r="U32" s="2834"/>
      <c r="V32" s="2942"/>
    </row>
    <row r="33" spans="1:23" s="2846" customFormat="1" ht="13.15" customHeight="1">
      <c r="A33" s="2924"/>
      <c r="B33" s="2925"/>
      <c r="C33" s="2926"/>
      <c r="D33" s="2967"/>
      <c r="E33" s="2968"/>
      <c r="F33" s="2929"/>
      <c r="G33" s="2923"/>
      <c r="H33" s="2951"/>
      <c r="I33" s="2942"/>
      <c r="J33" s="3706" t="s">
        <v>2329</v>
      </c>
      <c r="K33" s="3707"/>
      <c r="L33" s="2849"/>
      <c r="M33" s="2849"/>
      <c r="N33" s="2849"/>
      <c r="O33" s="2849"/>
      <c r="P33" s="2849"/>
      <c r="Q33" s="2850"/>
      <c r="R33" s="2969">
        <f>SUM(L33:Q33)</f>
        <v>0</v>
      </c>
      <c r="S33" s="2915"/>
      <c r="T33" s="2834"/>
      <c r="U33" s="2834"/>
      <c r="V33" s="2842"/>
    </row>
    <row r="34" spans="1:23" s="2846" customFormat="1" ht="13.15" customHeight="1">
      <c r="A34" s="2924">
        <v>5</v>
      </c>
      <c r="B34" s="2925" t="s">
        <v>2428</v>
      </c>
      <c r="C34" s="2970"/>
      <c r="D34" s="2971"/>
      <c r="E34" s="2972"/>
      <c r="F34" s="2929"/>
      <c r="G34" s="2923"/>
      <c r="H34" s="2951"/>
      <c r="I34" s="2942"/>
      <c r="J34" s="3706" t="s">
        <v>2331</v>
      </c>
      <c r="K34" s="370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2429</v>
      </c>
      <c r="C35" s="2974"/>
      <c r="D35" s="2975"/>
      <c r="E35" s="2976"/>
      <c r="F35" s="2929"/>
      <c r="G35" s="2977"/>
      <c r="H35" s="2841"/>
      <c r="I35" s="2942"/>
      <c r="J35" s="2860" t="s">
        <v>2333</v>
      </c>
      <c r="K35" s="2861"/>
      <c r="L35" s="2861"/>
      <c r="M35" s="2862"/>
      <c r="N35" s="2862"/>
      <c r="O35" s="2862"/>
      <c r="P35" s="2862"/>
      <c r="Q35" s="2862"/>
      <c r="R35" s="2978">
        <f>R40+R41+R43</f>
        <v>0</v>
      </c>
      <c r="S35" s="2915"/>
      <c r="T35" s="2834" t="s">
        <v>2334</v>
      </c>
      <c r="U35" s="2834"/>
      <c r="V35" s="2842"/>
    </row>
    <row r="36" spans="1:23" s="2846" customFormat="1" ht="13.15" customHeight="1" thickBot="1">
      <c r="A36" s="2924">
        <v>7</v>
      </c>
      <c r="B36" s="2979" t="s">
        <v>2430</v>
      </c>
      <c r="C36" s="2980"/>
      <c r="D36" s="2981"/>
      <c r="E36" s="2982"/>
      <c r="F36" s="2983">
        <f>C36+D36+E36</f>
        <v>0</v>
      </c>
      <c r="G36" s="2923"/>
      <c r="H36" s="2841"/>
      <c r="I36" s="2842"/>
      <c r="J36" s="3711">
        <v>1</v>
      </c>
      <c r="K36" s="3712" t="s">
        <v>2431</v>
      </c>
      <c r="L36" s="2867"/>
      <c r="M36" s="2868"/>
      <c r="N36" s="2868"/>
      <c r="O36" s="2868"/>
      <c r="P36" s="2868"/>
      <c r="Q36" s="2868"/>
      <c r="R36" s="2851" t="s">
        <v>2343</v>
      </c>
      <c r="S36" s="2915"/>
      <c r="T36" s="2834" t="s">
        <v>2344</v>
      </c>
      <c r="U36" s="2834"/>
      <c r="V36" s="2842"/>
    </row>
    <row r="37" spans="1:23" s="2846" customFormat="1" ht="13.15" customHeight="1">
      <c r="A37" s="2924"/>
      <c r="B37" s="2925"/>
      <c r="C37" s="2925"/>
      <c r="D37" s="2925"/>
      <c r="E37" s="2925"/>
      <c r="F37" s="2929"/>
      <c r="G37" s="2923"/>
      <c r="H37" s="2841"/>
      <c r="I37" s="2842"/>
      <c r="J37" s="3711"/>
      <c r="K37" s="3713"/>
      <c r="L37" s="2876"/>
      <c r="M37" s="2877"/>
      <c r="N37" s="2853"/>
      <c r="O37" s="2878"/>
      <c r="P37" s="2878"/>
      <c r="Q37" s="2879"/>
      <c r="R37" s="2880"/>
      <c r="S37" s="2915"/>
      <c r="T37" s="2834" t="s">
        <v>2347</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11"/>
      <c r="K38" s="3713"/>
      <c r="L38" s="2876"/>
      <c r="M38" s="2877"/>
      <c r="N38" s="2853"/>
      <c r="O38" s="2878"/>
      <c r="P38" s="2878"/>
      <c r="Q38" s="2879"/>
      <c r="R38" s="2880"/>
      <c r="S38" s="2915"/>
      <c r="T38" s="2834" t="s">
        <v>2354</v>
      </c>
      <c r="U38" s="2834"/>
      <c r="V38" s="2842"/>
    </row>
    <row r="39" spans="1:23" s="2846" customFormat="1" ht="13.15" customHeight="1">
      <c r="A39" s="2924">
        <v>9</v>
      </c>
      <c r="B39" s="2925" t="s">
        <v>2432</v>
      </c>
      <c r="C39" s="2890" t="e">
        <f>C38</f>
        <v>#DIV/0!</v>
      </c>
      <c r="D39" s="2925">
        <f>D38/(1+D34)^C36</f>
        <v>0</v>
      </c>
      <c r="E39" s="2925">
        <f>E38/(1+E34)^(C36+D36)</f>
        <v>0</v>
      </c>
      <c r="F39" s="2929"/>
      <c r="G39" s="2984"/>
      <c r="H39" s="2841"/>
      <c r="I39" s="2842"/>
      <c r="J39" s="3711"/>
      <c r="K39" s="3713"/>
      <c r="L39" s="2876"/>
      <c r="M39" s="2877"/>
      <c r="N39" s="2853"/>
      <c r="O39" s="2878"/>
      <c r="P39" s="2878"/>
      <c r="Q39" s="2879"/>
      <c r="R39" s="2880"/>
      <c r="S39" s="2915"/>
      <c r="T39" s="2834"/>
      <c r="U39" s="2834"/>
      <c r="V39" s="2842"/>
    </row>
    <row r="40" spans="1:23" s="2846" customFormat="1" ht="13.15" customHeight="1">
      <c r="A40" s="2985">
        <v>10</v>
      </c>
      <c r="B40" s="2925" t="s">
        <v>2433</v>
      </c>
      <c r="C40" s="2986" t="e">
        <f>C39+D39+E39</f>
        <v>#DIV/0!</v>
      </c>
      <c r="D40" s="2987"/>
      <c r="E40" s="2987"/>
      <c r="F40" s="2988"/>
      <c r="G40" s="2923"/>
      <c r="H40" s="2841"/>
      <c r="I40" s="2842"/>
      <c r="J40" s="3711"/>
      <c r="K40" s="3714"/>
      <c r="L40" s="2896" t="s">
        <v>2372</v>
      </c>
      <c r="M40" s="2897"/>
      <c r="N40" s="2897"/>
      <c r="O40" s="2898"/>
      <c r="P40" s="2898"/>
      <c r="Q40" s="2899"/>
      <c r="R40" s="2845">
        <f>SUM(R37:R39)</f>
        <v>0</v>
      </c>
      <c r="S40" s="2915"/>
      <c r="T40" s="2834"/>
      <c r="U40" s="2834"/>
      <c r="V40" s="2842"/>
    </row>
    <row r="41" spans="1:23" s="2846" customFormat="1" ht="13.15" customHeight="1" thickBot="1">
      <c r="A41" s="2989">
        <v>11</v>
      </c>
      <c r="B41" s="2990" t="s">
        <v>2434</v>
      </c>
      <c r="C41" s="2990" t="e">
        <f>ROUND(C40*10000/B4,0)</f>
        <v>#DIV/0!</v>
      </c>
      <c r="D41" s="2991"/>
      <c r="E41" s="2991"/>
      <c r="F41" s="2992"/>
      <c r="G41" s="2993"/>
      <c r="H41" s="2841"/>
      <c r="I41" s="2842"/>
      <c r="J41" s="2937">
        <v>2</v>
      </c>
      <c r="K41" s="2938" t="s">
        <v>2412</v>
      </c>
      <c r="L41" s="2939"/>
      <c r="M41" s="2939"/>
      <c r="N41" s="2939"/>
      <c r="O41" s="2939"/>
      <c r="P41" s="2940"/>
      <c r="Q41" s="2941"/>
      <c r="R41" s="2912">
        <f>ROUND(R40*Q41,0)</f>
        <v>0</v>
      </c>
      <c r="S41" s="2915"/>
      <c r="T41" s="2834"/>
      <c r="U41" s="2949"/>
      <c r="V41" s="2842"/>
    </row>
    <row r="42" spans="1:23" s="2846" customFormat="1" ht="13.15" customHeight="1">
      <c r="G42" s="2993"/>
      <c r="H42" s="2841"/>
      <c r="I42" s="2842"/>
      <c r="J42" s="3721">
        <v>3</v>
      </c>
      <c r="K42" s="2944" t="s">
        <v>2414</v>
      </c>
      <c r="L42" s="2945"/>
      <c r="M42" s="2946"/>
      <c r="N42" s="2947" t="s">
        <v>2415</v>
      </c>
      <c r="O42" s="2947" t="s">
        <v>2416</v>
      </c>
      <c r="P42" s="2948" t="s">
        <v>2417</v>
      </c>
      <c r="Q42" s="2948" t="s">
        <v>2418</v>
      </c>
      <c r="R42" s="2851" t="s">
        <v>2343</v>
      </c>
      <c r="S42" s="2949"/>
      <c r="T42" s="2949"/>
      <c r="U42" s="2834"/>
      <c r="V42" s="2842"/>
    </row>
    <row r="43" spans="1:23" ht="13.15" customHeight="1">
      <c r="A43" s="2846"/>
      <c r="B43" s="2846"/>
      <c r="C43" s="2846"/>
      <c r="D43" s="2846"/>
      <c r="E43" s="2846"/>
      <c r="F43" s="2846"/>
      <c r="I43" s="2829"/>
      <c r="J43" s="372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2421</v>
      </c>
      <c r="L44" s="2997" t="s">
        <v>2422</v>
      </c>
      <c r="M44" s="2960"/>
      <c r="N44" s="2997" t="s">
        <v>2423</v>
      </c>
      <c r="O44" s="2960"/>
      <c r="P44" s="2997" t="s">
        <v>2424</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9" sqref="J39"/>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1" t="s">
        <v>1657</v>
      </c>
      <c r="B1" s="1862"/>
      <c r="C1" s="1862"/>
      <c r="D1" s="1862"/>
      <c r="E1" s="1863"/>
      <c r="F1" s="2700"/>
      <c r="G1" s="1484"/>
      <c r="H1" s="1484"/>
      <c r="I1" s="1484"/>
      <c r="J1" s="1484"/>
      <c r="K1" s="1484"/>
      <c r="L1" s="1484"/>
      <c r="M1" s="1484"/>
      <c r="N1" s="1484"/>
      <c r="O1" s="1484"/>
      <c r="P1" s="1484"/>
      <c r="Q1" s="1484"/>
      <c r="R1" s="1484"/>
      <c r="S1" s="1484"/>
    </row>
    <row r="2" spans="1:22" ht="15.75">
      <c r="A2" s="1864" t="s">
        <v>1461</v>
      </c>
      <c r="B2" s="1865">
        <f ca="1">SUMIF(B6:B13,"&lt;&gt;#ref!",B6:B13)</f>
        <v>159498</v>
      </c>
      <c r="C2" s="1866" t="s">
        <v>1650</v>
      </c>
      <c r="D2" s="1867" t="s">
        <v>1651</v>
      </c>
      <c r="E2" s="2601">
        <f>SUM(E6:E13)</f>
        <v>135125.56999999998</v>
      </c>
      <c r="F2" s="2700"/>
      <c r="G2" s="1484"/>
      <c r="H2" s="1484"/>
      <c r="I2" s="1484"/>
      <c r="J2" s="1484"/>
      <c r="K2" s="1484"/>
      <c r="L2" s="1484"/>
      <c r="M2" s="1484"/>
      <c r="N2" s="1484"/>
      <c r="O2" s="1484"/>
      <c r="P2" s="1484"/>
      <c r="Q2" s="1484"/>
      <c r="R2" s="1484"/>
      <c r="S2" s="1484"/>
    </row>
    <row r="3" spans="1:22" ht="15.75">
      <c r="A3" s="1864" t="s">
        <v>686</v>
      </c>
      <c r="B3" s="2595">
        <f ca="1">ROUND(B2*10000/E2,0)</f>
        <v>11804</v>
      </c>
      <c r="C3" s="1866" t="s">
        <v>1658</v>
      </c>
      <c r="D3" s="2702"/>
      <c r="E3" s="2704"/>
      <c r="F3" s="2700"/>
      <c r="G3" s="1484"/>
      <c r="H3" s="1484"/>
      <c r="I3" s="1484"/>
      <c r="J3" s="1484"/>
      <c r="K3" s="1484"/>
      <c r="L3" s="1484"/>
      <c r="M3" s="1484"/>
      <c r="N3" s="1484"/>
      <c r="O3" s="1484"/>
      <c r="P3" s="1484"/>
      <c r="Q3" s="1484"/>
      <c r="R3" s="1484"/>
      <c r="S3" s="1484"/>
    </row>
    <row r="4" spans="1:22" ht="15.75">
      <c r="A4" s="2705"/>
      <c r="B4" s="2702"/>
      <c r="C4" s="2702"/>
      <c r="D4" s="2702"/>
      <c r="E4" s="2704"/>
      <c r="F4" s="2700"/>
      <c r="G4" s="1484"/>
      <c r="H4" s="1484"/>
      <c r="I4" s="1484"/>
      <c r="J4" s="1484"/>
      <c r="K4" s="1484"/>
      <c r="L4" s="1484"/>
      <c r="M4" s="1484"/>
      <c r="N4" s="1484"/>
      <c r="O4" s="1484"/>
      <c r="P4" s="1484"/>
      <c r="Q4" s="1484"/>
      <c r="R4" s="1484"/>
      <c r="S4" s="1484"/>
    </row>
    <row r="5" spans="1:22" ht="15">
      <c r="A5" s="2597" t="s">
        <v>1652</v>
      </c>
      <c r="B5" s="3723" t="s">
        <v>1653</v>
      </c>
      <c r="C5" s="3724"/>
      <c r="D5" s="2701"/>
      <c r="E5" s="1868" t="s">
        <v>1654</v>
      </c>
      <c r="F5" s="1869" t="s">
        <v>1655</v>
      </c>
      <c r="G5" s="1484"/>
      <c r="H5" s="1484"/>
      <c r="I5" s="1484"/>
      <c r="J5" s="1484"/>
      <c r="K5" s="1484"/>
      <c r="L5" s="1484"/>
      <c r="M5" s="1484"/>
      <c r="N5" s="1484"/>
      <c r="O5" s="1484"/>
      <c r="P5" s="1484"/>
      <c r="Q5" s="1484"/>
      <c r="R5" s="1484"/>
      <c r="S5" s="1484"/>
    </row>
    <row r="6" spans="1:22">
      <c r="A6" s="2598" t="str">
        <f>'数据-取费表'!AN6</f>
        <v>收益法-工业</v>
      </c>
      <c r="B6" s="2596">
        <f ca="1">IF(F6="是",'数据-取费表'!AO6,0)</f>
        <v>159498</v>
      </c>
      <c r="C6" s="1866" t="s">
        <v>1650</v>
      </c>
      <c r="D6" s="2702"/>
      <c r="E6" s="2600">
        <f>IF(OR(A6=0,F6="否"),0,'数据-取费表'!K6+'数据-取费表'!S6)</f>
        <v>135125.56999999998</v>
      </c>
      <c r="F6" s="1870" t="s">
        <v>1656</v>
      </c>
      <c r="G6" s="1484"/>
      <c r="H6" s="1484"/>
      <c r="I6" s="1484"/>
      <c r="J6" s="1484"/>
      <c r="K6" s="1484"/>
      <c r="L6" s="1484"/>
      <c r="M6" s="1484"/>
      <c r="N6" s="1484"/>
      <c r="O6" s="1484"/>
      <c r="P6" s="1484"/>
      <c r="Q6" s="1484"/>
      <c r="R6" s="1484"/>
      <c r="S6" s="1484"/>
    </row>
    <row r="7" spans="1:22">
      <c r="A7" s="2598">
        <f>'数据-取费表'!AN7</f>
        <v>0</v>
      </c>
      <c r="B7" s="2596" t="e">
        <f ca="1">IF(F7="是",'数据-取费表'!AO7,0)</f>
        <v>#REF!</v>
      </c>
      <c r="C7" s="1866" t="s">
        <v>1650</v>
      </c>
      <c r="D7" s="2702"/>
      <c r="E7" s="2600">
        <f>IF(OR(A7=0,F7="否"),0,'数据-取费表'!K7+'数据-取费表'!S7)</f>
        <v>0</v>
      </c>
      <c r="F7" s="1870" t="s">
        <v>1656</v>
      </c>
      <c r="G7" s="1484"/>
      <c r="H7" s="1484"/>
      <c r="I7" s="1484"/>
      <c r="J7" s="1484"/>
      <c r="K7" s="1484"/>
      <c r="L7" s="1484"/>
      <c r="M7" s="1484"/>
      <c r="N7" s="1484"/>
      <c r="O7" s="1484"/>
      <c r="P7" s="1484"/>
      <c r="Q7" s="1484"/>
      <c r="R7" s="1484"/>
      <c r="S7" s="1484"/>
    </row>
    <row r="8" spans="1:22">
      <c r="A8" s="2598">
        <f>'数据-取费表'!AN8</f>
        <v>0</v>
      </c>
      <c r="B8" s="2596" t="e">
        <f ca="1">IF(F8="是",'数据-取费表'!AO8,0)</f>
        <v>#REF!</v>
      </c>
      <c r="C8" s="1866" t="s">
        <v>1650</v>
      </c>
      <c r="D8" s="2702"/>
      <c r="E8" s="2600">
        <f>IF(OR(A8=0,F8="否"),0,'数据-取费表'!K8+'数据-取费表'!S8)</f>
        <v>0</v>
      </c>
      <c r="F8" s="1870" t="s">
        <v>1656</v>
      </c>
      <c r="G8" s="1484"/>
      <c r="H8" s="1484"/>
      <c r="I8" s="1484"/>
      <c r="J8" s="1484"/>
      <c r="K8" s="1484"/>
      <c r="L8" s="1484"/>
      <c r="M8" s="1484"/>
      <c r="N8" s="1484"/>
      <c r="O8" s="1484"/>
      <c r="P8" s="1484"/>
      <c r="Q8" s="1484"/>
      <c r="R8" s="1484"/>
      <c r="S8" s="1484"/>
    </row>
    <row r="9" spans="1:22">
      <c r="A9" s="2598">
        <f>'数据-取费表'!AN9</f>
        <v>0</v>
      </c>
      <c r="B9" s="2596" t="e">
        <f ca="1">IF(F9="是",'数据-取费表'!AO9,0)</f>
        <v>#REF!</v>
      </c>
      <c r="C9" s="1866" t="s">
        <v>1650</v>
      </c>
      <c r="D9" s="2702"/>
      <c r="E9" s="2600">
        <f>IF(OR(A9=0,F9="否"),0,'数据-取费表'!K9+'数据-取费表'!S9)</f>
        <v>0</v>
      </c>
      <c r="F9" s="1870" t="s">
        <v>1656</v>
      </c>
      <c r="G9" s="1484"/>
      <c r="H9" s="1484"/>
      <c r="I9" s="1484"/>
      <c r="J9" s="1484"/>
      <c r="K9" s="1484"/>
      <c r="L9" s="1484"/>
      <c r="M9" s="1484"/>
      <c r="N9" s="1484"/>
      <c r="O9" s="1484"/>
      <c r="P9" s="1484"/>
      <c r="Q9" s="1484"/>
      <c r="R9" s="1484"/>
      <c r="S9" s="1484"/>
    </row>
    <row r="10" spans="1:22">
      <c r="A10" s="2598">
        <f>'数据-取费表'!AN10</f>
        <v>0</v>
      </c>
      <c r="B10" s="2596" t="e">
        <f ca="1">IF(F10="是",'数据-取费表'!AO10,0)</f>
        <v>#REF!</v>
      </c>
      <c r="C10" s="1866" t="s">
        <v>1650</v>
      </c>
      <c r="D10" s="2702"/>
      <c r="E10" s="2600">
        <f>IF(OR(A10=0,F10="否"),0,'数据-取费表'!K10+'数据-取费表'!S10)</f>
        <v>0</v>
      </c>
      <c r="F10" s="1870" t="s">
        <v>1656</v>
      </c>
      <c r="G10" s="1484"/>
      <c r="H10" s="1484"/>
      <c r="I10" s="1484"/>
      <c r="J10" s="1484"/>
      <c r="K10" s="1484"/>
      <c r="L10" s="1484"/>
      <c r="M10" s="1484"/>
      <c r="N10" s="1484"/>
      <c r="O10" s="1484"/>
      <c r="P10" s="1484"/>
      <c r="Q10" s="1484"/>
      <c r="R10" s="1484"/>
      <c r="S10" s="1484"/>
    </row>
    <row r="11" spans="1:22">
      <c r="A11" s="2598">
        <f>'数据-取费表'!AN11</f>
        <v>0</v>
      </c>
      <c r="B11" s="2596" t="e">
        <f ca="1">IF(F11="是",'数据-取费表'!AO11,0)</f>
        <v>#REF!</v>
      </c>
      <c r="C11" s="1866" t="s">
        <v>1650</v>
      </c>
      <c r="D11" s="2702"/>
      <c r="E11" s="2600">
        <f>IF(OR(A11=0,F11="否"),0,'数据-取费表'!K11+'数据-取费表'!S11)</f>
        <v>0</v>
      </c>
      <c r="F11" s="1870" t="s">
        <v>1656</v>
      </c>
      <c r="G11" s="1484"/>
      <c r="H11" s="1484"/>
      <c r="I11" s="1484"/>
      <c r="J11" s="1484"/>
      <c r="K11" s="1484"/>
      <c r="L11" s="1484"/>
      <c r="M11" s="1484"/>
      <c r="N11" s="1484"/>
      <c r="O11" s="1484"/>
      <c r="P11" s="1484"/>
      <c r="Q11" s="1484"/>
      <c r="R11" s="1484"/>
      <c r="S11" s="1484"/>
    </row>
    <row r="12" spans="1:22">
      <c r="A12" s="2598">
        <f>'数据-取费表'!AN12</f>
        <v>0</v>
      </c>
      <c r="B12" s="2596" t="e">
        <f ca="1">IF(F12="是",'数据-取费表'!AO12,0)</f>
        <v>#REF!</v>
      </c>
      <c r="C12" s="1866" t="s">
        <v>1650</v>
      </c>
      <c r="D12" s="2702"/>
      <c r="E12" s="2600">
        <f>IF(OR(A12=0,F12="否"),0,'数据-取费表'!K12+'数据-取费表'!S12)</f>
        <v>0</v>
      </c>
      <c r="F12" s="1870" t="s">
        <v>1656</v>
      </c>
      <c r="G12" s="1484"/>
      <c r="H12" s="1484"/>
      <c r="I12" s="1484"/>
      <c r="J12" s="1484"/>
      <c r="K12" s="1484"/>
      <c r="L12" s="1484"/>
      <c r="M12" s="1484"/>
      <c r="N12" s="1484"/>
      <c r="O12" s="1484"/>
      <c r="P12" s="1484"/>
      <c r="Q12" s="1484"/>
      <c r="R12" s="1484"/>
      <c r="S12" s="1484"/>
    </row>
    <row r="13" spans="1:22" ht="15" thickBot="1">
      <c r="A13" s="2599">
        <f>'数据-取费表'!AN13</f>
        <v>0</v>
      </c>
      <c r="B13" s="2596" t="e">
        <f ca="1">IF(F13="是",'数据-取费表'!AO13,0)</f>
        <v>#REF!</v>
      </c>
      <c r="C13" s="1871" t="s">
        <v>1650</v>
      </c>
      <c r="D13" s="2703"/>
      <c r="E13" s="2600">
        <f>IF(OR(A13=0,F13="否"),0,'数据-取费表'!K13+'数据-取费表'!S13)</f>
        <v>0</v>
      </c>
      <c r="F13" s="1870" t="s">
        <v>1656</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872" t="s">
        <v>1660</v>
      </c>
      <c r="C1" s="1233" t="s">
        <v>1661</v>
      </c>
      <c r="D1" s="1220"/>
      <c r="E1" s="3419"/>
      <c r="F1" s="1873"/>
      <c r="G1" s="1230" t="s">
        <v>1662</v>
      </c>
      <c r="H1" s="1229"/>
      <c r="I1" s="1229"/>
      <c r="J1" s="1229"/>
      <c r="K1" s="1231"/>
      <c r="L1" s="1232"/>
      <c r="M1" s="1233"/>
      <c r="N1" s="1233"/>
      <c r="O1" s="1233"/>
      <c r="P1" s="1874"/>
      <c r="Q1" s="1219"/>
      <c r="R1" s="1219"/>
      <c r="S1" s="1219"/>
      <c r="T1" s="1219"/>
      <c r="U1" s="1219"/>
      <c r="V1" s="1219"/>
      <c r="W1" s="1219"/>
      <c r="X1" s="1219"/>
      <c r="Y1" s="1219"/>
      <c r="Z1" s="1219"/>
      <c r="AA1" s="1219"/>
      <c r="AB1" s="1219"/>
      <c r="AC1" s="1227"/>
    </row>
    <row r="2" spans="1:29" s="347" customFormat="1" ht="28.5" customHeight="1" thickTop="1">
      <c r="A2" s="1216" t="s">
        <v>685</v>
      </c>
      <c r="B2" s="3420"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1663</v>
      </c>
      <c r="F2" s="1877"/>
      <c r="G2" s="902"/>
      <c r="H2" s="902"/>
      <c r="I2" s="902"/>
      <c r="J2" s="902"/>
      <c r="K2" s="1878"/>
      <c r="L2" s="2706"/>
      <c r="M2" s="2707"/>
      <c r="N2" s="2707"/>
      <c r="O2" s="2707"/>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1664</v>
      </c>
      <c r="D3" s="353">
        <f>IF(D1="",'数据-汇总表'!E3,SUMIF('数据-汇总表'!$C19:$C33,D1,'数据-汇总表'!$E19:$E33))</f>
        <v>135125.56999999998</v>
      </c>
      <c r="E3" s="902"/>
      <c r="F3" s="1882"/>
      <c r="G3" s="902"/>
      <c r="H3" s="902"/>
      <c r="I3" s="902"/>
      <c r="J3" s="902"/>
      <c r="K3" s="1878"/>
      <c r="L3" s="2706"/>
      <c r="M3" s="2707"/>
      <c r="N3" s="2707"/>
      <c r="O3" s="2707"/>
      <c r="P3" s="1879"/>
      <c r="Q3" s="1880"/>
      <c r="R3" s="1880"/>
      <c r="S3" s="1880"/>
      <c r="T3" s="1880"/>
      <c r="U3" s="1880"/>
      <c r="V3" s="1880"/>
      <c r="W3" s="1880"/>
      <c r="X3" s="1880"/>
      <c r="Y3" s="1880"/>
      <c r="Z3" s="1880"/>
      <c r="AA3" s="1880"/>
      <c r="AB3" s="1880"/>
      <c r="AC3" s="1056"/>
    </row>
    <row r="4" spans="1:29" ht="15">
      <c r="A4" s="355" t="s">
        <v>1665</v>
      </c>
      <c r="B4" s="356"/>
      <c r="C4" s="3743" t="s">
        <v>1666</v>
      </c>
      <c r="D4" s="3744"/>
      <c r="E4" s="3745" t="s">
        <v>1667</v>
      </c>
      <c r="F4" s="3746"/>
      <c r="G4" s="3743" t="s">
        <v>1668</v>
      </c>
      <c r="H4" s="3744"/>
      <c r="I4" s="3743" t="s">
        <v>1669</v>
      </c>
      <c r="J4" s="3744"/>
      <c r="K4" s="1883" t="s">
        <v>1670</v>
      </c>
      <c r="L4" s="2708"/>
      <c r="M4" s="2709"/>
      <c r="N4" s="2709"/>
      <c r="O4" s="2709"/>
      <c r="P4" s="3747" t="s">
        <v>1671</v>
      </c>
      <c r="Q4" s="3748"/>
      <c r="R4" s="3730" t="s">
        <v>1667</v>
      </c>
      <c r="S4" s="3731"/>
      <c r="T4" s="3730" t="s">
        <v>1668</v>
      </c>
      <c r="U4" s="3731"/>
      <c r="V4" s="3755" t="s">
        <v>1669</v>
      </c>
      <c r="W4" s="3755"/>
      <c r="X4" s="1350"/>
      <c r="Y4" s="3730" t="s">
        <v>1671</v>
      </c>
      <c r="Z4" s="3731"/>
      <c r="AA4" s="3725" t="s">
        <v>1667</v>
      </c>
      <c r="AB4" s="3725" t="s">
        <v>1668</v>
      </c>
      <c r="AC4" s="3725" t="s">
        <v>1669</v>
      </c>
    </row>
    <row r="5" spans="1:29" ht="15">
      <c r="A5" s="358"/>
      <c r="B5" s="359"/>
      <c r="C5" s="3736" t="s">
        <v>1672</v>
      </c>
      <c r="D5" s="3737"/>
      <c r="E5" s="3734" t="s">
        <v>1673</v>
      </c>
      <c r="F5" s="3735"/>
      <c r="G5" s="3736" t="s">
        <v>1674</v>
      </c>
      <c r="H5" s="3737"/>
      <c r="I5" s="3736" t="s">
        <v>1675</v>
      </c>
      <c r="J5" s="3737"/>
      <c r="K5" s="1884"/>
      <c r="L5" s="2708"/>
      <c r="M5" s="2709"/>
      <c r="N5" s="2709"/>
      <c r="O5" s="2709"/>
      <c r="P5" s="3749"/>
      <c r="Q5" s="3750"/>
      <c r="R5" s="3732"/>
      <c r="S5" s="3733"/>
      <c r="T5" s="3732"/>
      <c r="U5" s="3733"/>
      <c r="V5" s="3755"/>
      <c r="W5" s="3755"/>
      <c r="X5" s="1350"/>
      <c r="Y5" s="3732"/>
      <c r="Z5" s="3733"/>
      <c r="AA5" s="3726"/>
      <c r="AB5" s="3726"/>
      <c r="AC5" s="3726"/>
    </row>
    <row r="6" spans="1:29" ht="15.75" thickBot="1">
      <c r="A6" s="360"/>
      <c r="B6" s="361"/>
      <c r="C6" s="3738" t="s">
        <v>1676</v>
      </c>
      <c r="D6" s="3739"/>
      <c r="E6" s="3740" t="s">
        <v>1676</v>
      </c>
      <c r="F6" s="3741"/>
      <c r="G6" s="3738" t="s">
        <v>1676</v>
      </c>
      <c r="H6" s="3739"/>
      <c r="I6" s="3738" t="s">
        <v>1676</v>
      </c>
      <c r="J6" s="3739"/>
      <c r="K6" s="1884" t="s">
        <v>1677</v>
      </c>
      <c r="L6" s="2708"/>
      <c r="M6" s="2709"/>
      <c r="N6" s="2709"/>
      <c r="O6" s="27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c r="F7" s="367">
        <f>SUMIF(58:58,YEAR(E7)&amp;"-"&amp;MONTH(E7),59:59)</f>
        <v>0</v>
      </c>
      <c r="G7" s="366"/>
      <c r="H7" s="365">
        <f>SUMIF(58:58,YEAR(G7)&amp;"-"&amp;MONTH(G7),59:59)</f>
        <v>0</v>
      </c>
      <c r="I7" s="366"/>
      <c r="J7" s="365">
        <f>SUMIF(58:58,YEAR(I7)&amp;"-"&amp;MONTH(I7),59:59)</f>
        <v>0</v>
      </c>
      <c r="K7" s="1885"/>
      <c r="L7" s="2710"/>
      <c r="M7" s="2711"/>
      <c r="N7" s="2711"/>
      <c r="O7" s="2711"/>
      <c r="P7" s="3728" t="s">
        <v>1679</v>
      </c>
      <c r="Q7" s="3756"/>
      <c r="R7" s="699" t="s">
        <v>20</v>
      </c>
      <c r="S7" s="700">
        <f t="shared" ref="S7:S15" si="0">F7</f>
        <v>0</v>
      </c>
      <c r="T7" s="699" t="s">
        <v>20</v>
      </c>
      <c r="U7" s="700">
        <f t="shared" ref="U7:U15" si="1">H7</f>
        <v>0</v>
      </c>
      <c r="V7" s="699" t="s">
        <v>20</v>
      </c>
      <c r="W7" s="700">
        <f t="shared" ref="W7:W15"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1886"/>
      <c r="F8" s="367">
        <f>SUMIF(61:61,E8,62:62)-SUMIF(61:61,C8,62:62)+100</f>
        <v>100</v>
      </c>
      <c r="G8" s="368"/>
      <c r="H8" s="365">
        <f>SUMIF(61:61,G8,62:62)-SUMIF(61:61,C8,62:62)+100</f>
        <v>100</v>
      </c>
      <c r="I8" s="1886"/>
      <c r="J8" s="365">
        <f>SUMIF(61:61,I8,62:62)-SUMIF(61:61,C8,62:62)+100</f>
        <v>100</v>
      </c>
      <c r="K8" s="1885"/>
      <c r="L8" s="2710"/>
      <c r="M8" s="2711"/>
      <c r="N8" s="2711"/>
      <c r="O8" s="2711"/>
      <c r="P8" s="3728" t="s">
        <v>1682</v>
      </c>
      <c r="Q8" s="3729"/>
      <c r="R8" s="699" t="s">
        <v>20</v>
      </c>
      <c r="S8" s="700">
        <f t="shared" si="0"/>
        <v>100</v>
      </c>
      <c r="T8" s="699" t="s">
        <v>20</v>
      </c>
      <c r="U8" s="700">
        <f t="shared" si="1"/>
        <v>100</v>
      </c>
      <c r="V8" s="699" t="s">
        <v>20</v>
      </c>
      <c r="W8" s="700">
        <f t="shared" si="2"/>
        <v>100</v>
      </c>
      <c r="X8" s="701"/>
      <c r="Y8" s="3728" t="s">
        <v>1682</v>
      </c>
      <c r="Z8" s="3729"/>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5"/>
      <c r="L9" s="2710"/>
      <c r="M9" s="2711"/>
      <c r="N9" s="2711"/>
      <c r="O9" s="2711"/>
      <c r="P9" s="3742"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1885"/>
      <c r="L10" s="2712"/>
      <c r="M10" s="2713"/>
      <c r="N10" s="2713"/>
      <c r="O10" s="2713"/>
      <c r="P10" s="3742"/>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42"/>
      <c r="Q11" s="1338" t="str">
        <f t="shared" si="6"/>
        <v>容积率</v>
      </c>
      <c r="R11" s="699" t="s">
        <v>18</v>
      </c>
      <c r="S11" s="700" t="e">
        <f t="shared" si="0"/>
        <v>#N/A</v>
      </c>
      <c r="T11" s="699" t="s">
        <v>18</v>
      </c>
      <c r="U11" s="700" t="e">
        <f t="shared" si="1"/>
        <v>#N/A</v>
      </c>
      <c r="V11" s="699" t="s">
        <v>18</v>
      </c>
      <c r="W11" s="700" t="e">
        <f t="shared" si="2"/>
        <v>#N/A</v>
      </c>
      <c r="X11" s="701"/>
      <c r="Y11" s="3672"/>
      <c r="Z11" s="52" t="str">
        <f t="shared" si="7"/>
        <v>容积率</v>
      </c>
      <c r="AA11" s="702" t="e">
        <f t="shared" si="3"/>
        <v>#N/A</v>
      </c>
      <c r="AB11" s="702" t="e">
        <f t="shared" si="4"/>
        <v>#N/A</v>
      </c>
      <c r="AC11" s="702"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10"/>
      <c r="M12" s="2711"/>
      <c r="N12" s="2711"/>
      <c r="O12" s="2711"/>
      <c r="P12" s="3742"/>
      <c r="Q12" s="1338">
        <f t="shared" si="6"/>
        <v>111</v>
      </c>
      <c r="R12" s="699" t="s">
        <v>18</v>
      </c>
      <c r="S12" s="700">
        <f t="shared" si="0"/>
        <v>100</v>
      </c>
      <c r="T12" s="699" t="s">
        <v>18</v>
      </c>
      <c r="U12" s="700">
        <f t="shared" si="1"/>
        <v>100</v>
      </c>
      <c r="V12" s="699" t="s">
        <v>18</v>
      </c>
      <c r="W12" s="700">
        <f t="shared" si="2"/>
        <v>100</v>
      </c>
      <c r="X12" s="701"/>
      <c r="Y12" s="3672"/>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5"/>
      <c r="M13" s="2709"/>
      <c r="N13" s="2709"/>
      <c r="O13" s="2709"/>
      <c r="P13" s="3742"/>
      <c r="Q13" s="1338">
        <f t="shared" si="6"/>
        <v>111</v>
      </c>
      <c r="R13" s="699" t="s">
        <v>18</v>
      </c>
      <c r="S13" s="700">
        <f t="shared" si="0"/>
        <v>100</v>
      </c>
      <c r="T13" s="699" t="s">
        <v>18</v>
      </c>
      <c r="U13" s="700">
        <f t="shared" si="1"/>
        <v>100</v>
      </c>
      <c r="V13" s="699" t="s">
        <v>18</v>
      </c>
      <c r="W13" s="700">
        <f t="shared" si="2"/>
        <v>100</v>
      </c>
      <c r="X13" s="701"/>
      <c r="Y13" s="3672"/>
      <c r="Z13" s="52">
        <f t="shared" si="7"/>
        <v>111</v>
      </c>
      <c r="AA13" s="702">
        <f t="shared" si="3"/>
        <v>1</v>
      </c>
      <c r="AB13" s="702">
        <f t="shared" si="4"/>
        <v>1</v>
      </c>
      <c r="AC13" s="702">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5"/>
      <c r="M14" s="2709"/>
      <c r="N14" s="2709"/>
      <c r="O14" s="2709"/>
      <c r="P14" s="3742"/>
      <c r="Q14" s="1338">
        <f t="shared" si="6"/>
        <v>111</v>
      </c>
      <c r="R14" s="699" t="s">
        <v>18</v>
      </c>
      <c r="S14" s="700">
        <f t="shared" si="0"/>
        <v>100</v>
      </c>
      <c r="T14" s="699" t="s">
        <v>18</v>
      </c>
      <c r="U14" s="700">
        <f t="shared" si="1"/>
        <v>100</v>
      </c>
      <c r="V14" s="699" t="s">
        <v>18</v>
      </c>
      <c r="W14" s="700">
        <f t="shared" si="2"/>
        <v>100</v>
      </c>
      <c r="X14" s="701"/>
      <c r="Y14" s="3672"/>
      <c r="Z14" s="52">
        <f t="shared" si="7"/>
        <v>111</v>
      </c>
      <c r="AA14" s="702">
        <f t="shared" si="3"/>
        <v>1</v>
      </c>
      <c r="AB14" s="702">
        <f t="shared" si="4"/>
        <v>1</v>
      </c>
      <c r="AC14" s="702">
        <f t="shared" si="5"/>
        <v>1</v>
      </c>
    </row>
    <row r="15" spans="1:29" ht="85.5">
      <c r="A15" s="391" t="s">
        <v>1689</v>
      </c>
      <c r="B15" s="61" t="s">
        <v>1257</v>
      </c>
      <c r="C15" s="1890"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69" t="s">
        <v>1690</v>
      </c>
      <c r="Q15" s="1347" t="str">
        <f t="shared" si="6"/>
        <v>居住社区成熟度</v>
      </c>
      <c r="R15" s="703" t="s">
        <v>18</v>
      </c>
      <c r="S15" s="704">
        <f t="shared" si="0"/>
        <v>100</v>
      </c>
      <c r="T15" s="703" t="s">
        <v>18</v>
      </c>
      <c r="U15" s="704">
        <f t="shared" si="1"/>
        <v>100</v>
      </c>
      <c r="V15" s="703" t="s">
        <v>18</v>
      </c>
      <c r="W15" s="704">
        <f t="shared" si="2"/>
        <v>100</v>
      </c>
      <c r="X15" s="1350"/>
      <c r="Y15" s="3762" t="s">
        <v>1690</v>
      </c>
      <c r="Z15" s="1351" t="str">
        <f t="shared" si="7"/>
        <v>居住社区成熟度</v>
      </c>
      <c r="AA15" s="1348">
        <f t="shared" si="3"/>
        <v>1</v>
      </c>
      <c r="AB15" s="1348">
        <f t="shared" si="4"/>
        <v>1</v>
      </c>
      <c r="AC15" s="1348">
        <f t="shared" si="5"/>
        <v>1</v>
      </c>
    </row>
    <row r="16" spans="1:29" ht="15">
      <c r="A16" s="379"/>
      <c r="B16" s="397"/>
      <c r="C16" s="398"/>
      <c r="D16" s="399"/>
      <c r="E16" s="1891"/>
      <c r="F16" s="399"/>
      <c r="G16" s="1892"/>
      <c r="H16" s="401"/>
      <c r="I16" s="1892"/>
      <c r="J16" s="399"/>
      <c r="K16" s="1893"/>
      <c r="L16" s="2715"/>
      <c r="M16" s="2709"/>
      <c r="N16" s="2709"/>
      <c r="O16" s="2709"/>
      <c r="P16" s="3770"/>
      <c r="Q16" s="1347"/>
      <c r="R16" s="703"/>
      <c r="S16" s="704"/>
      <c r="T16" s="703"/>
      <c r="U16" s="704"/>
      <c r="V16" s="703"/>
      <c r="W16" s="704"/>
      <c r="X16" s="1350"/>
      <c r="Y16" s="3763"/>
      <c r="Z16" s="1351"/>
      <c r="AA16" s="1348">
        <v>1</v>
      </c>
      <c r="AB16" s="1348">
        <v>1</v>
      </c>
      <c r="AC16" s="1348">
        <v>1</v>
      </c>
    </row>
    <row r="17" spans="1:29" ht="71.25">
      <c r="A17" s="379"/>
      <c r="B17" s="402" t="s">
        <v>1259</v>
      </c>
      <c r="C17" s="1894"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70"/>
      <c r="Q17" s="1347" t="str">
        <f>B17</f>
        <v>交通便捷度</v>
      </c>
      <c r="R17" s="703" t="s">
        <v>18</v>
      </c>
      <c r="S17" s="704">
        <f>F17</f>
        <v>100</v>
      </c>
      <c r="T17" s="703" t="s">
        <v>18</v>
      </c>
      <c r="U17" s="704">
        <f>H17</f>
        <v>100</v>
      </c>
      <c r="V17" s="703" t="s">
        <v>18</v>
      </c>
      <c r="W17" s="704">
        <f>J17</f>
        <v>100</v>
      </c>
      <c r="X17" s="1350"/>
      <c r="Y17" s="3763"/>
      <c r="Z17" s="1351" t="str">
        <f>Q17</f>
        <v>交通便捷度</v>
      </c>
      <c r="AA17" s="1348">
        <f t="shared" si="3"/>
        <v>1</v>
      </c>
      <c r="AB17" s="1348">
        <f t="shared" si="4"/>
        <v>1</v>
      </c>
      <c r="AC17" s="1348">
        <f t="shared" si="5"/>
        <v>1</v>
      </c>
    </row>
    <row r="18" spans="1:29" ht="15">
      <c r="A18" s="379"/>
      <c r="B18" s="407"/>
      <c r="C18" s="1895"/>
      <c r="D18" s="401"/>
      <c r="E18" s="1896"/>
      <c r="F18" s="401"/>
      <c r="G18" s="1897"/>
      <c r="H18" s="399"/>
      <c r="I18" s="1897"/>
      <c r="J18" s="399"/>
      <c r="K18" s="1893"/>
      <c r="L18" s="2715"/>
      <c r="M18" s="2709"/>
      <c r="N18" s="2709"/>
      <c r="O18" s="2709"/>
      <c r="P18" s="3770"/>
      <c r="Q18" s="1347"/>
      <c r="R18" s="703"/>
      <c r="S18" s="704"/>
      <c r="T18" s="703"/>
      <c r="U18" s="704"/>
      <c r="V18" s="703"/>
      <c r="W18" s="704"/>
      <c r="X18" s="1350"/>
      <c r="Y18" s="3763"/>
      <c r="Z18" s="1351"/>
      <c r="AA18" s="1348">
        <v>1</v>
      </c>
      <c r="AB18" s="1348">
        <v>1</v>
      </c>
      <c r="AC18" s="1348">
        <v>1</v>
      </c>
    </row>
    <row r="19" spans="1:29" ht="42.75">
      <c r="A19" s="379"/>
      <c r="B19" s="402" t="s">
        <v>1258</v>
      </c>
      <c r="C19" s="1894"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70"/>
      <c r="Q19" s="1347" t="str">
        <f>B19</f>
        <v>公共配套设施</v>
      </c>
      <c r="R19" s="703" t="s">
        <v>18</v>
      </c>
      <c r="S19" s="704">
        <f>F19</f>
        <v>100</v>
      </c>
      <c r="T19" s="703" t="s">
        <v>18</v>
      </c>
      <c r="U19" s="704">
        <f>H19</f>
        <v>100</v>
      </c>
      <c r="V19" s="703" t="s">
        <v>18</v>
      </c>
      <c r="W19" s="704">
        <f>J19</f>
        <v>100</v>
      </c>
      <c r="X19" s="1350"/>
      <c r="Y19" s="3763"/>
      <c r="Z19" s="1351" t="str">
        <f>Q19</f>
        <v>公共配套设施</v>
      </c>
      <c r="AA19" s="1348">
        <f t="shared" si="3"/>
        <v>1</v>
      </c>
      <c r="AB19" s="1348">
        <f t="shared" si="4"/>
        <v>1</v>
      </c>
      <c r="AC19" s="1348">
        <f t="shared" si="5"/>
        <v>1</v>
      </c>
    </row>
    <row r="20" spans="1:29" ht="15">
      <c r="A20" s="379"/>
      <c r="B20" s="407"/>
      <c r="C20" s="398"/>
      <c r="D20" s="399"/>
      <c r="E20" s="1891"/>
      <c r="F20" s="399"/>
      <c r="G20" s="1892"/>
      <c r="H20" s="399"/>
      <c r="I20" s="1892"/>
      <c r="J20" s="399"/>
      <c r="K20" s="1893"/>
      <c r="L20" s="2715"/>
      <c r="M20" s="2709"/>
      <c r="N20" s="2709"/>
      <c r="O20" s="2709"/>
      <c r="P20" s="3770"/>
      <c r="Q20" s="1347"/>
      <c r="R20" s="703"/>
      <c r="S20" s="704"/>
      <c r="T20" s="703"/>
      <c r="U20" s="704"/>
      <c r="V20" s="703"/>
      <c r="W20" s="704"/>
      <c r="X20" s="1350"/>
      <c r="Y20" s="3763"/>
      <c r="Z20" s="1351"/>
      <c r="AA20" s="1348">
        <v>1</v>
      </c>
      <c r="AB20" s="1348">
        <v>1</v>
      </c>
      <c r="AC20" s="1348">
        <v>1</v>
      </c>
    </row>
    <row r="21" spans="1:29" ht="28.5">
      <c r="A21" s="379"/>
      <c r="B21" s="1126" t="s">
        <v>1260</v>
      </c>
      <c r="C21" s="1894"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70"/>
      <c r="Q21" s="1347" t="str">
        <f>B21</f>
        <v>基础设施水平</v>
      </c>
      <c r="R21" s="703" t="s">
        <v>14</v>
      </c>
      <c r="S21" s="704">
        <f>F21</f>
        <v>100</v>
      </c>
      <c r="T21" s="703" t="s">
        <v>14</v>
      </c>
      <c r="U21" s="704">
        <f>H21</f>
        <v>100</v>
      </c>
      <c r="V21" s="703" t="s">
        <v>14</v>
      </c>
      <c r="W21" s="704">
        <f>J21</f>
        <v>100</v>
      </c>
      <c r="X21" s="1350"/>
      <c r="Y21" s="3763"/>
      <c r="Z21" s="1351" t="str">
        <f>Q21</f>
        <v>基础设施水平</v>
      </c>
      <c r="AA21" s="1348">
        <f t="shared" ref="AA21" si="8">D21/F21</f>
        <v>1</v>
      </c>
      <c r="AB21" s="1348">
        <f t="shared" ref="AB21" si="9">D21/H21</f>
        <v>1</v>
      </c>
      <c r="AC21" s="1348">
        <f t="shared" ref="AC21" si="10">D21/J21</f>
        <v>1</v>
      </c>
    </row>
    <row r="22" spans="1:29" ht="15">
      <c r="A22" s="379"/>
      <c r="B22" s="1126"/>
      <c r="C22" s="1895"/>
      <c r="D22" s="399"/>
      <c r="E22" s="398"/>
      <c r="F22" s="399"/>
      <c r="G22" s="1898"/>
      <c r="H22" s="399"/>
      <c r="I22" s="398"/>
      <c r="J22" s="399"/>
      <c r="K22" s="1899"/>
      <c r="L22" s="2715"/>
      <c r="M22" s="2709"/>
      <c r="N22" s="2709"/>
      <c r="O22" s="2709"/>
      <c r="P22" s="3770"/>
      <c r="Q22" s="1347"/>
      <c r="R22" s="703"/>
      <c r="S22" s="704"/>
      <c r="T22" s="703"/>
      <c r="U22" s="704"/>
      <c r="V22" s="703"/>
      <c r="W22" s="704"/>
      <c r="X22" s="1350"/>
      <c r="Y22" s="3763"/>
      <c r="Z22" s="1351"/>
      <c r="AA22" s="1348">
        <v>1</v>
      </c>
      <c r="AB22" s="1348">
        <v>1</v>
      </c>
      <c r="AC22" s="1348">
        <v>1</v>
      </c>
    </row>
    <row r="23" spans="1:29" ht="42.75">
      <c r="A23" s="379"/>
      <c r="B23" s="402" t="s">
        <v>1261</v>
      </c>
      <c r="C23" s="1894"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70"/>
      <c r="Q23" s="1347" t="str">
        <f>B23</f>
        <v>自然及人文环境</v>
      </c>
      <c r="R23" s="703" t="s">
        <v>18</v>
      </c>
      <c r="S23" s="704">
        <f>F23</f>
        <v>100</v>
      </c>
      <c r="T23" s="703" t="s">
        <v>18</v>
      </c>
      <c r="U23" s="704">
        <f>H23</f>
        <v>100</v>
      </c>
      <c r="V23" s="703" t="s">
        <v>18</v>
      </c>
      <c r="W23" s="704">
        <f>J23</f>
        <v>100</v>
      </c>
      <c r="X23" s="1350"/>
      <c r="Y23" s="3763"/>
      <c r="Z23" s="1351" t="str">
        <f>Q23</f>
        <v>自然及人文环境</v>
      </c>
      <c r="AA23" s="1348">
        <f>D23/F23</f>
        <v>1</v>
      </c>
      <c r="AB23" s="1348">
        <f>D23/H23</f>
        <v>1</v>
      </c>
      <c r="AC23" s="1348">
        <f>D23/J23</f>
        <v>1</v>
      </c>
    </row>
    <row r="24" spans="1:29" ht="15">
      <c r="A24" s="379"/>
      <c r="B24" s="407"/>
      <c r="C24" s="398"/>
      <c r="D24" s="399"/>
      <c r="E24" s="1891"/>
      <c r="F24" s="399"/>
      <c r="G24" s="1892"/>
      <c r="H24" s="399"/>
      <c r="I24" s="1892"/>
      <c r="J24" s="399"/>
      <c r="K24" s="1893"/>
      <c r="L24" s="2715"/>
      <c r="M24" s="2709"/>
      <c r="N24" s="2709"/>
      <c r="O24" s="2709"/>
      <c r="P24" s="3770"/>
      <c r="Q24" s="1347"/>
      <c r="R24" s="703"/>
      <c r="S24" s="704"/>
      <c r="T24" s="703"/>
      <c r="U24" s="704"/>
      <c r="V24" s="703"/>
      <c r="W24" s="704"/>
      <c r="X24" s="1350"/>
      <c r="Y24" s="3763"/>
      <c r="Z24" s="1351"/>
      <c r="AA24" s="1348">
        <v>1</v>
      </c>
      <c r="AB24" s="1348">
        <v>1</v>
      </c>
      <c r="AC24" s="1348">
        <v>1</v>
      </c>
    </row>
    <row r="25" spans="1:29" ht="15">
      <c r="A25" s="379"/>
      <c r="B25" s="375" t="s">
        <v>1691</v>
      </c>
      <c r="C25" s="411"/>
      <c r="D25" s="386">
        <v>100</v>
      </c>
      <c r="E25" s="1900"/>
      <c r="F25" s="386">
        <f>SUMIF(86:86,E25,87:87)-SUMIF(86:86,C25,87:87)+100</f>
        <v>100</v>
      </c>
      <c r="G25" s="1901"/>
      <c r="H25" s="386">
        <f>SUMIF(86:86,G25,87:87)-SUMIF(86:86,C25,87:87)+100</f>
        <v>100</v>
      </c>
      <c r="I25" s="1901"/>
      <c r="J25" s="386">
        <f>SUMIF(86:86,I25,87:87)-SUMIF(86:86,C25,87:87)+100</f>
        <v>100</v>
      </c>
      <c r="K25" s="377"/>
      <c r="L25" s="2715"/>
      <c r="M25" s="2709"/>
      <c r="N25" s="2709"/>
      <c r="O25" s="2709"/>
      <c r="P25" s="3770"/>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3763"/>
      <c r="Z25" s="1351" t="str">
        <f>Q25</f>
        <v>楼层-1</v>
      </c>
      <c r="AA25" s="1348">
        <f t="shared" ref="AA25:AA46" si="15">D25/F25</f>
        <v>1</v>
      </c>
      <c r="AB25" s="1348">
        <f t="shared" ref="AB25:AB46" si="16">D25/H25</f>
        <v>1</v>
      </c>
      <c r="AC25" s="1348">
        <f t="shared" ref="AC25:AC46" si="17">D25/J25</f>
        <v>1</v>
      </c>
    </row>
    <row r="26" spans="1:29" ht="15">
      <c r="A26" s="379"/>
      <c r="B26" s="375" t="s">
        <v>1692</v>
      </c>
      <c r="C26" s="411"/>
      <c r="D26" s="386">
        <v>100</v>
      </c>
      <c r="E26" s="1900"/>
      <c r="F26" s="386">
        <f>SUMIF(88:88,E26,89:89)-SUMIF(88:88,C26,89:89)+100</f>
        <v>100</v>
      </c>
      <c r="G26" s="1901"/>
      <c r="H26" s="386">
        <f>SUMIF(88:88,G26,89:89)-SUMIF(88:88,C26,89:89)+100</f>
        <v>100</v>
      </c>
      <c r="I26" s="1901"/>
      <c r="J26" s="386">
        <f>SUMIF(88:88,I26,89:89)-SUMIF(88:88,C26,89:89)+100</f>
        <v>100</v>
      </c>
      <c r="K26" s="377"/>
      <c r="L26" s="2715"/>
      <c r="M26" s="2709"/>
      <c r="N26" s="2709"/>
      <c r="O26" s="2709"/>
      <c r="P26" s="3770"/>
      <c r="Q26" s="1347" t="str">
        <f t="shared" si="11"/>
        <v>朝向</v>
      </c>
      <c r="R26" s="703" t="s">
        <v>18</v>
      </c>
      <c r="S26" s="704">
        <f t="shared" si="12"/>
        <v>100</v>
      </c>
      <c r="T26" s="703" t="s">
        <v>18</v>
      </c>
      <c r="U26" s="704">
        <f t="shared" si="13"/>
        <v>100</v>
      </c>
      <c r="V26" s="703" t="s">
        <v>18</v>
      </c>
      <c r="W26" s="704">
        <f t="shared" si="14"/>
        <v>100</v>
      </c>
      <c r="X26" s="1350"/>
      <c r="Y26" s="3763"/>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10"/>
      <c r="M27" s="2711"/>
      <c r="N27" s="2711"/>
      <c r="O27" s="2711"/>
      <c r="P27" s="3770"/>
      <c r="Q27" s="1338">
        <f t="shared" si="11"/>
        <v>111</v>
      </c>
      <c r="R27" s="699" t="s">
        <v>18</v>
      </c>
      <c r="S27" s="700">
        <f t="shared" si="12"/>
        <v>100</v>
      </c>
      <c r="T27" s="699" t="s">
        <v>18</v>
      </c>
      <c r="U27" s="700">
        <f t="shared" si="13"/>
        <v>100</v>
      </c>
      <c r="V27" s="699" t="s">
        <v>18</v>
      </c>
      <c r="W27" s="700">
        <f t="shared" si="14"/>
        <v>100</v>
      </c>
      <c r="X27" s="701"/>
      <c r="Y27" s="3763"/>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15"/>
      <c r="M28" s="2709"/>
      <c r="N28" s="2709"/>
      <c r="O28" s="2709"/>
      <c r="P28" s="3770"/>
      <c r="Q28" s="1347">
        <f t="shared" si="11"/>
        <v>111</v>
      </c>
      <c r="R28" s="703" t="s">
        <v>18</v>
      </c>
      <c r="S28" s="704">
        <f t="shared" si="12"/>
        <v>100</v>
      </c>
      <c r="T28" s="703" t="s">
        <v>18</v>
      </c>
      <c r="U28" s="704">
        <f t="shared" si="13"/>
        <v>100</v>
      </c>
      <c r="V28" s="703" t="s">
        <v>18</v>
      </c>
      <c r="W28" s="704">
        <f t="shared" si="14"/>
        <v>100</v>
      </c>
      <c r="X28" s="1350"/>
      <c r="Y28" s="3763"/>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15"/>
      <c r="M29" s="2709"/>
      <c r="N29" s="2709"/>
      <c r="O29" s="2709"/>
      <c r="P29" s="3770"/>
      <c r="Q29" s="1347">
        <f t="shared" si="11"/>
        <v>111</v>
      </c>
      <c r="R29" s="703" t="s">
        <v>18</v>
      </c>
      <c r="S29" s="704">
        <f t="shared" si="12"/>
        <v>100</v>
      </c>
      <c r="T29" s="703" t="s">
        <v>18</v>
      </c>
      <c r="U29" s="704">
        <f t="shared" si="13"/>
        <v>100</v>
      </c>
      <c r="V29" s="703" t="s">
        <v>18</v>
      </c>
      <c r="W29" s="704">
        <f t="shared" si="14"/>
        <v>100</v>
      </c>
      <c r="X29" s="1350"/>
      <c r="Y29" s="3763"/>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15"/>
      <c r="M30" s="2709"/>
      <c r="N30" s="2709"/>
      <c r="O30" s="2709"/>
      <c r="P30" s="3770"/>
      <c r="Q30" s="1347">
        <f t="shared" si="11"/>
        <v>111</v>
      </c>
      <c r="R30" s="703" t="s">
        <v>18</v>
      </c>
      <c r="S30" s="704">
        <f t="shared" si="12"/>
        <v>100</v>
      </c>
      <c r="T30" s="703" t="s">
        <v>18</v>
      </c>
      <c r="U30" s="704">
        <f t="shared" si="13"/>
        <v>100</v>
      </c>
      <c r="V30" s="703" t="s">
        <v>18</v>
      </c>
      <c r="W30" s="704">
        <f t="shared" si="14"/>
        <v>100</v>
      </c>
      <c r="X30" s="1350"/>
      <c r="Y30" s="3763"/>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15"/>
      <c r="M31" s="2709"/>
      <c r="N31" s="2709"/>
      <c r="O31" s="2709"/>
      <c r="P31" s="3770"/>
      <c r="Q31" s="1347">
        <f t="shared" si="11"/>
        <v>111</v>
      </c>
      <c r="R31" s="703" t="s">
        <v>18</v>
      </c>
      <c r="S31" s="704">
        <f t="shared" si="12"/>
        <v>100</v>
      </c>
      <c r="T31" s="703" t="s">
        <v>18</v>
      </c>
      <c r="U31" s="704">
        <f t="shared" si="13"/>
        <v>100</v>
      </c>
      <c r="V31" s="703" t="s">
        <v>18</v>
      </c>
      <c r="W31" s="704">
        <f t="shared" si="14"/>
        <v>100</v>
      </c>
      <c r="X31" s="1350"/>
      <c r="Y31" s="3763"/>
      <c r="Z31" s="1351">
        <f t="shared" si="18"/>
        <v>111</v>
      </c>
      <c r="AA31" s="1348">
        <f t="shared" si="15"/>
        <v>1</v>
      </c>
      <c r="AB31" s="1348">
        <f t="shared" si="16"/>
        <v>1</v>
      </c>
      <c r="AC31" s="1348">
        <f t="shared" si="17"/>
        <v>1</v>
      </c>
    </row>
    <row r="32" spans="1:29" ht="15">
      <c r="A32" s="391" t="s">
        <v>1693</v>
      </c>
      <c r="B32" s="63" t="s">
        <v>1694</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c r="L32" s="2715"/>
      <c r="M32" s="2709"/>
      <c r="N32" s="2709"/>
      <c r="O32" s="2709"/>
      <c r="P32" s="3764" t="s">
        <v>1695</v>
      </c>
      <c r="Q32" s="1347" t="str">
        <f t="shared" si="11"/>
        <v>建筑类型</v>
      </c>
      <c r="R32" s="703" t="s">
        <v>18</v>
      </c>
      <c r="S32" s="704">
        <f t="shared" si="12"/>
        <v>100</v>
      </c>
      <c r="T32" s="703" t="s">
        <v>18</v>
      </c>
      <c r="U32" s="704">
        <f t="shared" si="13"/>
        <v>100</v>
      </c>
      <c r="V32" s="703" t="s">
        <v>18</v>
      </c>
      <c r="W32" s="704">
        <f t="shared" si="14"/>
        <v>100</v>
      </c>
      <c r="X32" s="1350"/>
      <c r="Y32" s="3767"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8"/>
      <c r="L33" s="2714"/>
      <c r="M33" s="2716"/>
      <c r="N33" s="2716"/>
      <c r="O33" s="2716"/>
      <c r="P33" s="3765"/>
      <c r="Q33" s="705" t="str">
        <f t="shared" si="11"/>
        <v>项目建筑规模</v>
      </c>
      <c r="R33" s="706" t="s">
        <v>18</v>
      </c>
      <c r="S33" s="707" t="e">
        <f t="shared" si="12"/>
        <v>#N/A</v>
      </c>
      <c r="T33" s="706" t="s">
        <v>18</v>
      </c>
      <c r="U33" s="707" t="e">
        <f t="shared" si="13"/>
        <v>#N/A</v>
      </c>
      <c r="V33" s="706" t="s">
        <v>18</v>
      </c>
      <c r="W33" s="707" t="e">
        <f t="shared" si="14"/>
        <v>#N/A</v>
      </c>
      <c r="X33" s="708"/>
      <c r="Y33" s="3767"/>
      <c r="Z33" s="709" t="str">
        <f t="shared" si="18"/>
        <v>项目建筑规模</v>
      </c>
      <c r="AA33" s="1348" t="e">
        <f t="shared" si="15"/>
        <v>#N/A</v>
      </c>
      <c r="AB33" s="1348" t="e">
        <f t="shared" si="16"/>
        <v>#N/A</v>
      </c>
      <c r="AC33" s="1348" t="e">
        <f t="shared" si="17"/>
        <v>#N/A</v>
      </c>
    </row>
    <row r="34" spans="1:29" ht="15">
      <c r="A34" s="423"/>
      <c r="B34" s="375" t="s">
        <v>1697</v>
      </c>
      <c r="C34" s="1906"/>
      <c r="D34" s="386">
        <v>100</v>
      </c>
      <c r="E34" s="1907"/>
      <c r="F34" s="412">
        <f>SUMIF(105:105,E34,106:106)-SUMIF(105:105,C34,106:106)+100</f>
        <v>100</v>
      </c>
      <c r="G34" s="1906"/>
      <c r="H34" s="386">
        <f>SUMIF(105:105,G34,106:106)-SUMIF(105:105,C34,106:106)+100</f>
        <v>100</v>
      </c>
      <c r="I34" s="1907"/>
      <c r="J34" s="386">
        <f>SUMIF(105:105,I34,106:106)-SUMIF(105:105,C34,106:106)+100</f>
        <v>100</v>
      </c>
      <c r="K34" s="377"/>
      <c r="L34" s="2715"/>
      <c r="M34" s="2709"/>
      <c r="N34" s="2709"/>
      <c r="O34" s="2709"/>
      <c r="P34" s="3765"/>
      <c r="Q34" s="1347" t="str">
        <f t="shared" si="11"/>
        <v>建筑结构</v>
      </c>
      <c r="R34" s="703" t="s">
        <v>18</v>
      </c>
      <c r="S34" s="704">
        <f t="shared" si="12"/>
        <v>100</v>
      </c>
      <c r="T34" s="703" t="s">
        <v>18</v>
      </c>
      <c r="U34" s="704">
        <f t="shared" si="13"/>
        <v>100</v>
      </c>
      <c r="V34" s="703" t="s">
        <v>18</v>
      </c>
      <c r="W34" s="704">
        <f t="shared" si="14"/>
        <v>100</v>
      </c>
      <c r="X34" s="1350"/>
      <c r="Y34" s="3767"/>
      <c r="Z34" s="1351" t="str">
        <f t="shared" si="18"/>
        <v>建筑结构</v>
      </c>
      <c r="AA34" s="1348">
        <f t="shared" si="15"/>
        <v>1</v>
      </c>
      <c r="AB34" s="1348">
        <f t="shared" si="16"/>
        <v>1</v>
      </c>
      <c r="AC34" s="1348">
        <f t="shared" si="17"/>
        <v>1</v>
      </c>
    </row>
    <row r="35" spans="1:29" ht="15">
      <c r="A35" s="423"/>
      <c r="B35" s="375" t="s">
        <v>1698</v>
      </c>
      <c r="C35" s="1900"/>
      <c r="D35" s="386">
        <v>100</v>
      </c>
      <c r="E35" s="1901"/>
      <c r="F35" s="412">
        <f>SUMIF(107:107,E35,108:108)-SUMIF(107:107,C35,108:108)+100</f>
        <v>100</v>
      </c>
      <c r="G35" s="1900"/>
      <c r="H35" s="386">
        <f>SUMIF(107:107,G35,108:108)-SUMIF(107:107,C35,108:108)+100</f>
        <v>100</v>
      </c>
      <c r="I35" s="1901"/>
      <c r="J35" s="386">
        <f>SUMIF(107:107,I35,108:108)-SUMIF(107:107,C35,108:108)+100</f>
        <v>100</v>
      </c>
      <c r="K35" s="377"/>
      <c r="L35" s="2715"/>
      <c r="M35" s="2709"/>
      <c r="N35" s="2709"/>
      <c r="O35" s="2709"/>
      <c r="P35" s="3765"/>
      <c r="Q35" s="1347" t="str">
        <f t="shared" si="11"/>
        <v>建筑品质</v>
      </c>
      <c r="R35" s="703" t="s">
        <v>18</v>
      </c>
      <c r="S35" s="704">
        <f t="shared" si="12"/>
        <v>100</v>
      </c>
      <c r="T35" s="703" t="s">
        <v>18</v>
      </c>
      <c r="U35" s="704">
        <f t="shared" si="13"/>
        <v>100</v>
      </c>
      <c r="V35" s="703" t="s">
        <v>18</v>
      </c>
      <c r="W35" s="704">
        <f t="shared" si="14"/>
        <v>100</v>
      </c>
      <c r="X35" s="1350"/>
      <c r="Y35" s="3767"/>
      <c r="Z35" s="1351" t="str">
        <f t="shared" si="18"/>
        <v>建筑品质</v>
      </c>
      <c r="AA35" s="1348">
        <f t="shared" si="15"/>
        <v>1</v>
      </c>
      <c r="AB35" s="1348">
        <f t="shared" si="16"/>
        <v>1</v>
      </c>
      <c r="AC35" s="1348">
        <f t="shared" si="17"/>
        <v>1</v>
      </c>
    </row>
    <row r="36" spans="1:29" ht="15">
      <c r="A36" s="423"/>
      <c r="B36" s="375" t="s">
        <v>1699</v>
      </c>
      <c r="C36" s="1900"/>
      <c r="D36" s="386">
        <v>100</v>
      </c>
      <c r="E36" s="1901"/>
      <c r="F36" s="412">
        <f>SUMIF(109:109,E36,110:110)-SUMIF(109:109,C36,110:110)+100</f>
        <v>100</v>
      </c>
      <c r="G36" s="1900"/>
      <c r="H36" s="386">
        <f>SUMIF(109:109,G36,110:110)-SUMIF(109:109,C36,110:110)+100</f>
        <v>100</v>
      </c>
      <c r="I36" s="1901"/>
      <c r="J36" s="386">
        <f>SUMIF(109:109,I36,110:110)-SUMIF(109:109,C36,110:110)+100</f>
        <v>100</v>
      </c>
      <c r="K36" s="377"/>
      <c r="L36" s="2715"/>
      <c r="M36" s="2709"/>
      <c r="N36" s="2709"/>
      <c r="O36" s="2709"/>
      <c r="P36" s="3765"/>
      <c r="Q36" s="1347" t="str">
        <f t="shared" si="11"/>
        <v>公共部分装修</v>
      </c>
      <c r="R36" s="703" t="s">
        <v>18</v>
      </c>
      <c r="S36" s="704">
        <f t="shared" si="12"/>
        <v>100</v>
      </c>
      <c r="T36" s="703" t="s">
        <v>18</v>
      </c>
      <c r="U36" s="704">
        <f t="shared" si="13"/>
        <v>100</v>
      </c>
      <c r="V36" s="703" t="s">
        <v>18</v>
      </c>
      <c r="W36" s="704">
        <f t="shared" si="14"/>
        <v>100</v>
      </c>
      <c r="X36" s="1350"/>
      <c r="Y36" s="3767"/>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65"/>
      <c r="Q37" s="1338" t="str">
        <f t="shared" si="11"/>
        <v>成新度</v>
      </c>
      <c r="R37" s="699" t="s">
        <v>18</v>
      </c>
      <c r="S37" s="700" t="e">
        <f t="shared" si="12"/>
        <v>#N/A</v>
      </c>
      <c r="T37" s="699" t="s">
        <v>18</v>
      </c>
      <c r="U37" s="700" t="e">
        <f t="shared" si="13"/>
        <v>#N/A</v>
      </c>
      <c r="V37" s="699" t="s">
        <v>18</v>
      </c>
      <c r="W37" s="700" t="e">
        <f t="shared" si="14"/>
        <v>#N/A</v>
      </c>
      <c r="X37" s="701"/>
      <c r="Y37" s="3767"/>
      <c r="Z37" s="52" t="str">
        <f t="shared" si="18"/>
        <v>成新度</v>
      </c>
      <c r="AA37" s="702" t="e">
        <f t="shared" si="15"/>
        <v>#N/A</v>
      </c>
      <c r="AB37" s="702" t="e">
        <f t="shared" si="16"/>
        <v>#N/A</v>
      </c>
      <c r="AC37" s="702" t="e">
        <f t="shared" si="17"/>
        <v>#N/A</v>
      </c>
    </row>
    <row r="38" spans="1:29" ht="15">
      <c r="A38" s="423"/>
      <c r="B38" s="375" t="s">
        <v>1701</v>
      </c>
      <c r="C38" s="1900"/>
      <c r="D38" s="386">
        <v>100</v>
      </c>
      <c r="E38" s="1901"/>
      <c r="F38" s="412">
        <f>SUMIF(114:114,E38,115:115)-SUMIF(114:114,C38,115:115)+100</f>
        <v>100</v>
      </c>
      <c r="G38" s="1900"/>
      <c r="H38" s="386">
        <f>SUMIF(114:114,G38,115:115)-SUMIF(114:114,C38,115:115)+100</f>
        <v>100</v>
      </c>
      <c r="I38" s="1901"/>
      <c r="J38" s="386">
        <f>SUMIF(114:114,I38,115:115)-SUMIF(114:114,C38,115:115)+100</f>
        <v>100</v>
      </c>
      <c r="K38" s="377"/>
      <c r="L38" s="2715"/>
      <c r="M38" s="2709"/>
      <c r="N38" s="2709"/>
      <c r="O38" s="2709"/>
      <c r="P38" s="3765" t="s">
        <v>1695</v>
      </c>
      <c r="Q38" s="1347" t="str">
        <f t="shared" si="11"/>
        <v>物业管理</v>
      </c>
      <c r="R38" s="703" t="s">
        <v>18</v>
      </c>
      <c r="S38" s="704">
        <f t="shared" si="12"/>
        <v>100</v>
      </c>
      <c r="T38" s="703" t="s">
        <v>18</v>
      </c>
      <c r="U38" s="704">
        <f t="shared" si="13"/>
        <v>100</v>
      </c>
      <c r="V38" s="703" t="s">
        <v>18</v>
      </c>
      <c r="W38" s="704">
        <f t="shared" si="14"/>
        <v>100</v>
      </c>
      <c r="X38" s="1350"/>
      <c r="Y38" s="3767" t="s">
        <v>1695</v>
      </c>
      <c r="Z38" s="1351" t="str">
        <f t="shared" si="18"/>
        <v>物业管理</v>
      </c>
      <c r="AA38" s="1348">
        <f t="shared" si="15"/>
        <v>1</v>
      </c>
      <c r="AB38" s="1348">
        <f t="shared" si="16"/>
        <v>1</v>
      </c>
      <c r="AC38" s="1348">
        <f t="shared" si="17"/>
        <v>1</v>
      </c>
    </row>
    <row r="39" spans="1:29" ht="15">
      <c r="A39" s="423"/>
      <c r="B39" s="375" t="s">
        <v>1702</v>
      </c>
      <c r="C39" s="1900"/>
      <c r="D39" s="386">
        <v>100</v>
      </c>
      <c r="E39" s="1901"/>
      <c r="F39" s="412">
        <f>SUMIF(116:116,E39,117:117)-SUMIF(116:116,C39,117:117)+100</f>
        <v>100</v>
      </c>
      <c r="G39" s="1900"/>
      <c r="H39" s="386">
        <f>SUMIF(116:116,G39,117:117)-SUMIF(116:116,C39,117:117)+100</f>
        <v>100</v>
      </c>
      <c r="I39" s="1901"/>
      <c r="J39" s="386">
        <f>SUMIF(116:116,I39,117:117)-SUMIF(116:116,C39,117:117)+100</f>
        <v>100</v>
      </c>
      <c r="K39" s="377"/>
      <c r="L39" s="2715"/>
      <c r="M39" s="2709"/>
      <c r="N39" s="2709"/>
      <c r="O39" s="2709"/>
      <c r="P39" s="3765"/>
      <c r="Q39" s="1347" t="str">
        <f t="shared" si="11"/>
        <v>市政基础设施</v>
      </c>
      <c r="R39" s="703" t="s">
        <v>18</v>
      </c>
      <c r="S39" s="704">
        <f t="shared" si="12"/>
        <v>100</v>
      </c>
      <c r="T39" s="703" t="s">
        <v>18</v>
      </c>
      <c r="U39" s="704">
        <f t="shared" si="13"/>
        <v>100</v>
      </c>
      <c r="V39" s="703" t="s">
        <v>18</v>
      </c>
      <c r="W39" s="704">
        <f t="shared" si="14"/>
        <v>100</v>
      </c>
      <c r="X39" s="1350"/>
      <c r="Y39" s="3767"/>
      <c r="Z39" s="1351" t="str">
        <f t="shared" si="18"/>
        <v>市政基础设施</v>
      </c>
      <c r="AA39" s="1348">
        <f t="shared" si="15"/>
        <v>1</v>
      </c>
      <c r="AB39" s="1348">
        <f t="shared" si="16"/>
        <v>1</v>
      </c>
      <c r="AC39" s="1348">
        <f t="shared" si="17"/>
        <v>1</v>
      </c>
    </row>
    <row r="40" spans="1:29" ht="15">
      <c r="A40" s="423"/>
      <c r="B40" s="375" t="s">
        <v>1703</v>
      </c>
      <c r="C40" s="1900"/>
      <c r="D40" s="386">
        <v>100</v>
      </c>
      <c r="E40" s="1901"/>
      <c r="F40" s="412">
        <f>SUMIF(118:118,E40,119:119)-SUMIF(118:118,C40,119:119)+100</f>
        <v>100</v>
      </c>
      <c r="G40" s="1900"/>
      <c r="H40" s="386">
        <f>SUMIF(118:118,G40,119:119)-SUMIF(118:118,C40,119:119)+100</f>
        <v>100</v>
      </c>
      <c r="I40" s="1901"/>
      <c r="J40" s="386">
        <f>SUMIF(118:118,I40,119:119)-SUMIF(118:118,C40,119:119)+100</f>
        <v>100</v>
      </c>
      <c r="K40" s="377"/>
      <c r="L40" s="2715"/>
      <c r="M40" s="2709"/>
      <c r="N40" s="2709"/>
      <c r="O40" s="2709"/>
      <c r="P40" s="3765"/>
      <c r="Q40" s="1347" t="str">
        <f t="shared" si="11"/>
        <v>房型</v>
      </c>
      <c r="R40" s="703" t="s">
        <v>18</v>
      </c>
      <c r="S40" s="704">
        <f t="shared" si="12"/>
        <v>100</v>
      </c>
      <c r="T40" s="703" t="s">
        <v>18</v>
      </c>
      <c r="U40" s="704">
        <f t="shared" si="13"/>
        <v>100</v>
      </c>
      <c r="V40" s="703" t="s">
        <v>18</v>
      </c>
      <c r="W40" s="704">
        <f t="shared" si="14"/>
        <v>100</v>
      </c>
      <c r="X40" s="1350"/>
      <c r="Y40" s="3767"/>
      <c r="Z40" s="1351" t="str">
        <f t="shared" si="18"/>
        <v>房型</v>
      </c>
      <c r="AA40" s="1348">
        <f t="shared" si="15"/>
        <v>1</v>
      </c>
      <c r="AB40" s="1348">
        <f t="shared" si="16"/>
        <v>1</v>
      </c>
      <c r="AC40" s="1348">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8"/>
      <c r="L41" s="2714"/>
      <c r="M41" s="2716"/>
      <c r="N41" s="2716"/>
      <c r="O41" s="2716"/>
      <c r="P41" s="3765"/>
      <c r="Q41" s="705" t="str">
        <f t="shared" si="11"/>
        <v>单套/主力户型建筑面积</v>
      </c>
      <c r="R41" s="706" t="s">
        <v>18</v>
      </c>
      <c r="S41" s="707">
        <f t="shared" si="12"/>
        <v>100</v>
      </c>
      <c r="T41" s="706" t="s">
        <v>18</v>
      </c>
      <c r="U41" s="707">
        <f t="shared" si="13"/>
        <v>100</v>
      </c>
      <c r="V41" s="706" t="s">
        <v>18</v>
      </c>
      <c r="W41" s="707">
        <f t="shared" si="14"/>
        <v>100</v>
      </c>
      <c r="X41" s="708"/>
      <c r="Y41" s="3767"/>
      <c r="Z41" s="709" t="str">
        <f t="shared" si="18"/>
        <v>单套/主力户型建筑面积</v>
      </c>
      <c r="AA41" s="1348">
        <f t="shared" si="15"/>
        <v>1</v>
      </c>
      <c r="AB41" s="1348">
        <f t="shared" si="16"/>
        <v>1</v>
      </c>
      <c r="AC41" s="1348">
        <f t="shared" si="17"/>
        <v>1</v>
      </c>
    </row>
    <row r="42" spans="1:29" ht="15">
      <c r="A42" s="423"/>
      <c r="B42" s="375" t="s">
        <v>1705</v>
      </c>
      <c r="C42" s="1900"/>
      <c r="D42" s="386">
        <v>100</v>
      </c>
      <c r="E42" s="1901"/>
      <c r="F42" s="412">
        <f>SUMIF(122:122,E42,123:123)-SUMIF(122:122,C42,123:123)+100</f>
        <v>100</v>
      </c>
      <c r="G42" s="1900"/>
      <c r="H42" s="386">
        <f>SUMIF(122:122,G42,123:123)-SUMIF(122:122,C42,123:123)+100</f>
        <v>100</v>
      </c>
      <c r="I42" s="1901"/>
      <c r="J42" s="386">
        <f>SUMIF(122:122,I42,123:123)-SUMIF(122:122,C42,123:123)+100</f>
        <v>100</v>
      </c>
      <c r="K42" s="377"/>
      <c r="L42" s="2715"/>
      <c r="M42" s="2709"/>
      <c r="N42" s="2709"/>
      <c r="O42" s="2709"/>
      <c r="P42" s="3765"/>
      <c r="Q42" s="1347" t="str">
        <f t="shared" si="11"/>
        <v>内部装修</v>
      </c>
      <c r="R42" s="703" t="s">
        <v>18</v>
      </c>
      <c r="S42" s="704">
        <f t="shared" si="12"/>
        <v>100</v>
      </c>
      <c r="T42" s="703" t="s">
        <v>18</v>
      </c>
      <c r="U42" s="704">
        <f t="shared" si="13"/>
        <v>100</v>
      </c>
      <c r="V42" s="703" t="s">
        <v>18</v>
      </c>
      <c r="W42" s="704">
        <f t="shared" si="14"/>
        <v>100</v>
      </c>
      <c r="X42" s="1350"/>
      <c r="Y42" s="3767"/>
      <c r="Z42" s="1351" t="str">
        <f t="shared" si="18"/>
        <v>内部装修</v>
      </c>
      <c r="AA42" s="1348">
        <f t="shared" si="15"/>
        <v>1</v>
      </c>
      <c r="AB42" s="1348">
        <f t="shared" si="16"/>
        <v>1</v>
      </c>
      <c r="AC42" s="1348">
        <f t="shared" si="17"/>
        <v>1</v>
      </c>
    </row>
    <row r="43" spans="1:29" ht="15">
      <c r="A43" s="423"/>
      <c r="B43" s="375" t="s">
        <v>1706</v>
      </c>
      <c r="C43" s="1900"/>
      <c r="D43" s="386">
        <v>100</v>
      </c>
      <c r="E43" s="1901"/>
      <c r="F43" s="412">
        <f>SUMIF(124:124,E43,125:125)-SUMIF(124:124,C43,125:125)+100</f>
        <v>100</v>
      </c>
      <c r="G43" s="1900"/>
      <c r="H43" s="386">
        <f>SUMIF(124:124,G43,125:125)-SUMIF(124:124,C43,125:125)+100</f>
        <v>100</v>
      </c>
      <c r="I43" s="1901"/>
      <c r="J43" s="386">
        <f>SUMIF(124:124,I43,125:125)-SUMIF(124:124,C43,125:125)+100</f>
        <v>100</v>
      </c>
      <c r="K43" s="377"/>
      <c r="L43" s="2715"/>
      <c r="M43" s="2709"/>
      <c r="N43" s="2709"/>
      <c r="O43" s="2709"/>
      <c r="P43" s="3765"/>
      <c r="Q43" s="1347" t="str">
        <f t="shared" si="11"/>
        <v>内部装修维护情况</v>
      </c>
      <c r="R43" s="703" t="s">
        <v>18</v>
      </c>
      <c r="S43" s="704">
        <f t="shared" si="12"/>
        <v>100</v>
      </c>
      <c r="T43" s="703" t="s">
        <v>18</v>
      </c>
      <c r="U43" s="704">
        <f t="shared" si="13"/>
        <v>100</v>
      </c>
      <c r="V43" s="703" t="s">
        <v>18</v>
      </c>
      <c r="W43" s="704">
        <f t="shared" si="14"/>
        <v>100</v>
      </c>
      <c r="X43" s="1350"/>
      <c r="Y43" s="3767"/>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10"/>
      <c r="M44" s="2711"/>
      <c r="N44" s="2711"/>
      <c r="O44" s="2711"/>
      <c r="P44" s="3765"/>
      <c r="Q44" s="1338">
        <f t="shared" si="11"/>
        <v>111</v>
      </c>
      <c r="R44" s="699" t="s">
        <v>18</v>
      </c>
      <c r="S44" s="700">
        <f t="shared" si="12"/>
        <v>100</v>
      </c>
      <c r="T44" s="699" t="s">
        <v>18</v>
      </c>
      <c r="U44" s="700">
        <f t="shared" si="13"/>
        <v>100</v>
      </c>
      <c r="V44" s="699" t="s">
        <v>18</v>
      </c>
      <c r="W44" s="700">
        <f t="shared" si="14"/>
        <v>100</v>
      </c>
      <c r="X44" s="701"/>
      <c r="Y44" s="3767"/>
      <c r="Z44" s="52">
        <f t="shared" si="18"/>
        <v>111</v>
      </c>
      <c r="AA44" s="702">
        <f t="shared" si="15"/>
        <v>1</v>
      </c>
      <c r="AB44" s="702">
        <f t="shared" si="16"/>
        <v>1</v>
      </c>
      <c r="AC44" s="702">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5"/>
      <c r="M45" s="2709"/>
      <c r="N45" s="2709"/>
      <c r="O45" s="2709"/>
      <c r="P45" s="3765"/>
      <c r="Q45" s="1347">
        <f t="shared" si="11"/>
        <v>111</v>
      </c>
      <c r="R45" s="703" t="s">
        <v>18</v>
      </c>
      <c r="S45" s="704">
        <f t="shared" si="12"/>
        <v>100</v>
      </c>
      <c r="T45" s="703" t="s">
        <v>18</v>
      </c>
      <c r="U45" s="704">
        <f t="shared" si="13"/>
        <v>100</v>
      </c>
      <c r="V45" s="703" t="s">
        <v>18</v>
      </c>
      <c r="W45" s="704">
        <f t="shared" si="14"/>
        <v>100</v>
      </c>
      <c r="X45" s="1350"/>
      <c r="Y45" s="3767"/>
      <c r="Z45" s="1351">
        <f t="shared" si="18"/>
        <v>111</v>
      </c>
      <c r="AA45" s="1348">
        <f t="shared" si="15"/>
        <v>1</v>
      </c>
      <c r="AB45" s="1348">
        <f t="shared" si="16"/>
        <v>1</v>
      </c>
      <c r="AC45" s="1348">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5"/>
      <c r="M46" s="2709"/>
      <c r="N46" s="2709"/>
      <c r="O46" s="2709"/>
      <c r="P46" s="3766"/>
      <c r="Q46" s="1347">
        <f t="shared" si="11"/>
        <v>111</v>
      </c>
      <c r="R46" s="703" t="s">
        <v>17</v>
      </c>
      <c r="S46" s="704">
        <f t="shared" si="12"/>
        <v>100</v>
      </c>
      <c r="T46" s="703" t="s">
        <v>17</v>
      </c>
      <c r="U46" s="704">
        <f t="shared" si="13"/>
        <v>100</v>
      </c>
      <c r="V46" s="703" t="s">
        <v>17</v>
      </c>
      <c r="W46" s="704">
        <f t="shared" si="14"/>
        <v>100</v>
      </c>
      <c r="X46" s="1350"/>
      <c r="Y46" s="3768"/>
      <c r="Z46" s="1351">
        <f t="shared" si="18"/>
        <v>111</v>
      </c>
      <c r="AA46" s="1348">
        <f t="shared" si="15"/>
        <v>1</v>
      </c>
      <c r="AB46" s="1348">
        <f t="shared" si="16"/>
        <v>1</v>
      </c>
      <c r="AC46" s="1348">
        <f t="shared" si="17"/>
        <v>1</v>
      </c>
    </row>
    <row r="47" spans="1:29" ht="15">
      <c r="A47" s="430" t="s">
        <v>1707</v>
      </c>
      <c r="B47" s="431"/>
      <c r="C47" s="1149" t="s">
        <v>16</v>
      </c>
      <c r="D47" s="1150"/>
      <c r="E47" s="1151"/>
      <c r="F47" s="1152"/>
      <c r="G47" s="1153"/>
      <c r="H47" s="1154"/>
      <c r="I47" s="1151"/>
      <c r="J47" s="1154"/>
      <c r="K47" s="1908"/>
      <c r="L47" s="2717"/>
      <c r="M47" s="2718"/>
      <c r="N47" s="2709"/>
      <c r="O47" s="2718"/>
      <c r="P47" s="3760" t="str">
        <f>A47</f>
        <v>成交单价（元/平方米）</v>
      </c>
      <c r="Q47" s="3760"/>
      <c r="R47" s="3761">
        <f>E47</f>
        <v>0</v>
      </c>
      <c r="S47" s="3761"/>
      <c r="T47" s="3761">
        <f>G47</f>
        <v>0</v>
      </c>
      <c r="U47" s="3761"/>
      <c r="V47" s="3761">
        <f>I47</f>
        <v>0</v>
      </c>
      <c r="W47" s="3761"/>
      <c r="X47" s="688"/>
      <c r="Y47" s="710"/>
      <c r="Z47" s="688"/>
      <c r="AA47" s="688"/>
      <c r="AB47" s="688"/>
      <c r="AC47" s="688"/>
    </row>
    <row r="48" spans="1:29" ht="15.75" thickBot="1">
      <c r="A48" s="437" t="s">
        <v>1708</v>
      </c>
      <c r="B48" s="438"/>
      <c r="C48" s="1155" t="e">
        <f>R49</f>
        <v>#DIV/0!</v>
      </c>
      <c r="D48" s="2311" t="s">
        <v>2136</v>
      </c>
      <c r="E48" s="1156" t="e">
        <f>R48</f>
        <v>#DIV/0!</v>
      </c>
      <c r="F48" s="2312"/>
      <c r="G48" s="1155" t="e">
        <f>T48</f>
        <v>#DIV/0!</v>
      </c>
      <c r="H48" s="2312"/>
      <c r="I48" s="1156" t="e">
        <f>V48</f>
        <v>#DIV/0!</v>
      </c>
      <c r="J48" s="2312"/>
      <c r="K48" s="2313">
        <f>F48+H48+J48</f>
        <v>0</v>
      </c>
      <c r="L48" s="2717"/>
      <c r="M48" s="2718"/>
      <c r="N48" s="2718"/>
      <c r="O48" s="2718"/>
      <c r="P48" s="3760" t="str">
        <f>A48</f>
        <v>比较价值（元/平方米）</v>
      </c>
      <c r="Q48" s="3760"/>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88"/>
      <c r="Y48" s="688"/>
      <c r="Z48" s="688"/>
      <c r="AA48" s="688"/>
      <c r="AB48" s="688"/>
      <c r="AC48" s="688"/>
    </row>
    <row r="49" spans="1:29" ht="15.75" thickBot="1">
      <c r="A49" s="441" t="s">
        <v>1709</v>
      </c>
      <c r="B49" s="442"/>
      <c r="C49" s="1157" t="e">
        <f>R49</f>
        <v>#DIV/0!</v>
      </c>
      <c r="D49" s="1158"/>
      <c r="E49" s="1158"/>
      <c r="F49" s="1158"/>
      <c r="G49" s="1158"/>
      <c r="H49" s="1158"/>
      <c r="I49" s="1158"/>
      <c r="J49" s="1158"/>
      <c r="K49" s="1909"/>
      <c r="L49" s="2717"/>
      <c r="M49" s="2718"/>
      <c r="N49" s="2718"/>
      <c r="O49" s="2718"/>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1"/>
    </row>
    <row r="55" spans="1:29" s="451" customFormat="1">
      <c r="A55" s="2721"/>
      <c r="B55" s="2724"/>
      <c r="C55" s="2725"/>
      <c r="D55" s="2721"/>
      <c r="E55" s="2721"/>
      <c r="F55" s="2721"/>
      <c r="G55" s="2721"/>
      <c r="H55" s="2721"/>
      <c r="I55" s="2721"/>
      <c r="J55" s="2721"/>
      <c r="K55" s="2726"/>
      <c r="L55" s="2720"/>
      <c r="M55" s="2721"/>
      <c r="N55" s="2721"/>
      <c r="O55" s="2721"/>
      <c r="P55" s="1911"/>
    </row>
    <row r="56" spans="1:29">
      <c r="A56" s="2718"/>
      <c r="B56" s="2724"/>
      <c r="C56" s="2725"/>
      <c r="D56" s="2718"/>
      <c r="E56" s="2718"/>
      <c r="F56" s="2718"/>
      <c r="G56" s="2718"/>
      <c r="H56" s="2718"/>
      <c r="I56" s="2718"/>
      <c r="J56" s="2718"/>
      <c r="K56" s="2723"/>
      <c r="L56" s="2719"/>
      <c r="M56" s="2718"/>
      <c r="N56" s="2718"/>
      <c r="O56" s="2718"/>
    </row>
    <row r="57" spans="1:29" ht="21.75" thickBot="1">
      <c r="A57" s="692" t="s">
        <v>1713</v>
      </c>
      <c r="B57" s="688"/>
      <c r="C57" s="693"/>
      <c r="D57" s="693"/>
      <c r="E57" s="693"/>
      <c r="F57" s="694"/>
      <c r="G57" s="694"/>
      <c r="H57" s="693"/>
      <c r="I57" s="693"/>
      <c r="J57" s="693"/>
      <c r="K57" s="936"/>
      <c r="L57" s="937"/>
      <c r="M57" s="935"/>
      <c r="N57" s="935"/>
      <c r="O57" s="935"/>
      <c r="P57" s="1912"/>
      <c r="Q57" s="453"/>
    </row>
    <row r="58" spans="1:29" s="457" customFormat="1" ht="15">
      <c r="A58" s="454" t="s">
        <v>1714</v>
      </c>
      <c r="B58" s="455"/>
      <c r="C58" s="1181" t="str">
        <f>YEAR(C7)&amp;"-"&amp;MONTH(C7)</f>
        <v>2024-4</v>
      </c>
      <c r="D58" s="1180">
        <f>EDATE(C58,-1)</f>
        <v>45352</v>
      </c>
      <c r="E58" s="1180">
        <f>EDATE(D58,-1)</f>
        <v>45323</v>
      </c>
      <c r="F58" s="1180">
        <f t="shared" ref="F58:O58" si="19">EDATE(E58,-1)</f>
        <v>45292</v>
      </c>
      <c r="G58" s="1180">
        <f t="shared" si="19"/>
        <v>45261</v>
      </c>
      <c r="H58" s="1180">
        <f t="shared" si="19"/>
        <v>45231</v>
      </c>
      <c r="I58" s="1180">
        <f t="shared" si="19"/>
        <v>45200</v>
      </c>
      <c r="J58" s="1180">
        <f t="shared" si="19"/>
        <v>45170</v>
      </c>
      <c r="K58" s="1180">
        <f t="shared" si="19"/>
        <v>45139</v>
      </c>
      <c r="L58" s="1180">
        <f t="shared" si="19"/>
        <v>45108</v>
      </c>
      <c r="M58" s="1180">
        <f t="shared" si="19"/>
        <v>45078</v>
      </c>
      <c r="N58" s="1180">
        <f t="shared" si="19"/>
        <v>45047</v>
      </c>
      <c r="O58" s="1180">
        <f t="shared" si="19"/>
        <v>45017</v>
      </c>
      <c r="P58" s="1176"/>
    </row>
    <row r="59" spans="1:29" s="108" customFormat="1" ht="15">
      <c r="A59" s="458"/>
      <c r="B59" s="1913"/>
      <c r="C59" s="1178">
        <v>100</v>
      </c>
      <c r="D59" s="460"/>
      <c r="E59" s="461"/>
      <c r="F59" s="461"/>
      <c r="G59" s="461"/>
      <c r="H59" s="461"/>
      <c r="I59" s="461"/>
      <c r="J59" s="461"/>
      <c r="K59" s="461"/>
      <c r="L59" s="461"/>
      <c r="M59" s="462"/>
      <c r="N59" s="461"/>
      <c r="O59" s="462"/>
      <c r="P59" s="1914"/>
    </row>
    <row r="60" spans="1:29" s="108" customFormat="1" ht="15.75" thickBot="1">
      <c r="A60" s="464" t="s">
        <v>1715</v>
      </c>
      <c r="B60" s="465"/>
      <c r="C60" s="466"/>
      <c r="D60" s="467"/>
      <c r="E60" s="467"/>
      <c r="F60" s="467"/>
      <c r="G60" s="467"/>
      <c r="H60" s="467"/>
      <c r="I60" s="467"/>
      <c r="J60" s="467"/>
      <c r="K60" s="467"/>
      <c r="L60" s="467"/>
      <c r="M60" s="468"/>
      <c r="N60" s="467"/>
      <c r="O60" s="468"/>
      <c r="P60" s="1914"/>
      <c r="Q60" s="453"/>
    </row>
    <row r="61" spans="1:29" s="108" customFormat="1" ht="15">
      <c r="A61" s="470" t="s">
        <v>1716</v>
      </c>
      <c r="B61" s="459"/>
      <c r="C61" s="471" t="s">
        <v>1717</v>
      </c>
      <c r="D61" s="472"/>
      <c r="E61" s="472"/>
      <c r="F61" s="472"/>
      <c r="G61" s="472"/>
      <c r="H61" s="472"/>
      <c r="I61" s="472"/>
      <c r="J61" s="472"/>
      <c r="K61" s="472"/>
      <c r="L61" s="473"/>
      <c r="M61" s="474"/>
      <c r="N61" s="927"/>
      <c r="O61" s="927"/>
      <c r="P61" s="1915"/>
      <c r="Q61" s="453"/>
    </row>
    <row r="62" spans="1:29" s="108" customFormat="1" ht="15.75" thickBot="1">
      <c r="A62" s="470"/>
      <c r="B62" s="459"/>
      <c r="C62" s="460">
        <v>100</v>
      </c>
      <c r="D62" s="461"/>
      <c r="E62" s="461"/>
      <c r="F62" s="461"/>
      <c r="G62" s="461"/>
      <c r="H62" s="461"/>
      <c r="I62" s="461"/>
      <c r="J62" s="461"/>
      <c r="K62" s="461"/>
      <c r="L62" s="461"/>
      <c r="M62" s="463"/>
      <c r="N62" s="927"/>
      <c r="O62" s="927"/>
      <c r="P62" s="1914"/>
      <c r="Q62" s="453"/>
    </row>
    <row r="63" spans="1:29">
      <c r="A63" s="476" t="s">
        <v>1718</v>
      </c>
      <c r="B63" s="477" t="s">
        <v>1684</v>
      </c>
      <c r="C63" s="478">
        <f>C9</f>
        <v>0</v>
      </c>
      <c r="D63" s="479"/>
      <c r="E63" s="479"/>
      <c r="F63" s="479"/>
      <c r="G63" s="479"/>
      <c r="H63" s="479"/>
      <c r="I63" s="479"/>
      <c r="J63" s="479"/>
      <c r="K63" s="480"/>
      <c r="L63" s="481"/>
      <c r="M63" s="482"/>
      <c r="N63" s="928"/>
      <c r="O63" s="928"/>
      <c r="P63" s="1916"/>
      <c r="Q63" s="453"/>
    </row>
    <row r="64" spans="1:29" ht="15.75" thickBot="1">
      <c r="A64" s="483"/>
      <c r="B64" s="484"/>
      <c r="C64" s="485">
        <v>100</v>
      </c>
      <c r="D64" s="485"/>
      <c r="E64" s="485"/>
      <c r="F64" s="485"/>
      <c r="G64" s="485"/>
      <c r="H64" s="485"/>
      <c r="I64" s="485"/>
      <c r="J64" s="485"/>
      <c r="K64" s="485"/>
      <c r="L64" s="485"/>
      <c r="M64" s="486"/>
      <c r="N64" s="929"/>
      <c r="O64" s="929"/>
      <c r="P64" s="1916"/>
      <c r="Q64" s="453"/>
    </row>
    <row r="65" spans="1:17" ht="27.75" thickTop="1">
      <c r="A65" s="483"/>
      <c r="B65" s="487" t="s">
        <v>1687</v>
      </c>
      <c r="C65" s="532"/>
      <c r="D65" s="532"/>
      <c r="E65" s="532"/>
      <c r="F65" s="532"/>
      <c r="G65" s="532"/>
      <c r="H65" s="532"/>
      <c r="I65" s="532"/>
      <c r="J65" s="532"/>
      <c r="K65" s="532"/>
      <c r="L65" s="532"/>
      <c r="M65" s="532"/>
      <c r="N65" s="929"/>
      <c r="O65" s="929"/>
      <c r="P65" s="1916"/>
      <c r="Q65" s="453"/>
    </row>
    <row r="66" spans="1:17" ht="15.75" thickBot="1">
      <c r="A66" s="483"/>
      <c r="B66" s="492"/>
      <c r="C66" s="485"/>
      <c r="D66" s="485"/>
      <c r="E66" s="485"/>
      <c r="F66" s="485"/>
      <c r="G66" s="485"/>
      <c r="H66" s="485"/>
      <c r="I66" s="485"/>
      <c r="J66" s="485"/>
      <c r="K66" s="485"/>
      <c r="L66" s="485"/>
      <c r="M66" s="486"/>
      <c r="N66" s="929"/>
      <c r="O66" s="929"/>
      <c r="P66" s="1916"/>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6"/>
      <c r="Q67" s="453"/>
    </row>
    <row r="68" spans="1:17" ht="15">
      <c r="A68" s="483"/>
      <c r="B68" s="497"/>
      <c r="C68" s="498"/>
      <c r="D68" s="498"/>
      <c r="E68" s="498"/>
      <c r="F68" s="498"/>
      <c r="G68" s="498"/>
      <c r="H68" s="498"/>
      <c r="I68" s="498"/>
      <c r="J68" s="498"/>
      <c r="K68" s="499"/>
      <c r="L68" s="500"/>
      <c r="M68" s="501"/>
      <c r="N68" s="928"/>
      <c r="O68" s="928"/>
      <c r="P68" s="1916"/>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6"/>
      <c r="Q69" s="453"/>
    </row>
    <row r="70" spans="1:17" s="422" customFormat="1" ht="15.75" thickTop="1">
      <c r="A70" s="502"/>
      <c r="B70" s="487">
        <f>B12</f>
        <v>111</v>
      </c>
      <c r="C70" s="503"/>
      <c r="D70" s="503"/>
      <c r="E70" s="503"/>
      <c r="F70" s="503"/>
      <c r="G70" s="503"/>
      <c r="H70" s="504"/>
      <c r="I70" s="504"/>
      <c r="J70" s="504"/>
      <c r="K70" s="504"/>
      <c r="L70" s="505"/>
      <c r="M70" s="506"/>
      <c r="N70" s="930"/>
      <c r="O70" s="930"/>
      <c r="P70" s="1917"/>
      <c r="Q70" s="508"/>
    </row>
    <row r="71" spans="1:17" s="422" customFormat="1" ht="15.75" thickBot="1">
      <c r="A71" s="502"/>
      <c r="B71" s="492"/>
      <c r="C71" s="509"/>
      <c r="D71" s="485"/>
      <c r="E71" s="485"/>
      <c r="F71" s="485"/>
      <c r="G71" s="485"/>
      <c r="H71" s="485"/>
      <c r="I71" s="485"/>
      <c r="J71" s="485"/>
      <c r="K71" s="485"/>
      <c r="L71" s="485"/>
      <c r="M71" s="486"/>
      <c r="N71" s="929"/>
      <c r="O71" s="929"/>
      <c r="P71" s="1917"/>
      <c r="Q71" s="508"/>
    </row>
    <row r="72" spans="1:17" s="422" customFormat="1" ht="15.75" thickTop="1">
      <c r="A72" s="502"/>
      <c r="B72" s="487">
        <f>B13</f>
        <v>111</v>
      </c>
      <c r="C72" s="503"/>
      <c r="D72" s="503"/>
      <c r="E72" s="503"/>
      <c r="F72" s="503"/>
      <c r="G72" s="503"/>
      <c r="H72" s="504"/>
      <c r="I72" s="504"/>
      <c r="J72" s="504"/>
      <c r="K72" s="504"/>
      <c r="L72" s="505"/>
      <c r="M72" s="506"/>
      <c r="N72" s="930"/>
      <c r="O72" s="930"/>
      <c r="P72" s="1918"/>
      <c r="Q72" s="510"/>
    </row>
    <row r="73" spans="1:17" s="422" customFormat="1" ht="15.75" thickBot="1">
      <c r="A73" s="502"/>
      <c r="B73" s="492"/>
      <c r="C73" s="509"/>
      <c r="D73" s="509"/>
      <c r="E73" s="509"/>
      <c r="F73" s="509"/>
      <c r="G73" s="509"/>
      <c r="H73" s="511"/>
      <c r="I73" s="511"/>
      <c r="J73" s="511"/>
      <c r="K73" s="511"/>
      <c r="L73" s="511"/>
      <c r="M73" s="512"/>
      <c r="N73" s="930"/>
      <c r="O73" s="930"/>
      <c r="P73" s="1917"/>
      <c r="Q73" s="508"/>
    </row>
    <row r="74" spans="1:17" s="422" customFormat="1" ht="15.75" thickTop="1">
      <c r="A74" s="502"/>
      <c r="B74" s="495">
        <f>B14</f>
        <v>111</v>
      </c>
      <c r="C74" s="503"/>
      <c r="D74" s="503"/>
      <c r="E74" s="503"/>
      <c r="F74" s="503"/>
      <c r="G74" s="472"/>
      <c r="H74" s="513"/>
      <c r="I74" s="513"/>
      <c r="J74" s="513"/>
      <c r="K74" s="513"/>
      <c r="L74" s="514"/>
      <c r="M74" s="515"/>
      <c r="N74" s="930"/>
      <c r="O74" s="930"/>
      <c r="P74" s="1919"/>
      <c r="Q74" s="508"/>
    </row>
    <row r="75" spans="1:17" s="422" customFormat="1" ht="15.75" thickBot="1">
      <c r="A75" s="517"/>
      <c r="B75" s="518"/>
      <c r="C75" s="519"/>
      <c r="D75" s="519"/>
      <c r="E75" s="519"/>
      <c r="F75" s="519"/>
      <c r="G75" s="519"/>
      <c r="H75" s="520"/>
      <c r="I75" s="520"/>
      <c r="J75" s="520"/>
      <c r="K75" s="520"/>
      <c r="L75" s="520"/>
      <c r="M75" s="521"/>
      <c r="N75" s="930"/>
      <c r="O75" s="930"/>
      <c r="P75" s="1917"/>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8"/>
      <c r="O76" s="928"/>
      <c r="P76" s="1920"/>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6"/>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8"/>
      <c r="O78" s="928"/>
      <c r="P78" s="1916"/>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6"/>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8"/>
      <c r="O80" s="928"/>
      <c r="P80" s="1916"/>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6"/>
      <c r="Q81" s="453"/>
    </row>
    <row r="82" spans="1:17" ht="15.75" thickTop="1">
      <c r="A82" s="483"/>
      <c r="B82" s="495" t="s">
        <v>1260</v>
      </c>
      <c r="C82" s="488" t="s">
        <v>1727</v>
      </c>
      <c r="D82" s="488" t="s">
        <v>1728</v>
      </c>
      <c r="E82" s="488" t="s">
        <v>1729</v>
      </c>
      <c r="F82" s="488" t="s">
        <v>1730</v>
      </c>
      <c r="G82" s="488" t="s">
        <v>1731</v>
      </c>
      <c r="H82" s="488"/>
      <c r="I82" s="488"/>
      <c r="J82" s="488"/>
      <c r="K82" s="488"/>
      <c r="L82" s="488"/>
      <c r="M82" s="1124"/>
      <c r="N82" s="929"/>
      <c r="O82" s="929"/>
      <c r="P82" s="1916"/>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6"/>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8"/>
      <c r="O84" s="928"/>
      <c r="P84" s="1916"/>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6"/>
      <c r="Q85" s="453"/>
    </row>
    <row r="86" spans="1:17" s="108" customFormat="1" ht="15.75" thickTop="1">
      <c r="A86" s="528"/>
      <c r="B86" s="487" t="s">
        <v>1733</v>
      </c>
      <c r="C86" s="503"/>
      <c r="D86" s="503"/>
      <c r="E86" s="503"/>
      <c r="F86" s="503"/>
      <c r="G86" s="503"/>
      <c r="H86" s="503"/>
      <c r="I86" s="503"/>
      <c r="J86" s="503"/>
      <c r="K86" s="503"/>
      <c r="L86" s="529"/>
      <c r="M86" s="530"/>
      <c r="N86" s="927"/>
      <c r="O86" s="927"/>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6"/>
      <c r="Q87" s="453"/>
    </row>
    <row r="88" spans="1:17" s="108" customFormat="1" ht="15.75" thickTop="1">
      <c r="A88" s="528"/>
      <c r="B88" s="487" t="s">
        <v>1734</v>
      </c>
      <c r="C88" s="503"/>
      <c r="D88" s="503"/>
      <c r="E88" s="503"/>
      <c r="F88" s="1921"/>
      <c r="G88" s="503"/>
      <c r="H88" s="503"/>
      <c r="I88" s="503"/>
      <c r="J88" s="503"/>
      <c r="K88" s="503"/>
      <c r="L88" s="503"/>
      <c r="M88" s="530"/>
      <c r="N88" s="927"/>
      <c r="O88" s="927"/>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6"/>
      <c r="Q89" s="453"/>
    </row>
    <row r="90" spans="1:17" s="422" customFormat="1" ht="15.75" thickTop="1">
      <c r="A90" s="502"/>
      <c r="B90" s="487">
        <f>B27</f>
        <v>111</v>
      </c>
      <c r="C90" s="503"/>
      <c r="D90" s="503"/>
      <c r="E90" s="503"/>
      <c r="F90" s="503"/>
      <c r="G90" s="503"/>
      <c r="H90" s="504"/>
      <c r="I90" s="504"/>
      <c r="J90" s="504"/>
      <c r="K90" s="504"/>
      <c r="L90" s="505"/>
      <c r="M90" s="506"/>
      <c r="N90" s="930"/>
      <c r="O90" s="930"/>
      <c r="P90" s="1917"/>
      <c r="Q90" s="508"/>
    </row>
    <row r="91" spans="1:17" s="422" customFormat="1" ht="15.75" thickBot="1">
      <c r="A91" s="502"/>
      <c r="B91" s="492"/>
      <c r="C91" s="509"/>
      <c r="D91" s="509"/>
      <c r="E91" s="509"/>
      <c r="F91" s="509"/>
      <c r="G91" s="509"/>
      <c r="H91" s="511"/>
      <c r="I91" s="511"/>
      <c r="J91" s="511"/>
      <c r="K91" s="511"/>
      <c r="L91" s="511"/>
      <c r="M91" s="512"/>
      <c r="N91" s="930"/>
      <c r="O91" s="930"/>
      <c r="P91" s="1917"/>
      <c r="Q91" s="508"/>
    </row>
    <row r="92" spans="1:17" ht="15.75" thickTop="1">
      <c r="A92" s="483"/>
      <c r="B92" s="487">
        <f>B28</f>
        <v>111</v>
      </c>
      <c r="C92" s="503"/>
      <c r="D92" s="503"/>
      <c r="E92" s="503"/>
      <c r="F92" s="503"/>
      <c r="G92" s="532"/>
      <c r="H92" s="532"/>
      <c r="I92" s="532"/>
      <c r="J92" s="532"/>
      <c r="K92" s="533"/>
      <c r="L92" s="534"/>
      <c r="M92" s="535"/>
      <c r="N92" s="928"/>
      <c r="O92" s="928"/>
      <c r="P92" s="1916"/>
      <c r="Q92" s="453"/>
    </row>
    <row r="93" spans="1:17" ht="15.75" thickBot="1">
      <c r="A93" s="483"/>
      <c r="B93" s="492"/>
      <c r="C93" s="509"/>
      <c r="D93" s="485"/>
      <c r="E93" s="485"/>
      <c r="F93" s="485"/>
      <c r="G93" s="485"/>
      <c r="H93" s="485"/>
      <c r="I93" s="485"/>
      <c r="J93" s="485"/>
      <c r="K93" s="485"/>
      <c r="L93" s="485"/>
      <c r="M93" s="486"/>
      <c r="N93" s="929"/>
      <c r="O93" s="929"/>
      <c r="P93" s="1916"/>
      <c r="Q93" s="453"/>
    </row>
    <row r="94" spans="1:17" ht="15.75" thickTop="1">
      <c r="A94" s="483"/>
      <c r="B94" s="487">
        <f>B29</f>
        <v>111</v>
      </c>
      <c r="C94" s="503"/>
      <c r="D94" s="503"/>
      <c r="E94" s="503"/>
      <c r="F94" s="503"/>
      <c r="G94" s="532"/>
      <c r="H94" s="532"/>
      <c r="I94" s="532"/>
      <c r="J94" s="532"/>
      <c r="K94" s="533"/>
      <c r="L94" s="534"/>
      <c r="M94" s="535"/>
      <c r="N94" s="928"/>
      <c r="O94" s="928"/>
      <c r="P94" s="1916"/>
      <c r="Q94" s="453"/>
    </row>
    <row r="95" spans="1:17" ht="15.75" thickBot="1">
      <c r="A95" s="483"/>
      <c r="B95" s="492"/>
      <c r="C95" s="509"/>
      <c r="D95" s="509"/>
      <c r="E95" s="509"/>
      <c r="F95" s="509"/>
      <c r="G95" s="485"/>
      <c r="H95" s="485"/>
      <c r="I95" s="485"/>
      <c r="J95" s="485"/>
      <c r="K95" s="485"/>
      <c r="L95" s="485"/>
      <c r="M95" s="486"/>
      <c r="N95" s="929"/>
      <c r="O95" s="929"/>
      <c r="P95" s="1916"/>
      <c r="Q95" s="453"/>
    </row>
    <row r="96" spans="1:17" ht="15.75" thickTop="1">
      <c r="A96" s="483"/>
      <c r="B96" s="487">
        <f>B30</f>
        <v>111</v>
      </c>
      <c r="C96" s="503"/>
      <c r="D96" s="503"/>
      <c r="E96" s="503"/>
      <c r="F96" s="503"/>
      <c r="G96" s="532"/>
      <c r="H96" s="532"/>
      <c r="I96" s="532"/>
      <c r="J96" s="532"/>
      <c r="K96" s="533"/>
      <c r="L96" s="534"/>
      <c r="M96" s="535"/>
      <c r="N96" s="928"/>
      <c r="O96" s="928"/>
      <c r="P96" s="1916"/>
      <c r="Q96" s="453"/>
    </row>
    <row r="97" spans="1:17" ht="15.75" thickBot="1">
      <c r="A97" s="483"/>
      <c r="B97" s="492"/>
      <c r="C97" s="519"/>
      <c r="D97" s="519"/>
      <c r="E97" s="519"/>
      <c r="F97" s="519"/>
      <c r="G97" s="485"/>
      <c r="H97" s="485"/>
      <c r="I97" s="485"/>
      <c r="J97" s="485"/>
      <c r="K97" s="485"/>
      <c r="L97" s="485"/>
      <c r="M97" s="486"/>
      <c r="N97" s="929"/>
      <c r="O97" s="929"/>
      <c r="P97" s="1916"/>
      <c r="Q97" s="453"/>
    </row>
    <row r="98" spans="1:17" ht="15.75" thickTop="1">
      <c r="A98" s="483"/>
      <c r="B98" s="495">
        <f>B31</f>
        <v>111</v>
      </c>
      <c r="C98" s="536"/>
      <c r="D98" s="536"/>
      <c r="E98" s="536"/>
      <c r="F98" s="536"/>
      <c r="G98" s="536"/>
      <c r="H98" s="536"/>
      <c r="I98" s="536"/>
      <c r="J98" s="536"/>
      <c r="K98" s="537"/>
      <c r="L98" s="538"/>
      <c r="M98" s="539"/>
      <c r="N98" s="928"/>
      <c r="O98" s="928"/>
      <c r="P98" s="1916"/>
      <c r="Q98" s="453"/>
    </row>
    <row r="99" spans="1:17" ht="15.75" thickBot="1">
      <c r="A99" s="1922"/>
      <c r="B99" s="518"/>
      <c r="C99" s="540"/>
      <c r="D99" s="540"/>
      <c r="E99" s="540"/>
      <c r="F99" s="540"/>
      <c r="G99" s="540"/>
      <c r="H99" s="540"/>
      <c r="I99" s="540"/>
      <c r="J99" s="540"/>
      <c r="K99" s="540"/>
      <c r="L99" s="540"/>
      <c r="M99" s="541"/>
      <c r="N99" s="929"/>
      <c r="O99" s="929"/>
      <c r="P99" s="1916"/>
      <c r="Q99" s="453"/>
    </row>
    <row r="100" spans="1:17">
      <c r="A100" s="476" t="s">
        <v>1693</v>
      </c>
      <c r="B100" s="477" t="s">
        <v>1735</v>
      </c>
      <c r="C100" s="479"/>
      <c r="D100" s="479"/>
      <c r="E100" s="479"/>
      <c r="F100" s="479"/>
      <c r="G100" s="479"/>
      <c r="H100" s="479"/>
      <c r="I100" s="479"/>
      <c r="J100" s="479"/>
      <c r="K100" s="480"/>
      <c r="L100" s="481"/>
      <c r="M100" s="482"/>
      <c r="N100" s="928"/>
      <c r="O100" s="928"/>
      <c r="P100" s="1916"/>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6"/>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6"/>
      <c r="Q102" s="453"/>
    </row>
    <row r="103" spans="1:17" s="422" customFormat="1">
      <c r="A103" s="542"/>
      <c r="B103" s="543"/>
      <c r="C103" s="544"/>
      <c r="D103" s="544"/>
      <c r="E103" s="544"/>
      <c r="F103" s="544"/>
      <c r="G103" s="544"/>
      <c r="H103" s="544"/>
      <c r="I103" s="544"/>
      <c r="J103" s="545"/>
      <c r="K103" s="545"/>
      <c r="L103" s="546"/>
      <c r="M103" s="547"/>
      <c r="N103" s="930"/>
      <c r="O103" s="930"/>
      <c r="P103" s="1917"/>
      <c r="Q103" s="508"/>
    </row>
    <row r="104" spans="1:17" s="422" customFormat="1" ht="15.75" thickBot="1">
      <c r="A104" s="502"/>
      <c r="B104" s="492"/>
      <c r="C104" s="509"/>
      <c r="D104" s="485"/>
      <c r="E104" s="485"/>
      <c r="F104" s="485"/>
      <c r="G104" s="485"/>
      <c r="H104" s="485"/>
      <c r="I104" s="485"/>
      <c r="J104" s="485"/>
      <c r="K104" s="485"/>
      <c r="L104" s="485"/>
      <c r="M104" s="485"/>
      <c r="N104" s="929"/>
      <c r="O104" s="929"/>
      <c r="P104" s="1917"/>
      <c r="Q104" s="508"/>
    </row>
    <row r="105" spans="1:17" ht="15" thickTop="1">
      <c r="A105" s="548"/>
      <c r="B105" s="487" t="s">
        <v>1737</v>
      </c>
      <c r="C105" s="503"/>
      <c r="D105" s="503"/>
      <c r="E105" s="532"/>
      <c r="F105" s="532"/>
      <c r="G105" s="532"/>
      <c r="H105" s="532"/>
      <c r="I105" s="532"/>
      <c r="J105" s="532"/>
      <c r="K105" s="533"/>
      <c r="L105" s="534"/>
      <c r="M105" s="535"/>
      <c r="N105" s="928"/>
      <c r="O105" s="928"/>
      <c r="P105" s="1916"/>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6"/>
      <c r="Q106" s="453"/>
    </row>
    <row r="107" spans="1:17" ht="15" thickTop="1">
      <c r="A107" s="548"/>
      <c r="B107" s="487" t="s">
        <v>1738</v>
      </c>
      <c r="C107" s="532"/>
      <c r="D107" s="532"/>
      <c r="E107" s="532"/>
      <c r="F107" s="532"/>
      <c r="G107" s="532"/>
      <c r="H107" s="532"/>
      <c r="I107" s="532"/>
      <c r="J107" s="532"/>
      <c r="K107" s="533"/>
      <c r="L107" s="534"/>
      <c r="M107" s="535"/>
      <c r="N107" s="928"/>
      <c r="O107" s="928"/>
      <c r="P107" s="1916"/>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6"/>
      <c r="Q108" s="453"/>
    </row>
    <row r="109" spans="1:17" ht="15" thickTop="1">
      <c r="A109" s="548"/>
      <c r="B109" s="487" t="s">
        <v>1739</v>
      </c>
      <c r="C109" s="503"/>
      <c r="D109" s="503"/>
      <c r="E109" s="503"/>
      <c r="F109" s="532"/>
      <c r="G109" s="532"/>
      <c r="H109" s="532"/>
      <c r="I109" s="532"/>
      <c r="J109" s="532"/>
      <c r="K109" s="533"/>
      <c r="L109" s="534"/>
      <c r="M109" s="535"/>
      <c r="N109" s="928"/>
      <c r="O109" s="928"/>
      <c r="P109" s="1916"/>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6"/>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7"/>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7"/>
      <c r="Q113" s="508"/>
    </row>
    <row r="114" spans="1:17" ht="15" thickTop="1">
      <c r="A114" s="548"/>
      <c r="B114" s="487" t="s">
        <v>1740</v>
      </c>
      <c r="C114" s="503"/>
      <c r="D114" s="503"/>
      <c r="E114" s="532"/>
      <c r="F114" s="532"/>
      <c r="G114" s="532"/>
      <c r="H114" s="532"/>
      <c r="I114" s="532"/>
      <c r="J114" s="532"/>
      <c r="K114" s="533"/>
      <c r="L114" s="534"/>
      <c r="M114" s="535"/>
      <c r="N114" s="928"/>
      <c r="O114" s="928"/>
      <c r="P114" s="1916"/>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6"/>
      <c r="Q115" s="453"/>
    </row>
    <row r="116" spans="1:17" ht="15" thickTop="1">
      <c r="A116" s="548"/>
      <c r="B116" s="487" t="s">
        <v>1741</v>
      </c>
      <c r="C116" s="503"/>
      <c r="D116" s="503"/>
      <c r="E116" s="503"/>
      <c r="F116" s="503"/>
      <c r="G116" s="503"/>
      <c r="H116" s="532"/>
      <c r="I116" s="532"/>
      <c r="J116" s="532"/>
      <c r="K116" s="533"/>
      <c r="L116" s="534"/>
      <c r="M116" s="535"/>
      <c r="N116" s="928"/>
      <c r="O116" s="928"/>
      <c r="P116" s="1916"/>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6"/>
      <c r="Q117" s="453"/>
    </row>
    <row r="118" spans="1:17" ht="15" thickTop="1">
      <c r="A118" s="548"/>
      <c r="B118" s="487" t="s">
        <v>1742</v>
      </c>
      <c r="C118" s="532"/>
      <c r="D118" s="532"/>
      <c r="E118" s="532"/>
      <c r="F118" s="532"/>
      <c r="G118" s="532"/>
      <c r="H118" s="532"/>
      <c r="I118" s="532"/>
      <c r="J118" s="532"/>
      <c r="K118" s="533"/>
      <c r="L118" s="534"/>
      <c r="M118" s="535"/>
      <c r="N118" s="928"/>
      <c r="O118" s="928"/>
      <c r="P118" s="1916"/>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6"/>
      <c r="Q119" s="453"/>
    </row>
    <row r="120" spans="1:17" s="422" customFormat="1" ht="28.5" thickTop="1">
      <c r="A120" s="542"/>
      <c r="B120" s="487" t="s">
        <v>1704</v>
      </c>
      <c r="C120" s="503"/>
      <c r="D120" s="503"/>
      <c r="E120" s="503"/>
      <c r="F120" s="503"/>
      <c r="G120" s="503"/>
      <c r="H120" s="503"/>
      <c r="I120" s="503"/>
      <c r="J120" s="503"/>
      <c r="K120" s="503"/>
      <c r="L120" s="529"/>
      <c r="M120" s="530"/>
      <c r="N120" s="930"/>
      <c r="O120" s="930"/>
      <c r="P120" s="1917"/>
      <c r="Q120" s="508"/>
    </row>
    <row r="121" spans="1:17" s="422" customFormat="1" ht="15.75" thickBot="1">
      <c r="A121" s="502"/>
      <c r="B121" s="484"/>
      <c r="C121" s="509"/>
      <c r="D121" s="485"/>
      <c r="E121" s="485"/>
      <c r="F121" s="485"/>
      <c r="G121" s="485"/>
      <c r="H121" s="485"/>
      <c r="I121" s="485"/>
      <c r="J121" s="485"/>
      <c r="K121" s="485"/>
      <c r="L121" s="485"/>
      <c r="M121" s="485"/>
      <c r="N121" s="930"/>
      <c r="O121" s="930"/>
      <c r="P121" s="1917"/>
      <c r="Q121" s="508"/>
    </row>
    <row r="122" spans="1:17" ht="15" thickTop="1">
      <c r="A122" s="548"/>
      <c r="B122" s="487" t="s">
        <v>1743</v>
      </c>
      <c r="C122" s="503"/>
      <c r="D122" s="503"/>
      <c r="E122" s="503"/>
      <c r="F122" s="532"/>
      <c r="G122" s="532"/>
      <c r="H122" s="532"/>
      <c r="I122" s="532"/>
      <c r="J122" s="532"/>
      <c r="K122" s="533"/>
      <c r="L122" s="534"/>
      <c r="M122" s="535"/>
      <c r="N122" s="928"/>
      <c r="O122" s="928"/>
      <c r="P122" s="1916"/>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6"/>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8"/>
      <c r="O124" s="928"/>
      <c r="P124" s="1917"/>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6"/>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7"/>
      <c r="Q126" s="508"/>
    </row>
    <row r="127" spans="1:17" s="422" customFormat="1" ht="15.75" thickBot="1">
      <c r="A127" s="502"/>
      <c r="B127" s="492"/>
      <c r="C127" s="509"/>
      <c r="D127" s="485"/>
      <c r="E127" s="485"/>
      <c r="F127" s="485"/>
      <c r="G127" s="509"/>
      <c r="H127" s="511"/>
      <c r="I127" s="511"/>
      <c r="J127" s="511"/>
      <c r="K127" s="511"/>
      <c r="L127" s="511"/>
      <c r="M127" s="512"/>
      <c r="N127" s="930"/>
      <c r="O127" s="930"/>
      <c r="P127" s="1917"/>
      <c r="Q127" s="508"/>
    </row>
    <row r="128" spans="1:17" ht="15" thickTop="1">
      <c r="A128" s="548"/>
      <c r="B128" s="487">
        <f>B45</f>
        <v>111</v>
      </c>
      <c r="C128" s="503"/>
      <c r="D128" s="503"/>
      <c r="E128" s="503"/>
      <c r="F128" s="503"/>
      <c r="G128" s="532"/>
      <c r="H128" s="532"/>
      <c r="I128" s="532"/>
      <c r="J128" s="532"/>
      <c r="K128" s="533"/>
      <c r="L128" s="534"/>
      <c r="M128" s="535"/>
      <c r="N128" s="928"/>
      <c r="O128" s="928"/>
      <c r="P128" s="1916"/>
      <c r="Q128" s="453"/>
    </row>
    <row r="129" spans="1:17" ht="15.75" thickBot="1">
      <c r="A129" s="483"/>
      <c r="B129" s="492"/>
      <c r="C129" s="509"/>
      <c r="D129" s="509"/>
      <c r="E129" s="509"/>
      <c r="F129" s="509"/>
      <c r="G129" s="485"/>
      <c r="H129" s="485"/>
      <c r="I129" s="485"/>
      <c r="J129" s="485"/>
      <c r="K129" s="485"/>
      <c r="L129" s="485"/>
      <c r="M129" s="486"/>
      <c r="N129" s="929"/>
      <c r="O129" s="929"/>
      <c r="P129" s="1916"/>
      <c r="Q129" s="453"/>
    </row>
    <row r="130" spans="1:17" ht="15" thickTop="1">
      <c r="A130" s="548"/>
      <c r="B130" s="495">
        <f>B46</f>
        <v>111</v>
      </c>
      <c r="C130" s="503"/>
      <c r="D130" s="503"/>
      <c r="E130" s="503"/>
      <c r="F130" s="503"/>
      <c r="G130" s="536"/>
      <c r="H130" s="536"/>
      <c r="I130" s="536"/>
      <c r="J130" s="536"/>
      <c r="K130" s="472"/>
      <c r="L130" s="473"/>
      <c r="M130" s="539"/>
      <c r="N130" s="928"/>
      <c r="O130" s="928"/>
      <c r="P130" s="1916"/>
      <c r="Q130" s="453"/>
    </row>
    <row r="131" spans="1:17" ht="15.75" thickBot="1">
      <c r="A131" s="1922"/>
      <c r="B131" s="518"/>
      <c r="C131" s="519"/>
      <c r="D131" s="519"/>
      <c r="E131" s="519"/>
      <c r="F131" s="519"/>
      <c r="G131" s="540"/>
      <c r="H131" s="540"/>
      <c r="I131" s="540"/>
      <c r="J131" s="540"/>
      <c r="K131" s="540"/>
      <c r="L131" s="540"/>
      <c r="M131" s="541"/>
      <c r="N131" s="929"/>
      <c r="O131" s="929"/>
      <c r="P131" s="1916"/>
      <c r="Q131" s="453"/>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2">
        <v>6</v>
      </c>
      <c r="C139" s="863">
        <v>96</v>
      </c>
      <c r="D139" s="1934" t="s">
        <v>1754</v>
      </c>
      <c r="E139" s="864">
        <v>100</v>
      </c>
      <c r="F139" s="865">
        <v>102.5</v>
      </c>
      <c r="G139" s="1934" t="s">
        <v>1754</v>
      </c>
      <c r="H139" s="866">
        <v>105</v>
      </c>
      <c r="I139" s="1935" t="s">
        <v>1755</v>
      </c>
      <c r="J139" s="863">
        <v>20</v>
      </c>
      <c r="K139" s="867">
        <f>C145/(J139-2)</f>
        <v>4.0555555555555553E-3</v>
      </c>
    </row>
    <row r="140" spans="1:17" ht="15">
      <c r="B140" s="868">
        <v>5</v>
      </c>
      <c r="C140" s="869">
        <v>100</v>
      </c>
      <c r="D140" s="869"/>
      <c r="E140" s="870"/>
      <c r="F140" s="871">
        <v>102</v>
      </c>
      <c r="G140" s="869"/>
      <c r="H140" s="872"/>
      <c r="I140" s="1936" t="s">
        <v>1756</v>
      </c>
      <c r="J140" s="271">
        <f>ROUNDUP((J139-1)/2,0)</f>
        <v>10</v>
      </c>
      <c r="K140" s="873">
        <v>100</v>
      </c>
    </row>
    <row r="141" spans="1:17" ht="15">
      <c r="B141" s="868">
        <v>4</v>
      </c>
      <c r="C141" s="869">
        <v>102</v>
      </c>
      <c r="D141" s="869"/>
      <c r="E141" s="870"/>
      <c r="F141" s="871">
        <v>101.5</v>
      </c>
      <c r="G141" s="869"/>
      <c r="H141" s="872"/>
      <c r="I141" s="1936" t="s">
        <v>1757</v>
      </c>
      <c r="J141" s="271">
        <v>1</v>
      </c>
      <c r="K141" s="874">
        <f>ROUND(100+(J141-J140)*K139*100,1)</f>
        <v>96.4</v>
      </c>
    </row>
    <row r="142" spans="1:17" ht="15">
      <c r="B142" s="868">
        <v>3</v>
      </c>
      <c r="C142" s="869">
        <v>103</v>
      </c>
      <c r="D142" s="869"/>
      <c r="E142" s="870"/>
      <c r="F142" s="871">
        <v>101</v>
      </c>
      <c r="G142" s="869"/>
      <c r="H142" s="872"/>
      <c r="I142" s="1936" t="s">
        <v>1758</v>
      </c>
      <c r="J142" s="271">
        <f>J139</f>
        <v>20</v>
      </c>
      <c r="K142" s="875">
        <v>95</v>
      </c>
    </row>
    <row r="143" spans="1:17" ht="15">
      <c r="B143" s="868">
        <v>2</v>
      </c>
      <c r="C143" s="869">
        <v>100</v>
      </c>
      <c r="D143" s="869"/>
      <c r="E143" s="870"/>
      <c r="F143" s="871">
        <v>100.5</v>
      </c>
      <c r="G143" s="869"/>
      <c r="H143" s="872"/>
      <c r="I143" s="1936" t="s">
        <v>1759</v>
      </c>
      <c r="J143" s="869">
        <v>15</v>
      </c>
      <c r="K143" s="874">
        <f>ROUND(100+(J143-J140)*K139*100,1)</f>
        <v>102</v>
      </c>
    </row>
    <row r="144" spans="1:17" ht="15">
      <c r="B144" s="868">
        <v>1</v>
      </c>
      <c r="C144" s="869">
        <v>98</v>
      </c>
      <c r="D144" s="1937" t="s">
        <v>1760</v>
      </c>
      <c r="E144" s="870">
        <v>102</v>
      </c>
      <c r="F144" s="876">
        <v>100</v>
      </c>
      <c r="G144" s="1937" t="s">
        <v>1760</v>
      </c>
      <c r="H144" s="872">
        <v>105</v>
      </c>
      <c r="I144" s="1936" t="s">
        <v>1759</v>
      </c>
      <c r="J144" s="869">
        <v>18</v>
      </c>
      <c r="K144" s="874">
        <f>ROUND(100+(J144-J140)*K139*100,1)</f>
        <v>103.2</v>
      </c>
    </row>
    <row r="145" spans="2:11" ht="15.75" thickBot="1">
      <c r="B145" s="1938" t="s">
        <v>1761</v>
      </c>
      <c r="C145" s="877">
        <f>ROUND(MAX(C139:C144)/MIN(C139:C144)-1,3)</f>
        <v>7.2999999999999995E-2</v>
      </c>
      <c r="D145" s="878"/>
      <c r="E145" s="878"/>
      <c r="F145" s="1939" t="s">
        <v>1762</v>
      </c>
      <c r="G145" s="1940"/>
      <c r="H145" s="1941"/>
      <c r="I145" s="1942" t="s">
        <v>1759</v>
      </c>
      <c r="J145" s="879">
        <v>8</v>
      </c>
      <c r="K145" s="880">
        <f>ROUND(100+(J145-J140)*K139*100,1)</f>
        <v>99.2</v>
      </c>
    </row>
    <row r="147" spans="2:11">
      <c r="B147" s="1923" t="s">
        <v>1763</v>
      </c>
    </row>
    <row r="148" spans="2:11">
      <c r="B148" s="1923"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受贵公司委托，我公司对北京市朝阳区朝外大街乙12号进行了预评估。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估价对象为北京市朝阳区朝外大街乙12号房地产，为所有。根据《国有土地使用证》[]，估价对象（分摊）出让国有建设用地使用权面积为58598.03平方米，建筑面积为135125.57平方米。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12号房地产,属开发建设的，该项目尚在开发建设中。根据《国有土地使用证》[]，估价对象（分摊）出让国有建设用地使用权面积为58598.03平方米，规划建筑面积为135125.57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2024年4月10日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872" t="s">
        <v>1765</v>
      </c>
      <c r="C1" s="1233" t="s">
        <v>1661</v>
      </c>
      <c r="D1" s="1220"/>
      <c r="E1" s="3419"/>
      <c r="F1" s="1873"/>
      <c r="G1" s="1230" t="s">
        <v>1766</v>
      </c>
      <c r="H1" s="1229"/>
      <c r="I1" s="1229"/>
      <c r="J1" s="1229"/>
      <c r="K1" s="1231"/>
      <c r="L1" s="1232"/>
      <c r="M1" s="1233"/>
      <c r="N1" s="1233"/>
      <c r="O1" s="1233"/>
      <c r="P1" s="1943"/>
      <c r="Q1" s="1944"/>
      <c r="R1" s="1944"/>
      <c r="S1" s="1944"/>
      <c r="T1" s="1944"/>
      <c r="U1" s="1944"/>
      <c r="V1" s="1944"/>
      <c r="W1" s="1944"/>
      <c r="X1" s="1944"/>
      <c r="Y1" s="1944"/>
      <c r="Z1" s="1944"/>
      <c r="AA1" s="1944"/>
      <c r="AB1" s="1944"/>
      <c r="AC1" s="1945"/>
    </row>
    <row r="2" spans="1:29" s="352" customFormat="1" ht="28.5" customHeight="1" thickTop="1">
      <c r="A2" s="1216" t="s">
        <v>1461</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1462</v>
      </c>
      <c r="F2" s="1877"/>
      <c r="G2" s="903"/>
      <c r="H2" s="903"/>
      <c r="I2" s="903"/>
      <c r="J2" s="903"/>
      <c r="K2" s="903"/>
      <c r="L2" s="2727"/>
      <c r="M2" s="2728"/>
      <c r="N2" s="2728"/>
      <c r="O2" s="2728"/>
      <c r="P2" s="1946"/>
      <c r="Q2" s="907"/>
      <c r="R2" s="907"/>
      <c r="S2" s="907"/>
      <c r="T2" s="907"/>
      <c r="U2" s="907"/>
      <c r="V2" s="907"/>
      <c r="W2" s="907"/>
      <c r="X2" s="907"/>
      <c r="Y2" s="907"/>
      <c r="Z2" s="907"/>
      <c r="AA2" s="907"/>
      <c r="AB2" s="907"/>
      <c r="AC2" s="1947"/>
    </row>
    <row r="3" spans="1:29" s="352" customFormat="1" ht="28.5" customHeight="1" thickBot="1">
      <c r="A3" s="203" t="s">
        <v>1463</v>
      </c>
      <c r="B3" s="558">
        <f>IF(C2="——",C49,ROUND(B2*10000/D3,0))</f>
        <v>0</v>
      </c>
      <c r="C3" s="354" t="s">
        <v>1767</v>
      </c>
      <c r="D3" s="353">
        <f>IF(D1="",'数据-汇总表'!E3,SUMIF('数据-汇总表'!$C19:$C33,D1,'数据-汇总表'!$E19:$E33))</f>
        <v>135125.56999999998</v>
      </c>
      <c r="E3" s="1948"/>
      <c r="F3" s="904"/>
      <c r="G3" s="903"/>
      <c r="H3" s="903"/>
      <c r="I3" s="903"/>
      <c r="J3" s="903"/>
      <c r="K3" s="905"/>
      <c r="L3" s="2727"/>
      <c r="M3" s="2728"/>
      <c r="N3" s="2728"/>
      <c r="O3" s="2728"/>
      <c r="P3" s="1946"/>
      <c r="Q3" s="907"/>
      <c r="R3" s="907"/>
      <c r="S3" s="907"/>
      <c r="T3" s="907"/>
      <c r="U3" s="907"/>
      <c r="V3" s="907"/>
      <c r="W3" s="907"/>
      <c r="X3" s="907"/>
      <c r="Y3" s="907"/>
      <c r="Z3" s="907"/>
      <c r="AA3" s="907"/>
      <c r="AB3" s="907"/>
      <c r="AC3" s="1948"/>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55" t="s">
        <v>1771</v>
      </c>
      <c r="AC4" s="3725" t="s">
        <v>1772</v>
      </c>
    </row>
    <row r="5" spans="1:29" ht="15">
      <c r="A5" s="358"/>
      <c r="B5" s="359"/>
      <c r="C5" s="3736" t="s">
        <v>1672</v>
      </c>
      <c r="D5" s="3737"/>
      <c r="E5" s="3734" t="s">
        <v>1673</v>
      </c>
      <c r="F5" s="3735"/>
      <c r="G5" s="3736" t="s">
        <v>1674</v>
      </c>
      <c r="H5" s="3737"/>
      <c r="I5" s="3736" t="s">
        <v>1675</v>
      </c>
      <c r="J5" s="3737"/>
      <c r="K5" s="559"/>
      <c r="L5" s="2708"/>
      <c r="M5" s="2709"/>
      <c r="N5" s="2709"/>
      <c r="O5" s="2709"/>
      <c r="P5" s="3749"/>
      <c r="Q5" s="3750"/>
      <c r="R5" s="3732"/>
      <c r="S5" s="3733"/>
      <c r="T5" s="3732"/>
      <c r="U5" s="3733"/>
      <c r="V5" s="3755"/>
      <c r="W5" s="3755"/>
      <c r="X5" s="1350"/>
      <c r="Y5" s="3732"/>
      <c r="Z5" s="3733"/>
      <c r="AA5" s="3726"/>
      <c r="AB5" s="3755"/>
      <c r="AC5" s="3726"/>
    </row>
    <row r="6" spans="1:29" ht="15.75" thickBot="1">
      <c r="A6" s="360"/>
      <c r="B6" s="361"/>
      <c r="C6" s="3738" t="s">
        <v>1676</v>
      </c>
      <c r="D6" s="3739"/>
      <c r="E6" s="3740" t="s">
        <v>1676</v>
      </c>
      <c r="F6" s="3741"/>
      <c r="G6" s="3738" t="s">
        <v>1676</v>
      </c>
      <c r="H6" s="3739"/>
      <c r="I6" s="3738" t="s">
        <v>1676</v>
      </c>
      <c r="J6" s="3739"/>
      <c r="K6" s="559" t="s">
        <v>1677</v>
      </c>
      <c r="L6" s="2708"/>
      <c r="M6" s="2709"/>
      <c r="N6" s="2709"/>
      <c r="O6" s="2709"/>
      <c r="P6" s="3751"/>
      <c r="Q6" s="3752"/>
      <c r="R6" s="3732"/>
      <c r="S6" s="3733"/>
      <c r="T6" s="3753"/>
      <c r="U6" s="3754"/>
      <c r="V6" s="3755"/>
      <c r="W6" s="3755"/>
      <c r="X6" s="1350"/>
      <c r="Y6" s="3753"/>
      <c r="Z6" s="3754"/>
      <c r="AA6" s="3727"/>
      <c r="AB6" s="3755"/>
      <c r="AC6" s="3727"/>
    </row>
    <row r="7" spans="1:29" s="108" customFormat="1" ht="15.75" thickBot="1">
      <c r="A7" s="362" t="s">
        <v>1678</v>
      </c>
      <c r="B7" s="363"/>
      <c r="C7" s="364">
        <f>'数据-取费表'!B2</f>
        <v>45392</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28" t="s">
        <v>1679</v>
      </c>
      <c r="Q7" s="3756"/>
      <c r="R7" s="699" t="s">
        <v>14</v>
      </c>
      <c r="S7" s="700">
        <f t="shared" ref="S7:S15" si="0">F7</f>
        <v>0</v>
      </c>
      <c r="T7" s="699" t="s">
        <v>14</v>
      </c>
      <c r="U7" s="700">
        <f t="shared" ref="U7:U15" si="1">H7</f>
        <v>0</v>
      </c>
      <c r="V7" s="699" t="s">
        <v>14</v>
      </c>
      <c r="W7" s="700">
        <f t="shared" ref="W7:W15"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28" t="s">
        <v>1682</v>
      </c>
      <c r="Q8" s="3729"/>
      <c r="R8" s="699" t="s">
        <v>14</v>
      </c>
      <c r="S8" s="700">
        <f t="shared" si="0"/>
        <v>100</v>
      </c>
      <c r="T8" s="699" t="s">
        <v>14</v>
      </c>
      <c r="U8" s="700">
        <f t="shared" si="1"/>
        <v>100</v>
      </c>
      <c r="V8" s="699" t="s">
        <v>14</v>
      </c>
      <c r="W8" s="700">
        <f t="shared" si="2"/>
        <v>100</v>
      </c>
      <c r="X8" s="701"/>
      <c r="Y8" s="3728" t="s">
        <v>1682</v>
      </c>
      <c r="Z8" s="3729"/>
      <c r="AA8" s="702">
        <f t="shared" ref="AA8:AA46" si="3">D8/F8</f>
        <v>1</v>
      </c>
      <c r="AB8" s="702">
        <f t="shared" ref="AB8:AB46" si="4">D8/H8</f>
        <v>1</v>
      </c>
      <c r="AC8" s="702">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42"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42"/>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42"/>
      <c r="Q11" s="1338"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42"/>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42"/>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42"/>
      <c r="Q14" s="1338">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71.25">
      <c r="A15" s="391" t="s">
        <v>1689</v>
      </c>
      <c r="B15" s="61" t="s">
        <v>1776</v>
      </c>
      <c r="C15" s="1890"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69" t="s">
        <v>1690</v>
      </c>
      <c r="Q15" s="1347" t="str">
        <f t="shared" si="6"/>
        <v>商业繁华度</v>
      </c>
      <c r="R15" s="703" t="s">
        <v>14</v>
      </c>
      <c r="S15" s="704">
        <f t="shared" si="0"/>
        <v>100</v>
      </c>
      <c r="T15" s="703" t="s">
        <v>14</v>
      </c>
      <c r="U15" s="704">
        <f t="shared" si="1"/>
        <v>100</v>
      </c>
      <c r="V15" s="703" t="s">
        <v>14</v>
      </c>
      <c r="W15" s="704">
        <f t="shared" si="2"/>
        <v>100</v>
      </c>
      <c r="X15" s="1350"/>
      <c r="Y15" s="3762" t="s">
        <v>1690</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5"/>
      <c r="M16" s="2709"/>
      <c r="N16" s="2709"/>
      <c r="O16" s="2709"/>
      <c r="P16" s="3770"/>
      <c r="Q16" s="1347"/>
      <c r="R16" s="703"/>
      <c r="S16" s="704"/>
      <c r="T16" s="703"/>
      <c r="U16" s="704"/>
      <c r="V16" s="703"/>
      <c r="W16" s="704"/>
      <c r="X16" s="1350"/>
      <c r="Y16" s="3763"/>
      <c r="Z16" s="1351"/>
      <c r="AA16" s="1348">
        <v>1</v>
      </c>
      <c r="AB16" s="1348">
        <v>1</v>
      </c>
      <c r="AC16" s="1348">
        <v>1</v>
      </c>
    </row>
    <row r="17" spans="1:29" ht="85.5">
      <c r="A17" s="379"/>
      <c r="B17" s="402" t="s">
        <v>1259</v>
      </c>
      <c r="C17" s="1894"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70"/>
      <c r="Q17" s="1347" t="str">
        <f>B17</f>
        <v>交通便捷度</v>
      </c>
      <c r="R17" s="703" t="s">
        <v>14</v>
      </c>
      <c r="S17" s="704">
        <f>F17</f>
        <v>100</v>
      </c>
      <c r="T17" s="703" t="s">
        <v>14</v>
      </c>
      <c r="U17" s="704">
        <f>H17</f>
        <v>100</v>
      </c>
      <c r="V17" s="703" t="s">
        <v>14</v>
      </c>
      <c r="W17" s="704">
        <f>J17</f>
        <v>100</v>
      </c>
      <c r="X17" s="1350"/>
      <c r="Y17" s="3763"/>
      <c r="Z17" s="1351" t="str">
        <f>Q17</f>
        <v>交通便捷度</v>
      </c>
      <c r="AA17" s="1348">
        <f t="shared" si="3"/>
        <v>1</v>
      </c>
      <c r="AB17" s="1348">
        <f t="shared" si="4"/>
        <v>1</v>
      </c>
      <c r="AC17" s="1348">
        <f t="shared" si="5"/>
        <v>1</v>
      </c>
    </row>
    <row r="18" spans="1:29" ht="15">
      <c r="A18" s="379"/>
      <c r="B18" s="407"/>
      <c r="C18" s="1895"/>
      <c r="D18" s="401"/>
      <c r="E18" s="1897"/>
      <c r="F18" s="404"/>
      <c r="G18" s="1896"/>
      <c r="H18" s="399"/>
      <c r="I18" s="1897"/>
      <c r="J18" s="399"/>
      <c r="K18" s="564"/>
      <c r="L18" s="2715"/>
      <c r="M18" s="2709"/>
      <c r="N18" s="2709"/>
      <c r="O18" s="2709"/>
      <c r="P18" s="3770"/>
      <c r="Q18" s="1347"/>
      <c r="R18" s="703"/>
      <c r="S18" s="704"/>
      <c r="T18" s="703"/>
      <c r="U18" s="704"/>
      <c r="V18" s="703"/>
      <c r="W18" s="704"/>
      <c r="X18" s="1350"/>
      <c r="Y18" s="3763"/>
      <c r="Z18" s="1351"/>
      <c r="AA18" s="1348">
        <v>1</v>
      </c>
      <c r="AB18" s="1348">
        <v>1</v>
      </c>
      <c r="AC18" s="1348">
        <v>1</v>
      </c>
    </row>
    <row r="19" spans="1:29" ht="42.75">
      <c r="A19" s="379"/>
      <c r="B19" s="402" t="s">
        <v>1777</v>
      </c>
      <c r="C19" s="1894"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70"/>
      <c r="Q19" s="1347" t="str">
        <f>B19</f>
        <v>公共配套设施</v>
      </c>
      <c r="R19" s="703" t="s">
        <v>14</v>
      </c>
      <c r="S19" s="704">
        <f>F19</f>
        <v>100</v>
      </c>
      <c r="T19" s="703" t="s">
        <v>14</v>
      </c>
      <c r="U19" s="704">
        <f>H19</f>
        <v>100</v>
      </c>
      <c r="V19" s="703" t="s">
        <v>14</v>
      </c>
      <c r="W19" s="704">
        <f>J19</f>
        <v>100</v>
      </c>
      <c r="X19" s="1350"/>
      <c r="Y19" s="3763"/>
      <c r="Z19" s="1351" t="str">
        <f>Q19</f>
        <v>公共配套设施</v>
      </c>
      <c r="AA19" s="1348">
        <f t="shared" si="3"/>
        <v>1</v>
      </c>
      <c r="AB19" s="1348">
        <f t="shared" si="4"/>
        <v>1</v>
      </c>
      <c r="AC19" s="1348">
        <f t="shared" si="5"/>
        <v>1</v>
      </c>
    </row>
    <row r="20" spans="1:29" ht="15">
      <c r="A20" s="379"/>
      <c r="B20" s="407"/>
      <c r="C20" s="398"/>
      <c r="D20" s="399"/>
      <c r="E20" s="1892"/>
      <c r="F20" s="400"/>
      <c r="G20" s="1891"/>
      <c r="H20" s="399"/>
      <c r="I20" s="1892"/>
      <c r="J20" s="399"/>
      <c r="K20" s="564"/>
      <c r="L20" s="2715"/>
      <c r="M20" s="2709"/>
      <c r="N20" s="2709"/>
      <c r="O20" s="2709"/>
      <c r="P20" s="3770"/>
      <c r="Q20" s="1347"/>
      <c r="R20" s="703"/>
      <c r="S20" s="704"/>
      <c r="T20" s="703"/>
      <c r="U20" s="704"/>
      <c r="V20" s="703"/>
      <c r="W20" s="704"/>
      <c r="X20" s="1350"/>
      <c r="Y20" s="3763"/>
      <c r="Z20" s="1351"/>
      <c r="AA20" s="1348">
        <v>1</v>
      </c>
      <c r="AB20" s="1348">
        <v>1</v>
      </c>
      <c r="AC20" s="1348">
        <v>1</v>
      </c>
    </row>
    <row r="21" spans="1:29" ht="28.5">
      <c r="A21" s="379"/>
      <c r="B21" s="1126" t="s">
        <v>1778</v>
      </c>
      <c r="C21" s="1894"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70"/>
      <c r="Q21" s="1347" t="str">
        <f>B21</f>
        <v>基础设施水平</v>
      </c>
      <c r="R21" s="703" t="s">
        <v>14</v>
      </c>
      <c r="S21" s="704">
        <f>F21</f>
        <v>100</v>
      </c>
      <c r="T21" s="703" t="s">
        <v>14</v>
      </c>
      <c r="U21" s="704">
        <f>H21</f>
        <v>100</v>
      </c>
      <c r="V21" s="703" t="s">
        <v>14</v>
      </c>
      <c r="W21" s="704">
        <f>J21</f>
        <v>100</v>
      </c>
      <c r="X21" s="1350"/>
      <c r="Y21" s="3763"/>
      <c r="Z21" s="1351" t="str">
        <f>Q21</f>
        <v>基础设施水平</v>
      </c>
      <c r="AA21" s="1348">
        <f t="shared" ref="AA21" si="8">D21/F21</f>
        <v>1</v>
      </c>
      <c r="AB21" s="1348">
        <f t="shared" ref="AB21" si="9">D21/H21</f>
        <v>1</v>
      </c>
      <c r="AC21" s="1348">
        <f t="shared" ref="AC21" si="10">D21/J21</f>
        <v>1</v>
      </c>
    </row>
    <row r="22" spans="1:29" ht="15">
      <c r="A22" s="379"/>
      <c r="B22" s="1126"/>
      <c r="C22" s="1895"/>
      <c r="D22" s="399"/>
      <c r="E22" s="398"/>
      <c r="F22" s="400"/>
      <c r="G22" s="398"/>
      <c r="H22" s="399"/>
      <c r="I22" s="398"/>
      <c r="J22" s="399"/>
      <c r="K22" s="1125"/>
      <c r="L22" s="2715"/>
      <c r="M22" s="2709"/>
      <c r="N22" s="2709"/>
      <c r="O22" s="2709"/>
      <c r="P22" s="3770"/>
      <c r="Q22" s="1347"/>
      <c r="R22" s="703"/>
      <c r="S22" s="704"/>
      <c r="T22" s="703"/>
      <c r="U22" s="704"/>
      <c r="V22" s="703"/>
      <c r="W22" s="704"/>
      <c r="X22" s="1350"/>
      <c r="Y22" s="3763"/>
      <c r="Z22" s="1351"/>
      <c r="AA22" s="1348">
        <v>1</v>
      </c>
      <c r="AB22" s="1348">
        <v>1</v>
      </c>
      <c r="AC22" s="1348">
        <v>1</v>
      </c>
    </row>
    <row r="23" spans="1:29" ht="57">
      <c r="A23" s="379"/>
      <c r="B23" s="402" t="s">
        <v>1261</v>
      </c>
      <c r="C23" s="1949"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70"/>
      <c r="Q23" s="1347" t="str">
        <f>B23</f>
        <v>自然及人文环境</v>
      </c>
      <c r="R23" s="703" t="s">
        <v>14</v>
      </c>
      <c r="S23" s="704">
        <f>F23</f>
        <v>100</v>
      </c>
      <c r="T23" s="703" t="s">
        <v>14</v>
      </c>
      <c r="U23" s="704">
        <f>H23</f>
        <v>100</v>
      </c>
      <c r="V23" s="703" t="s">
        <v>14</v>
      </c>
      <c r="W23" s="704">
        <f>J23</f>
        <v>100</v>
      </c>
      <c r="X23" s="1350"/>
      <c r="Y23" s="3763"/>
      <c r="Z23" s="1351" t="str">
        <f>Q23</f>
        <v>自然及人文环境</v>
      </c>
      <c r="AA23" s="1348">
        <f t="shared" si="3"/>
        <v>1</v>
      </c>
      <c r="AB23" s="1348">
        <f t="shared" si="4"/>
        <v>1</v>
      </c>
      <c r="AC23" s="1348">
        <f t="shared" si="5"/>
        <v>1</v>
      </c>
    </row>
    <row r="24" spans="1:29" ht="15">
      <c r="A24" s="379"/>
      <c r="B24" s="407"/>
      <c r="C24" s="398"/>
      <c r="D24" s="399"/>
      <c r="E24" s="1892"/>
      <c r="F24" s="400"/>
      <c r="G24" s="1891"/>
      <c r="H24" s="399"/>
      <c r="I24" s="1892"/>
      <c r="J24" s="399"/>
      <c r="K24" s="564"/>
      <c r="L24" s="2715"/>
      <c r="M24" s="2709"/>
      <c r="N24" s="2709"/>
      <c r="O24" s="2709"/>
      <c r="P24" s="3770"/>
      <c r="Q24" s="1347"/>
      <c r="R24" s="703"/>
      <c r="S24" s="704"/>
      <c r="T24" s="703"/>
      <c r="U24" s="704"/>
      <c r="V24" s="703"/>
      <c r="W24" s="704"/>
      <c r="X24" s="1350"/>
      <c r="Y24" s="3763"/>
      <c r="Z24" s="1351"/>
      <c r="AA24" s="1348">
        <v>1</v>
      </c>
      <c r="AB24" s="1348">
        <v>1</v>
      </c>
      <c r="AC24" s="1348">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70"/>
      <c r="Q25" s="1347" t="str">
        <f t="shared" ref="Q25:Q46" si="11">B25</f>
        <v>临街状况</v>
      </c>
      <c r="R25" s="703" t="s">
        <v>14</v>
      </c>
      <c r="S25" s="704">
        <f>F25</f>
        <v>100</v>
      </c>
      <c r="T25" s="703" t="s">
        <v>14</v>
      </c>
      <c r="U25" s="704">
        <f>H25</f>
        <v>100</v>
      </c>
      <c r="V25" s="703" t="s">
        <v>14</v>
      </c>
      <c r="W25" s="704">
        <f>J25</f>
        <v>100</v>
      </c>
      <c r="X25" s="1350"/>
      <c r="Y25" s="3763"/>
      <c r="Z25" s="1351" t="str">
        <f>Q25</f>
        <v>临街状况</v>
      </c>
      <c r="AA25" s="1348">
        <f t="shared" si="3"/>
        <v>1</v>
      </c>
      <c r="AB25" s="1348">
        <f t="shared" si="4"/>
        <v>1</v>
      </c>
      <c r="AC25" s="1348">
        <f t="shared" si="5"/>
        <v>1</v>
      </c>
    </row>
    <row r="26" spans="1:29" ht="15">
      <c r="A26" s="379"/>
      <c r="B26" s="1128" t="s">
        <v>1780</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70"/>
      <c r="Q26" s="1347" t="str">
        <f t="shared" si="11"/>
        <v>平面位置/可视性</v>
      </c>
      <c r="R26" s="703" t="s">
        <v>14</v>
      </c>
      <c r="S26" s="704">
        <f>F26</f>
        <v>100</v>
      </c>
      <c r="T26" s="703" t="s">
        <v>14</v>
      </c>
      <c r="U26" s="704">
        <f>H26</f>
        <v>100</v>
      </c>
      <c r="V26" s="703" t="s">
        <v>14</v>
      </c>
      <c r="W26" s="704">
        <f>J26</f>
        <v>100</v>
      </c>
      <c r="X26" s="1350"/>
      <c r="Y26" s="3763"/>
      <c r="Z26" s="1351" t="str">
        <f>Q26</f>
        <v>平面位置/可视性</v>
      </c>
      <c r="AA26" s="1348">
        <f t="shared" si="3"/>
        <v>1</v>
      </c>
      <c r="AB26" s="1348">
        <f t="shared" si="4"/>
        <v>1</v>
      </c>
      <c r="AC26" s="1348">
        <f t="shared" si="5"/>
        <v>1</v>
      </c>
    </row>
    <row r="27" spans="1:29" s="108" customFormat="1" ht="15">
      <c r="A27" s="382"/>
      <c r="B27" s="402" t="s">
        <v>1781</v>
      </c>
      <c r="C27" s="1950"/>
      <c r="D27" s="413">
        <v>100</v>
      </c>
      <c r="E27" s="1950"/>
      <c r="F27" s="415">
        <f>SUMIF(90:90,E27,91:91)-SUMIF(90:90,C27,91:91)+100</f>
        <v>100</v>
      </c>
      <c r="G27" s="1950"/>
      <c r="H27" s="413">
        <f>SUMIF(90:90,G27,91:91)-SUMIF(90:90,C27,91:91)+100</f>
        <v>100</v>
      </c>
      <c r="I27" s="1950"/>
      <c r="J27" s="413">
        <f>SUMIF(90:90,I27,91:91)-SUMIF(90:90,C27,91:91)+100</f>
        <v>100</v>
      </c>
      <c r="K27" s="561"/>
      <c r="L27" s="2710"/>
      <c r="M27" s="2711"/>
      <c r="N27" s="2711"/>
      <c r="O27" s="2711"/>
      <c r="P27" s="3770"/>
      <c r="Q27" s="1338" t="str">
        <f t="shared" si="11"/>
        <v>人流量</v>
      </c>
      <c r="R27" s="699" t="s">
        <v>14</v>
      </c>
      <c r="S27" s="700">
        <f>F27</f>
        <v>100</v>
      </c>
      <c r="T27" s="699" t="s">
        <v>14</v>
      </c>
      <c r="U27" s="700">
        <f>H27</f>
        <v>100</v>
      </c>
      <c r="V27" s="699" t="s">
        <v>14</v>
      </c>
      <c r="W27" s="700">
        <f>J27</f>
        <v>100</v>
      </c>
      <c r="X27" s="701"/>
      <c r="Y27" s="3763"/>
      <c r="Z27" s="52" t="str">
        <f>Q27</f>
        <v>人流量</v>
      </c>
      <c r="AA27" s="1348">
        <f>D27/F27</f>
        <v>1</v>
      </c>
      <c r="AB27" s="1348">
        <f>D27/H27</f>
        <v>1</v>
      </c>
      <c r="AC27" s="1348">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70"/>
      <c r="Q28" s="1347" t="str">
        <f t="shared" si="11"/>
        <v>楼层</v>
      </c>
      <c r="R28" s="703" t="s">
        <v>14</v>
      </c>
      <c r="S28" s="704">
        <f t="shared" ref="S28:S46" si="12">F28</f>
        <v>100</v>
      </c>
      <c r="T28" s="703" t="s">
        <v>14</v>
      </c>
      <c r="U28" s="704">
        <f t="shared" ref="U28:U46" si="13">H28</f>
        <v>100</v>
      </c>
      <c r="V28" s="703" t="s">
        <v>14</v>
      </c>
      <c r="W28" s="704">
        <f t="shared" ref="W28:W46" si="14">J28</f>
        <v>100</v>
      </c>
      <c r="X28" s="1350"/>
      <c r="Y28" s="3763"/>
      <c r="Z28" s="1351" t="str">
        <f t="shared" ref="Z28:Z46" si="15">Q28</f>
        <v>楼层</v>
      </c>
      <c r="AA28" s="1348">
        <f t="shared" si="3"/>
        <v>1</v>
      </c>
      <c r="AB28" s="1348">
        <f t="shared" si="4"/>
        <v>1</v>
      </c>
      <c r="AC28" s="1348">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70"/>
      <c r="Q29" s="1347">
        <f t="shared" si="11"/>
        <v>111</v>
      </c>
      <c r="R29" s="703" t="s">
        <v>14</v>
      </c>
      <c r="S29" s="704">
        <f t="shared" si="12"/>
        <v>100</v>
      </c>
      <c r="T29" s="703" t="s">
        <v>14</v>
      </c>
      <c r="U29" s="704">
        <f t="shared" si="13"/>
        <v>100</v>
      </c>
      <c r="V29" s="703" t="s">
        <v>14</v>
      </c>
      <c r="W29" s="704">
        <f t="shared" si="14"/>
        <v>100</v>
      </c>
      <c r="X29" s="1350"/>
      <c r="Y29" s="3763"/>
      <c r="Z29" s="1351">
        <f t="shared" si="15"/>
        <v>111</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70"/>
      <c r="Q30" s="1347">
        <f t="shared" si="11"/>
        <v>111</v>
      </c>
      <c r="R30" s="703" t="s">
        <v>14</v>
      </c>
      <c r="S30" s="704">
        <f t="shared" si="12"/>
        <v>100</v>
      </c>
      <c r="T30" s="703" t="s">
        <v>14</v>
      </c>
      <c r="U30" s="704">
        <f t="shared" si="13"/>
        <v>100</v>
      </c>
      <c r="V30" s="703" t="s">
        <v>14</v>
      </c>
      <c r="W30" s="704">
        <f t="shared" si="14"/>
        <v>100</v>
      </c>
      <c r="X30" s="1350"/>
      <c r="Y30" s="3763"/>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70"/>
      <c r="Q31" s="1347">
        <f t="shared" si="11"/>
        <v>111</v>
      </c>
      <c r="R31" s="703" t="s">
        <v>14</v>
      </c>
      <c r="S31" s="704">
        <f t="shared" si="12"/>
        <v>100</v>
      </c>
      <c r="T31" s="703" t="s">
        <v>14</v>
      </c>
      <c r="U31" s="704">
        <f t="shared" si="13"/>
        <v>100</v>
      </c>
      <c r="V31" s="703" t="s">
        <v>14</v>
      </c>
      <c r="W31" s="704">
        <f t="shared" si="14"/>
        <v>100</v>
      </c>
      <c r="X31" s="1350"/>
      <c r="Y31" s="3763"/>
      <c r="Z31" s="1351">
        <f t="shared" si="15"/>
        <v>111</v>
      </c>
      <c r="AA31" s="1348">
        <f t="shared" si="3"/>
        <v>1</v>
      </c>
      <c r="AB31" s="1348">
        <f t="shared" si="4"/>
        <v>1</v>
      </c>
      <c r="AC31" s="1348">
        <f t="shared" si="5"/>
        <v>1</v>
      </c>
    </row>
    <row r="32" spans="1:29" ht="15">
      <c r="A32" s="391" t="s">
        <v>1693</v>
      </c>
      <c r="B32" s="63" t="s">
        <v>1783</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15"/>
      <c r="M32" s="2709"/>
      <c r="N32" s="2709"/>
      <c r="O32" s="2709"/>
      <c r="P32" s="3764" t="s">
        <v>1695</v>
      </c>
      <c r="Q32" s="1347" t="str">
        <f t="shared" si="11"/>
        <v>商业类型</v>
      </c>
      <c r="R32" s="703" t="s">
        <v>14</v>
      </c>
      <c r="S32" s="704">
        <f t="shared" si="12"/>
        <v>100</v>
      </c>
      <c r="T32" s="703" t="s">
        <v>14</v>
      </c>
      <c r="U32" s="704">
        <f t="shared" si="13"/>
        <v>100</v>
      </c>
      <c r="V32" s="703" t="s">
        <v>14</v>
      </c>
      <c r="W32" s="704">
        <f t="shared" si="14"/>
        <v>100</v>
      </c>
      <c r="X32" s="1350"/>
      <c r="Y32" s="3767" t="s">
        <v>1695</v>
      </c>
      <c r="Z32" s="1351" t="str">
        <f t="shared" si="15"/>
        <v>商业类型</v>
      </c>
      <c r="AA32" s="1348">
        <f t="shared" si="3"/>
        <v>1</v>
      </c>
      <c r="AB32" s="1348">
        <f t="shared" si="4"/>
        <v>1</v>
      </c>
      <c r="AC32" s="1348">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65"/>
      <c r="Q33" s="705" t="str">
        <f t="shared" si="11"/>
        <v>项目建筑规模</v>
      </c>
      <c r="R33" s="706" t="s">
        <v>14</v>
      </c>
      <c r="S33" s="707" t="e">
        <f t="shared" si="12"/>
        <v>#N/A</v>
      </c>
      <c r="T33" s="706" t="s">
        <v>14</v>
      </c>
      <c r="U33" s="707" t="e">
        <f t="shared" si="13"/>
        <v>#N/A</v>
      </c>
      <c r="V33" s="706" t="s">
        <v>14</v>
      </c>
      <c r="W33" s="707" t="e">
        <f t="shared" si="14"/>
        <v>#N/A</v>
      </c>
      <c r="X33" s="708"/>
      <c r="Y33" s="3767"/>
      <c r="Z33" s="709" t="str">
        <f t="shared" si="15"/>
        <v>项目建筑规模</v>
      </c>
      <c r="AA33" s="1348" t="e">
        <f t="shared" si="3"/>
        <v>#N/A</v>
      </c>
      <c r="AB33" s="1348" t="e">
        <f t="shared" si="4"/>
        <v>#N/A</v>
      </c>
      <c r="AC33" s="1348" t="e">
        <f t="shared" si="5"/>
        <v>#N/A</v>
      </c>
    </row>
    <row r="34" spans="1:29" ht="15">
      <c r="A34" s="423"/>
      <c r="B34" s="375" t="s">
        <v>1697</v>
      </c>
      <c r="C34" s="1906"/>
      <c r="D34" s="386">
        <v>100</v>
      </c>
      <c r="E34" s="1906"/>
      <c r="F34" s="412">
        <f>SUMIF(105:105,E34,106:106)-SUMIF(105:105,C34,106:106)+100</f>
        <v>100</v>
      </c>
      <c r="G34" s="1906"/>
      <c r="H34" s="386">
        <f>SUMIF(105:105,G34,106:106)-SUMIF(105:105,C34,106:106)+100</f>
        <v>100</v>
      </c>
      <c r="I34" s="1906"/>
      <c r="J34" s="386">
        <f>SUMIF(105:105,I34,106:106)-SUMIF(105:105,C34,106:106)+100</f>
        <v>100</v>
      </c>
      <c r="K34" s="561"/>
      <c r="L34" s="2715"/>
      <c r="M34" s="2709"/>
      <c r="N34" s="2709"/>
      <c r="O34" s="2709"/>
      <c r="P34" s="3765"/>
      <c r="Q34" s="1347" t="str">
        <f t="shared" si="11"/>
        <v>建筑结构</v>
      </c>
      <c r="R34" s="703" t="s">
        <v>14</v>
      </c>
      <c r="S34" s="704">
        <f t="shared" si="12"/>
        <v>100</v>
      </c>
      <c r="T34" s="703" t="s">
        <v>14</v>
      </c>
      <c r="U34" s="704">
        <f t="shared" si="13"/>
        <v>100</v>
      </c>
      <c r="V34" s="703" t="s">
        <v>14</v>
      </c>
      <c r="W34" s="704">
        <f t="shared" si="14"/>
        <v>100</v>
      </c>
      <c r="X34" s="1350"/>
      <c r="Y34" s="3767"/>
      <c r="Z34" s="1351" t="str">
        <f t="shared" si="15"/>
        <v>建筑结构</v>
      </c>
      <c r="AA34" s="1348">
        <f t="shared" si="3"/>
        <v>1</v>
      </c>
      <c r="AB34" s="1348">
        <f t="shared" si="4"/>
        <v>1</v>
      </c>
      <c r="AC34" s="1348">
        <f t="shared" si="5"/>
        <v>1</v>
      </c>
    </row>
    <row r="35" spans="1:29" ht="15">
      <c r="A35" s="423"/>
      <c r="B35" s="375" t="s">
        <v>1784</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15"/>
      <c r="M35" s="2709"/>
      <c r="N35" s="2709"/>
      <c r="O35" s="2709"/>
      <c r="P35" s="3765"/>
      <c r="Q35" s="1347" t="str">
        <f t="shared" si="11"/>
        <v>公共部分装修</v>
      </c>
      <c r="R35" s="703" t="s">
        <v>14</v>
      </c>
      <c r="S35" s="704">
        <f t="shared" si="12"/>
        <v>100</v>
      </c>
      <c r="T35" s="703" t="s">
        <v>14</v>
      </c>
      <c r="U35" s="704">
        <f t="shared" si="13"/>
        <v>100</v>
      </c>
      <c r="V35" s="703" t="s">
        <v>14</v>
      </c>
      <c r="W35" s="704">
        <f t="shared" si="14"/>
        <v>100</v>
      </c>
      <c r="X35" s="1350"/>
      <c r="Y35" s="3767"/>
      <c r="Z35" s="1351" t="str">
        <f t="shared" si="15"/>
        <v>公共部分装修</v>
      </c>
      <c r="AA35" s="1348">
        <f t="shared" si="3"/>
        <v>1</v>
      </c>
      <c r="AB35" s="1348">
        <f t="shared" si="4"/>
        <v>1</v>
      </c>
      <c r="AC35" s="1348">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65"/>
      <c r="Q36" s="1347" t="str">
        <f t="shared" si="11"/>
        <v>成新度</v>
      </c>
      <c r="R36" s="703" t="s">
        <v>14</v>
      </c>
      <c r="S36" s="704" t="e">
        <f t="shared" si="12"/>
        <v>#N/A</v>
      </c>
      <c r="T36" s="703" t="s">
        <v>14</v>
      </c>
      <c r="U36" s="704" t="e">
        <f t="shared" si="13"/>
        <v>#N/A</v>
      </c>
      <c r="V36" s="703" t="s">
        <v>14</v>
      </c>
      <c r="W36" s="704" t="e">
        <f t="shared" si="14"/>
        <v>#N/A</v>
      </c>
      <c r="X36" s="1350"/>
      <c r="Y36" s="3767"/>
      <c r="Z36" s="1351" t="str">
        <f t="shared" si="15"/>
        <v>成新度</v>
      </c>
      <c r="AA36" s="1348" t="e">
        <f t="shared" si="3"/>
        <v>#N/A</v>
      </c>
      <c r="AB36" s="1348" t="e">
        <f t="shared" si="4"/>
        <v>#N/A</v>
      </c>
      <c r="AC36" s="1348" t="e">
        <f t="shared" si="5"/>
        <v>#N/A</v>
      </c>
    </row>
    <row r="37" spans="1:29" s="108" customFormat="1" ht="15">
      <c r="A37" s="424"/>
      <c r="B37" s="375" t="s">
        <v>1786</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10"/>
      <c r="M37" s="2711"/>
      <c r="N37" s="2711"/>
      <c r="O37" s="2711"/>
      <c r="P37" s="3765"/>
      <c r="Q37" s="1338" t="str">
        <f t="shared" si="11"/>
        <v>市政基础设施</v>
      </c>
      <c r="R37" s="699" t="s">
        <v>14</v>
      </c>
      <c r="S37" s="700">
        <f t="shared" si="12"/>
        <v>100</v>
      </c>
      <c r="T37" s="699" t="s">
        <v>14</v>
      </c>
      <c r="U37" s="700">
        <f t="shared" si="13"/>
        <v>100</v>
      </c>
      <c r="V37" s="699" t="s">
        <v>14</v>
      </c>
      <c r="W37" s="700">
        <f t="shared" si="14"/>
        <v>100</v>
      </c>
      <c r="X37" s="701"/>
      <c r="Y37" s="3767"/>
      <c r="Z37" s="52" t="str">
        <f t="shared" si="15"/>
        <v>市政基础设施</v>
      </c>
      <c r="AA37" s="702">
        <f t="shared" si="3"/>
        <v>1</v>
      </c>
      <c r="AB37" s="702">
        <f t="shared" si="4"/>
        <v>1</v>
      </c>
      <c r="AC37" s="702">
        <f t="shared" si="5"/>
        <v>1</v>
      </c>
    </row>
    <row r="38" spans="1:29" ht="15">
      <c r="A38" s="423"/>
      <c r="B38" s="375" t="s">
        <v>1787</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15"/>
      <c r="M38" s="2709"/>
      <c r="N38" s="2709"/>
      <c r="O38" s="2709"/>
      <c r="P38" s="3765" t="s">
        <v>1695</v>
      </c>
      <c r="Q38" s="1347" t="str">
        <f t="shared" si="11"/>
        <v>业态</v>
      </c>
      <c r="R38" s="703" t="s">
        <v>14</v>
      </c>
      <c r="S38" s="704">
        <f t="shared" si="12"/>
        <v>100</v>
      </c>
      <c r="T38" s="703" t="s">
        <v>14</v>
      </c>
      <c r="U38" s="704">
        <f t="shared" si="13"/>
        <v>100</v>
      </c>
      <c r="V38" s="703" t="s">
        <v>14</v>
      </c>
      <c r="W38" s="704">
        <f t="shared" si="14"/>
        <v>100</v>
      </c>
      <c r="X38" s="1350"/>
      <c r="Y38" s="3767" t="s">
        <v>1695</v>
      </c>
      <c r="Z38" s="1351" t="str">
        <f t="shared" si="15"/>
        <v>业态</v>
      </c>
      <c r="AA38" s="1348">
        <f t="shared" si="3"/>
        <v>1</v>
      </c>
      <c r="AB38" s="1348">
        <f t="shared" si="4"/>
        <v>1</v>
      </c>
      <c r="AC38" s="1348">
        <f t="shared" si="5"/>
        <v>1</v>
      </c>
    </row>
    <row r="39" spans="1:29" ht="15">
      <c r="A39" s="423"/>
      <c r="B39" s="375" t="s">
        <v>1788</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15"/>
      <c r="M39" s="2709"/>
      <c r="N39" s="2709"/>
      <c r="O39" s="2709"/>
      <c r="P39" s="3765"/>
      <c r="Q39" s="1347" t="str">
        <f t="shared" si="11"/>
        <v>层高</v>
      </c>
      <c r="R39" s="703" t="s">
        <v>14</v>
      </c>
      <c r="S39" s="704">
        <f t="shared" si="12"/>
        <v>100</v>
      </c>
      <c r="T39" s="703" t="s">
        <v>14</v>
      </c>
      <c r="U39" s="704">
        <f t="shared" si="13"/>
        <v>100</v>
      </c>
      <c r="V39" s="703" t="s">
        <v>14</v>
      </c>
      <c r="W39" s="704">
        <f t="shared" si="14"/>
        <v>100</v>
      </c>
      <c r="X39" s="1350"/>
      <c r="Y39" s="3767"/>
      <c r="Z39" s="1351" t="str">
        <f t="shared" si="15"/>
        <v>层高</v>
      </c>
      <c r="AA39" s="1348">
        <f t="shared" si="3"/>
        <v>1</v>
      </c>
      <c r="AB39" s="1348">
        <f t="shared" si="4"/>
        <v>1</v>
      </c>
      <c r="AC39" s="134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65"/>
      <c r="Q40" s="1347" t="str">
        <f t="shared" si="11"/>
        <v>单套建筑面积</v>
      </c>
      <c r="R40" s="703" t="s">
        <v>14</v>
      </c>
      <c r="S40" s="704">
        <f t="shared" si="12"/>
        <v>100</v>
      </c>
      <c r="T40" s="703" t="s">
        <v>14</v>
      </c>
      <c r="U40" s="704">
        <f t="shared" si="13"/>
        <v>100</v>
      </c>
      <c r="V40" s="703" t="s">
        <v>14</v>
      </c>
      <c r="W40" s="704">
        <f t="shared" si="14"/>
        <v>100</v>
      </c>
      <c r="X40" s="1350"/>
      <c r="Y40" s="3767"/>
      <c r="Z40" s="1351" t="str">
        <f t="shared" si="15"/>
        <v>单套建筑面积</v>
      </c>
      <c r="AA40" s="1348">
        <f t="shared" si="3"/>
        <v>1</v>
      </c>
      <c r="AB40" s="1348">
        <f t="shared" si="4"/>
        <v>1</v>
      </c>
      <c r="AC40" s="1348">
        <f t="shared" si="5"/>
        <v>1</v>
      </c>
    </row>
    <row r="41" spans="1:29" s="422" customFormat="1" ht="15">
      <c r="A41" s="419"/>
      <c r="B41" s="134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65"/>
      <c r="Q41" s="705" t="str">
        <f t="shared" si="11"/>
        <v>进深比</v>
      </c>
      <c r="R41" s="706" t="s">
        <v>14</v>
      </c>
      <c r="S41" s="707">
        <f t="shared" si="12"/>
        <v>100</v>
      </c>
      <c r="T41" s="706" t="s">
        <v>14</v>
      </c>
      <c r="U41" s="707">
        <f t="shared" si="13"/>
        <v>100</v>
      </c>
      <c r="V41" s="706" t="s">
        <v>14</v>
      </c>
      <c r="W41" s="707">
        <f t="shared" si="14"/>
        <v>100</v>
      </c>
      <c r="X41" s="708"/>
      <c r="Y41" s="3767"/>
      <c r="Z41" s="709" t="str">
        <f t="shared" si="15"/>
        <v>进深比</v>
      </c>
      <c r="AA41" s="1348">
        <f t="shared" si="3"/>
        <v>1</v>
      </c>
      <c r="AB41" s="1348">
        <f t="shared" si="4"/>
        <v>1</v>
      </c>
      <c r="AC41" s="1348">
        <f t="shared" si="5"/>
        <v>1</v>
      </c>
    </row>
    <row r="42" spans="1:29" ht="15">
      <c r="A42" s="423"/>
      <c r="B42" s="375" t="s">
        <v>1791</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15"/>
      <c r="M42" s="2709"/>
      <c r="N42" s="2709"/>
      <c r="O42" s="2709"/>
      <c r="P42" s="3765"/>
      <c r="Q42" s="1347" t="str">
        <f t="shared" si="11"/>
        <v>内部装修</v>
      </c>
      <c r="R42" s="703" t="s">
        <v>14</v>
      </c>
      <c r="S42" s="704">
        <f t="shared" si="12"/>
        <v>100</v>
      </c>
      <c r="T42" s="703" t="s">
        <v>14</v>
      </c>
      <c r="U42" s="704">
        <f t="shared" si="13"/>
        <v>100</v>
      </c>
      <c r="V42" s="703" t="s">
        <v>14</v>
      </c>
      <c r="W42" s="704">
        <f t="shared" si="14"/>
        <v>100</v>
      </c>
      <c r="X42" s="1350"/>
      <c r="Y42" s="3767"/>
      <c r="Z42" s="1351" t="str">
        <f t="shared" si="15"/>
        <v>内部装修</v>
      </c>
      <c r="AA42" s="1348">
        <f t="shared" si="3"/>
        <v>1</v>
      </c>
      <c r="AB42" s="1348">
        <f t="shared" si="4"/>
        <v>1</v>
      </c>
      <c r="AC42" s="1348">
        <f t="shared" si="5"/>
        <v>1</v>
      </c>
    </row>
    <row r="43" spans="1:29" ht="15">
      <c r="A43" s="423"/>
      <c r="B43" s="375" t="s">
        <v>1706</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15"/>
      <c r="M43" s="2709"/>
      <c r="N43" s="2709"/>
      <c r="O43" s="2709"/>
      <c r="P43" s="3765"/>
      <c r="Q43" s="1347" t="str">
        <f t="shared" si="11"/>
        <v>内部装修维护情况</v>
      </c>
      <c r="R43" s="703" t="s">
        <v>14</v>
      </c>
      <c r="S43" s="704">
        <f t="shared" si="12"/>
        <v>100</v>
      </c>
      <c r="T43" s="703" t="s">
        <v>14</v>
      </c>
      <c r="U43" s="704">
        <f t="shared" si="13"/>
        <v>100</v>
      </c>
      <c r="V43" s="703" t="s">
        <v>14</v>
      </c>
      <c r="W43" s="704">
        <f t="shared" si="14"/>
        <v>100</v>
      </c>
      <c r="X43" s="1350"/>
      <c r="Y43" s="3767"/>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65"/>
      <c r="Q44" s="1338">
        <f t="shared" si="11"/>
        <v>111</v>
      </c>
      <c r="R44" s="699" t="s">
        <v>14</v>
      </c>
      <c r="S44" s="700">
        <f t="shared" si="12"/>
        <v>100</v>
      </c>
      <c r="T44" s="699" t="s">
        <v>14</v>
      </c>
      <c r="U44" s="700">
        <f t="shared" si="13"/>
        <v>100</v>
      </c>
      <c r="V44" s="699" t="s">
        <v>14</v>
      </c>
      <c r="W44" s="700">
        <f t="shared" si="14"/>
        <v>100</v>
      </c>
      <c r="X44" s="701"/>
      <c r="Y44" s="3767"/>
      <c r="Z44" s="52">
        <f t="shared" si="15"/>
        <v>111</v>
      </c>
      <c r="AA44" s="702">
        <f t="shared" si="3"/>
        <v>1</v>
      </c>
      <c r="AB44" s="702">
        <f t="shared" si="4"/>
        <v>1</v>
      </c>
      <c r="AC44" s="702">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65"/>
      <c r="Q45" s="1347">
        <f t="shared" si="11"/>
        <v>111</v>
      </c>
      <c r="R45" s="703" t="s">
        <v>14</v>
      </c>
      <c r="S45" s="704">
        <f t="shared" si="12"/>
        <v>100</v>
      </c>
      <c r="T45" s="703" t="s">
        <v>14</v>
      </c>
      <c r="U45" s="704">
        <f t="shared" si="13"/>
        <v>100</v>
      </c>
      <c r="V45" s="703" t="s">
        <v>14</v>
      </c>
      <c r="W45" s="704">
        <f t="shared" si="14"/>
        <v>100</v>
      </c>
      <c r="X45" s="1350"/>
      <c r="Y45" s="3767"/>
      <c r="Z45" s="1351">
        <f t="shared" si="15"/>
        <v>111</v>
      </c>
      <c r="AA45" s="1348">
        <f t="shared" si="3"/>
        <v>1</v>
      </c>
      <c r="AB45" s="1348">
        <f t="shared" si="4"/>
        <v>1</v>
      </c>
      <c r="AC45" s="1348">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66"/>
      <c r="Q46" s="1347">
        <f t="shared" si="11"/>
        <v>111</v>
      </c>
      <c r="R46" s="703" t="s">
        <v>14</v>
      </c>
      <c r="S46" s="704">
        <f t="shared" si="12"/>
        <v>100</v>
      </c>
      <c r="T46" s="703" t="s">
        <v>14</v>
      </c>
      <c r="U46" s="704">
        <f t="shared" si="13"/>
        <v>100</v>
      </c>
      <c r="V46" s="703" t="s">
        <v>14</v>
      </c>
      <c r="W46" s="704">
        <f t="shared" si="14"/>
        <v>100</v>
      </c>
      <c r="X46" s="1350"/>
      <c r="Y46" s="3768"/>
      <c r="Z46" s="1351">
        <f t="shared" si="15"/>
        <v>111</v>
      </c>
      <c r="AA46" s="1348">
        <f t="shared" si="3"/>
        <v>1</v>
      </c>
      <c r="AB46" s="1348">
        <f t="shared" si="4"/>
        <v>1</v>
      </c>
      <c r="AC46" s="1348">
        <f t="shared" si="5"/>
        <v>1</v>
      </c>
    </row>
    <row r="47" spans="1:29" ht="15">
      <c r="A47" s="430" t="s">
        <v>1707</v>
      </c>
      <c r="B47" s="431"/>
      <c r="C47" s="1149" t="s">
        <v>0</v>
      </c>
      <c r="D47" s="1150"/>
      <c r="E47" s="1151"/>
      <c r="F47" s="1152"/>
      <c r="G47" s="1153"/>
      <c r="H47" s="1154"/>
      <c r="I47" s="1151"/>
      <c r="J47" s="1154"/>
      <c r="K47" s="712"/>
      <c r="L47" s="2717"/>
      <c r="M47" s="2718"/>
      <c r="N47" s="2709"/>
      <c r="O47" s="2718"/>
      <c r="P47" s="3760" t="str">
        <f>A47</f>
        <v>成交单价（元/平方米）</v>
      </c>
      <c r="Q47" s="3760"/>
      <c r="R47" s="3755">
        <f>E47</f>
        <v>0</v>
      </c>
      <c r="S47" s="3755"/>
      <c r="T47" s="3755">
        <f>G47</f>
        <v>0</v>
      </c>
      <c r="U47" s="3755"/>
      <c r="V47" s="3755">
        <f>I47</f>
        <v>0</v>
      </c>
      <c r="W47" s="3755"/>
      <c r="X47" s="688"/>
      <c r="Y47" s="710"/>
      <c r="Z47" s="688"/>
      <c r="AA47" s="688"/>
      <c r="AB47" s="688"/>
      <c r="AC47" s="688"/>
    </row>
    <row r="48" spans="1:29" ht="15.75" thickBot="1">
      <c r="A48" s="437" t="s">
        <v>1792</v>
      </c>
      <c r="B48" s="438"/>
      <c r="C48" s="1155" t="e">
        <f>R49</f>
        <v>#DIV/0!</v>
      </c>
      <c r="D48" s="2311" t="s">
        <v>2136</v>
      </c>
      <c r="E48" s="1156" t="e">
        <f>R48</f>
        <v>#DIV/0!</v>
      </c>
      <c r="F48" s="2312"/>
      <c r="G48" s="1155" t="e">
        <f>T48</f>
        <v>#DIV/0!</v>
      </c>
      <c r="H48" s="2312"/>
      <c r="I48" s="1156" t="e">
        <f>V48</f>
        <v>#DIV/0!</v>
      </c>
      <c r="J48" s="2312"/>
      <c r="K48" s="2314">
        <f>F48+H48+J48</f>
        <v>0</v>
      </c>
      <c r="L48" s="2717"/>
      <c r="M48" s="2718"/>
      <c r="N48" s="2709"/>
      <c r="O48" s="2718"/>
      <c r="P48" s="3760" t="str">
        <f>A48</f>
        <v>比较价值（元/平方米）</v>
      </c>
      <c r="Q48" s="3760"/>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88"/>
      <c r="Y48" s="688"/>
      <c r="Z48" s="688"/>
      <c r="AA48" s="688"/>
      <c r="AB48" s="688"/>
      <c r="AC48" s="688"/>
    </row>
    <row r="49" spans="1:29" ht="15.75" thickBot="1">
      <c r="A49" s="441" t="s">
        <v>1793</v>
      </c>
      <c r="B49" s="442"/>
      <c r="C49" s="1158" t="e">
        <f>R49</f>
        <v>#DIV/0!</v>
      </c>
      <c r="D49" s="1158"/>
      <c r="E49" s="1158"/>
      <c r="F49" s="1158"/>
      <c r="G49" s="1158"/>
      <c r="H49" s="1158"/>
      <c r="I49" s="1158"/>
      <c r="J49" s="1158"/>
      <c r="K49" s="713"/>
      <c r="L49" s="2717"/>
      <c r="M49" s="2718"/>
      <c r="N49" s="2709"/>
      <c r="O49" s="2718"/>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1797</v>
      </c>
      <c r="B57" s="688"/>
      <c r="C57" s="693"/>
      <c r="D57" s="693"/>
      <c r="E57" s="693"/>
      <c r="F57" s="694"/>
      <c r="G57" s="694"/>
      <c r="H57" s="693"/>
      <c r="I57" s="693"/>
      <c r="J57" s="693"/>
      <c r="K57" s="695"/>
      <c r="L57" s="937"/>
      <c r="M57" s="935"/>
      <c r="N57" s="935"/>
      <c r="O57" s="935"/>
      <c r="P57" s="2731"/>
      <c r="Q57" s="2732"/>
      <c r="R57" s="2718"/>
      <c r="S57" s="2718"/>
      <c r="T57" s="2718"/>
      <c r="U57" s="2718"/>
      <c r="V57" s="2718"/>
      <c r="W57" s="2718"/>
      <c r="X57" s="2718"/>
      <c r="Y57" s="2718"/>
      <c r="Z57" s="2718"/>
      <c r="AA57" s="2718"/>
      <c r="AB57" s="2718"/>
      <c r="AC57" s="2718"/>
    </row>
    <row r="58" spans="1:29" s="457" customFormat="1" ht="15">
      <c r="A58" s="454" t="s">
        <v>1678</v>
      </c>
      <c r="B58" s="455"/>
      <c r="C58" s="1179" t="str">
        <f>YEAR(C7)&amp;"-"&amp;MONTH(C7)</f>
        <v>2024-4</v>
      </c>
      <c r="D58" s="1180">
        <f>EDATE(C58,-1)</f>
        <v>45352</v>
      </c>
      <c r="E58" s="1180">
        <f t="shared" ref="E58:N58" si="16">EDATE(D58,-1)</f>
        <v>45323</v>
      </c>
      <c r="F58" s="1180">
        <f t="shared" si="16"/>
        <v>45292</v>
      </c>
      <c r="G58" s="1180">
        <f t="shared" si="16"/>
        <v>45261</v>
      </c>
      <c r="H58" s="1180">
        <f t="shared" si="16"/>
        <v>45231</v>
      </c>
      <c r="I58" s="1180">
        <f t="shared" si="16"/>
        <v>45200</v>
      </c>
      <c r="J58" s="1180">
        <f t="shared" si="16"/>
        <v>45170</v>
      </c>
      <c r="K58" s="1180">
        <f t="shared" si="16"/>
        <v>45139</v>
      </c>
      <c r="L58" s="1180">
        <f t="shared" si="16"/>
        <v>45108</v>
      </c>
      <c r="M58" s="1180">
        <f t="shared" si="16"/>
        <v>45078</v>
      </c>
      <c r="N58" s="1180">
        <f t="shared" si="16"/>
        <v>45047</v>
      </c>
      <c r="O58" s="1180">
        <f>EDATE(N58,-1)</f>
        <v>45017</v>
      </c>
      <c r="P58" s="2733"/>
      <c r="Q58" s="2734"/>
      <c r="R58" s="2734"/>
      <c r="S58" s="2734"/>
      <c r="T58" s="2734"/>
      <c r="U58" s="2734"/>
      <c r="V58" s="2734"/>
      <c r="W58" s="2734"/>
      <c r="X58" s="2734"/>
      <c r="Y58" s="2734"/>
      <c r="Z58" s="2734"/>
      <c r="AA58" s="2734"/>
      <c r="AB58" s="2734"/>
      <c r="AC58" s="2734"/>
    </row>
    <row r="59" spans="1:29" s="108" customFormat="1" ht="15">
      <c r="A59" s="458"/>
      <c r="B59" s="459"/>
      <c r="C59" s="1178">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8" t="s">
        <v>1798</v>
      </c>
      <c r="D82" s="608" t="s">
        <v>1799</v>
      </c>
      <c r="E82" s="608" t="s">
        <v>1800</v>
      </c>
      <c r="F82" s="608" t="s">
        <v>1801</v>
      </c>
      <c r="G82" s="608" t="s">
        <v>1802</v>
      </c>
      <c r="H82" s="488"/>
      <c r="I82" s="488"/>
      <c r="J82" s="488"/>
      <c r="K82" s="488"/>
      <c r="L82" s="488"/>
      <c r="M82" s="1124"/>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1"/>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2"/>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2"/>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951" t="s">
        <v>1809</v>
      </c>
      <c r="C1" s="1219" t="s">
        <v>1661</v>
      </c>
      <c r="D1" s="1220"/>
      <c r="E1" s="3426"/>
      <c r="F1" s="1873"/>
      <c r="G1" s="1230" t="s">
        <v>1766</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1462</v>
      </c>
      <c r="F2" s="1877"/>
      <c r="G2" s="903"/>
      <c r="H2" s="903"/>
      <c r="I2" s="903"/>
      <c r="J2" s="903"/>
      <c r="K2" s="903"/>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1463</v>
      </c>
      <c r="B3" s="558">
        <f>IF(C2="——",C50,ROUND(B2*10000/D3,0))</f>
        <v>0</v>
      </c>
      <c r="C3" s="354" t="s">
        <v>1767</v>
      </c>
      <c r="D3" s="353">
        <f>IF(D1="",'数据-汇总表'!E3,SUMIF('数据-汇总表'!$C19:$C33,D1,'数据-汇总表'!$E19:$E33))</f>
        <v>135125.56999999998</v>
      </c>
      <c r="E3" s="1948"/>
      <c r="F3" s="904"/>
      <c r="G3" s="903"/>
      <c r="H3" s="903"/>
      <c r="I3" s="903"/>
      <c r="J3" s="903"/>
      <c r="K3" s="905"/>
      <c r="L3" s="2727"/>
      <c r="M3" s="2728"/>
      <c r="N3" s="2728"/>
      <c r="O3" s="2728"/>
      <c r="P3" s="697"/>
      <c r="Q3" s="697"/>
      <c r="R3" s="697"/>
      <c r="S3" s="697"/>
      <c r="T3" s="697"/>
      <c r="U3" s="697"/>
      <c r="V3" s="697"/>
      <c r="W3" s="697"/>
      <c r="X3" s="697"/>
      <c r="Y3" s="697"/>
      <c r="Z3" s="697"/>
      <c r="AA3" s="697"/>
      <c r="AB3" s="697"/>
      <c r="AC3" s="698"/>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77" t="s">
        <v>1774</v>
      </c>
      <c r="Q4" s="3778"/>
      <c r="R4" s="3772" t="s">
        <v>1770</v>
      </c>
      <c r="S4" s="3773"/>
      <c r="T4" s="3772" t="s">
        <v>1771</v>
      </c>
      <c r="U4" s="3773"/>
      <c r="V4" s="3781" t="s">
        <v>1772</v>
      </c>
      <c r="W4" s="3781"/>
      <c r="X4" s="1952"/>
      <c r="Y4" s="3772" t="s">
        <v>1774</v>
      </c>
      <c r="Z4" s="3773"/>
      <c r="AA4" s="3771" t="s">
        <v>1770</v>
      </c>
      <c r="AB4" s="3771" t="s">
        <v>1771</v>
      </c>
      <c r="AC4" s="3774" t="s">
        <v>1772</v>
      </c>
    </row>
    <row r="5" spans="1:29" ht="15">
      <c r="A5" s="358"/>
      <c r="B5" s="359"/>
      <c r="C5" s="3736" t="s">
        <v>1672</v>
      </c>
      <c r="D5" s="3737"/>
      <c r="E5" s="3734" t="s">
        <v>1673</v>
      </c>
      <c r="F5" s="3735"/>
      <c r="G5" s="3736" t="s">
        <v>1674</v>
      </c>
      <c r="H5" s="3737"/>
      <c r="I5" s="3736" t="s">
        <v>1675</v>
      </c>
      <c r="J5" s="3737"/>
      <c r="K5" s="559"/>
      <c r="L5" s="2708"/>
      <c r="M5" s="2709"/>
      <c r="N5" s="2709"/>
      <c r="O5" s="2709"/>
      <c r="P5" s="3779"/>
      <c r="Q5" s="3750"/>
      <c r="R5" s="3732"/>
      <c r="S5" s="3733"/>
      <c r="T5" s="3732"/>
      <c r="U5" s="3733"/>
      <c r="V5" s="3755"/>
      <c r="W5" s="3755"/>
      <c r="X5" s="1350"/>
      <c r="Y5" s="3732"/>
      <c r="Z5" s="3733"/>
      <c r="AA5" s="3726"/>
      <c r="AB5" s="3726"/>
      <c r="AC5" s="3775"/>
    </row>
    <row r="6" spans="1:29" ht="15.75" thickBot="1">
      <c r="A6" s="360"/>
      <c r="B6" s="361"/>
      <c r="C6" s="3738" t="s">
        <v>1676</v>
      </c>
      <c r="D6" s="3739"/>
      <c r="E6" s="3740" t="s">
        <v>1676</v>
      </c>
      <c r="F6" s="3741"/>
      <c r="G6" s="3738" t="s">
        <v>1676</v>
      </c>
      <c r="H6" s="3739"/>
      <c r="I6" s="3738" t="s">
        <v>1676</v>
      </c>
      <c r="J6" s="3739"/>
      <c r="K6" s="559" t="s">
        <v>1677</v>
      </c>
      <c r="L6" s="2708"/>
      <c r="M6" s="2709"/>
      <c r="N6" s="2709"/>
      <c r="O6" s="2709"/>
      <c r="P6" s="3780"/>
      <c r="Q6" s="3752"/>
      <c r="R6" s="3732"/>
      <c r="S6" s="3733"/>
      <c r="T6" s="3753"/>
      <c r="U6" s="3754"/>
      <c r="V6" s="3755"/>
      <c r="W6" s="3755"/>
      <c r="X6" s="1350"/>
      <c r="Y6" s="3753"/>
      <c r="Z6" s="3754"/>
      <c r="AA6" s="3727"/>
      <c r="AB6" s="3727"/>
      <c r="AC6" s="3776"/>
    </row>
    <row r="7" spans="1:29" s="108" customFormat="1" ht="15.75" thickBot="1">
      <c r="A7" s="362" t="s">
        <v>1678</v>
      </c>
      <c r="B7" s="363"/>
      <c r="C7" s="364">
        <f>'数据-取费表'!B2</f>
        <v>45392</v>
      </c>
      <c r="D7" s="365">
        <v>100</v>
      </c>
      <c r="E7" s="366"/>
      <c r="F7" s="367">
        <f>SUMIF(59:59,YEAR(E7)&amp;"-"&amp;MONTH(E7),60:60)</f>
        <v>0</v>
      </c>
      <c r="G7" s="366"/>
      <c r="H7" s="365">
        <f>SUMIF(59:59,YEAR(G7)&amp;"-"&amp;MONTH(G7),60:60)</f>
        <v>0</v>
      </c>
      <c r="I7" s="366"/>
      <c r="J7" s="365">
        <f>SUMIF(59:59,YEAR(I7)&amp;"-"&amp;MONTH(I7),60:60)</f>
        <v>0</v>
      </c>
      <c r="K7" s="560"/>
      <c r="L7" s="2710"/>
      <c r="M7" s="2711"/>
      <c r="N7" s="2711"/>
      <c r="O7" s="2711"/>
      <c r="P7" s="3782" t="s">
        <v>1679</v>
      </c>
      <c r="Q7" s="3756"/>
      <c r="R7" s="699" t="s">
        <v>14</v>
      </c>
      <c r="S7" s="700">
        <f t="shared" ref="S7:S15" si="0">F7</f>
        <v>0</v>
      </c>
      <c r="T7" s="699" t="s">
        <v>14</v>
      </c>
      <c r="U7" s="700">
        <f t="shared" ref="U7:U15" si="1">H7</f>
        <v>0</v>
      </c>
      <c r="V7" s="699" t="s">
        <v>14</v>
      </c>
      <c r="W7" s="700">
        <f t="shared" ref="W7:W15" si="2">J7</f>
        <v>0</v>
      </c>
      <c r="X7" s="701"/>
      <c r="Y7" s="3728" t="s">
        <v>1679</v>
      </c>
      <c r="Z7" s="3729"/>
      <c r="AA7" s="702" t="e">
        <f>D7/F7</f>
        <v>#DIV/0!</v>
      </c>
      <c r="AB7" s="702" t="e">
        <f>D7/H7</f>
        <v>#DIV/0!</v>
      </c>
      <c r="AC7" s="1953"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782" t="s">
        <v>1682</v>
      </c>
      <c r="Q8" s="3729"/>
      <c r="R8" s="699" t="s">
        <v>14</v>
      </c>
      <c r="S8" s="700">
        <f t="shared" si="0"/>
        <v>100</v>
      </c>
      <c r="T8" s="699" t="s">
        <v>14</v>
      </c>
      <c r="U8" s="700">
        <f t="shared" si="1"/>
        <v>100</v>
      </c>
      <c r="V8" s="699" t="s">
        <v>14</v>
      </c>
      <c r="W8" s="700">
        <f t="shared" si="2"/>
        <v>100</v>
      </c>
      <c r="X8" s="701"/>
      <c r="Y8" s="3728" t="s">
        <v>1682</v>
      </c>
      <c r="Z8" s="3729"/>
      <c r="AA8" s="702">
        <f t="shared" ref="AA8:AA47" si="3">D8/F8</f>
        <v>1</v>
      </c>
      <c r="AB8" s="702">
        <f t="shared" ref="AB8:AB47" si="4">D8/H8</f>
        <v>1</v>
      </c>
      <c r="AC8" s="1953">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742"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1953">
        <f t="shared" si="5"/>
        <v>1</v>
      </c>
    </row>
    <row r="10" spans="1:29" s="378" customFormat="1" ht="27">
      <c r="A10" s="374"/>
      <c r="B10" s="375" t="s">
        <v>1687</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42"/>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1953">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42"/>
      <c r="Q11" s="1338"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1953">
        <f t="shared" si="5"/>
        <v>1</v>
      </c>
    </row>
    <row r="12" spans="1:29" s="108" customFormat="1" ht="15">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0"/>
      <c r="M12" s="2711"/>
      <c r="N12" s="2711"/>
      <c r="O12" s="2711"/>
      <c r="P12" s="3742"/>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1953">
        <f>D12/J12</f>
        <v>1</v>
      </c>
    </row>
    <row r="13" spans="1:29" ht="15">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5"/>
      <c r="M13" s="2709"/>
      <c r="N13" s="2709"/>
      <c r="O13" s="2709"/>
      <c r="P13" s="3742"/>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1953">
        <f t="shared" si="5"/>
        <v>1</v>
      </c>
    </row>
    <row r="14" spans="1:29" ht="15.75"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5"/>
      <c r="M14" s="2709"/>
      <c r="N14" s="2709"/>
      <c r="O14" s="2709"/>
      <c r="P14" s="3742"/>
      <c r="Q14" s="1338">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1953">
        <f t="shared" si="5"/>
        <v>1</v>
      </c>
    </row>
    <row r="15" spans="1:29" ht="71.25">
      <c r="A15" s="391" t="s">
        <v>1689</v>
      </c>
      <c r="B15" s="577" t="s">
        <v>1810</v>
      </c>
      <c r="C15" s="1955"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769" t="s">
        <v>1690</v>
      </c>
      <c r="Q15" s="1347" t="str">
        <f t="shared" si="6"/>
        <v>办公集聚程度</v>
      </c>
      <c r="R15" s="703" t="s">
        <v>14</v>
      </c>
      <c r="S15" s="704">
        <f t="shared" si="0"/>
        <v>100</v>
      </c>
      <c r="T15" s="703" t="s">
        <v>14</v>
      </c>
      <c r="U15" s="704">
        <f t="shared" si="1"/>
        <v>100</v>
      </c>
      <c r="V15" s="703" t="s">
        <v>14</v>
      </c>
      <c r="W15" s="704">
        <f t="shared" si="2"/>
        <v>100</v>
      </c>
      <c r="X15" s="1350"/>
      <c r="Y15" s="3762" t="s">
        <v>1690</v>
      </c>
      <c r="Z15" s="1351" t="str">
        <f t="shared" si="7"/>
        <v>办公集聚程度</v>
      </c>
      <c r="AA15" s="1348">
        <f t="shared" si="3"/>
        <v>1</v>
      </c>
      <c r="AB15" s="1348">
        <f t="shared" si="4"/>
        <v>1</v>
      </c>
      <c r="AC15" s="1956">
        <f t="shared" si="5"/>
        <v>1</v>
      </c>
    </row>
    <row r="16" spans="1:29" ht="15">
      <c r="A16" s="379"/>
      <c r="B16" s="578"/>
      <c r="C16" s="1898"/>
      <c r="D16" s="399"/>
      <c r="E16" s="398"/>
      <c r="F16" s="399"/>
      <c r="G16" s="1898"/>
      <c r="H16" s="401"/>
      <c r="I16" s="398"/>
      <c r="J16" s="399"/>
      <c r="K16" s="564"/>
      <c r="L16" s="2715"/>
      <c r="M16" s="2709"/>
      <c r="N16" s="2709"/>
      <c r="O16" s="2709"/>
      <c r="P16" s="3770"/>
      <c r="Q16" s="1347"/>
      <c r="R16" s="703"/>
      <c r="S16" s="704"/>
      <c r="T16" s="703"/>
      <c r="U16" s="704"/>
      <c r="V16" s="703"/>
      <c r="W16" s="704"/>
      <c r="X16" s="1350"/>
      <c r="Y16" s="3763"/>
      <c r="Z16" s="1351"/>
      <c r="AA16" s="1348">
        <v>1</v>
      </c>
      <c r="AB16" s="1348">
        <v>1</v>
      </c>
      <c r="AC16" s="1956">
        <v>1</v>
      </c>
    </row>
    <row r="17" spans="1:29" ht="71.25">
      <c r="A17" s="379"/>
      <c r="B17" s="579" t="s">
        <v>1259</v>
      </c>
      <c r="C17" s="1957"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770"/>
      <c r="Q17" s="1347" t="str">
        <f>B17</f>
        <v>交通便捷度</v>
      </c>
      <c r="R17" s="703" t="s">
        <v>14</v>
      </c>
      <c r="S17" s="704">
        <f>F17</f>
        <v>100</v>
      </c>
      <c r="T17" s="703" t="s">
        <v>14</v>
      </c>
      <c r="U17" s="704">
        <f>H17</f>
        <v>100</v>
      </c>
      <c r="V17" s="703" t="s">
        <v>14</v>
      </c>
      <c r="W17" s="704">
        <f>J17</f>
        <v>100</v>
      </c>
      <c r="X17" s="1350"/>
      <c r="Y17" s="3763"/>
      <c r="Z17" s="1351" t="str">
        <f>Q17</f>
        <v>交通便捷度</v>
      </c>
      <c r="AA17" s="1348">
        <f t="shared" si="3"/>
        <v>1</v>
      </c>
      <c r="AB17" s="1348">
        <f t="shared" si="4"/>
        <v>1</v>
      </c>
      <c r="AC17" s="1956">
        <f t="shared" si="5"/>
        <v>1</v>
      </c>
    </row>
    <row r="18" spans="1:29" ht="15">
      <c r="A18" s="379"/>
      <c r="B18" s="580"/>
      <c r="C18" s="1958"/>
      <c r="D18" s="401"/>
      <c r="E18" s="1896"/>
      <c r="F18" s="401"/>
      <c r="G18" s="1897"/>
      <c r="H18" s="399"/>
      <c r="I18" s="1897"/>
      <c r="J18" s="399"/>
      <c r="K18" s="564"/>
      <c r="L18" s="2715"/>
      <c r="M18" s="2709"/>
      <c r="N18" s="2709"/>
      <c r="O18" s="2709"/>
      <c r="P18" s="3770"/>
      <c r="Q18" s="1347"/>
      <c r="R18" s="703"/>
      <c r="S18" s="704"/>
      <c r="T18" s="703"/>
      <c r="U18" s="704"/>
      <c r="V18" s="703"/>
      <c r="W18" s="704"/>
      <c r="X18" s="1350"/>
      <c r="Y18" s="3763"/>
      <c r="Z18" s="1351"/>
      <c r="AA18" s="1348">
        <v>1</v>
      </c>
      <c r="AB18" s="1348">
        <v>1</v>
      </c>
      <c r="AC18" s="1956">
        <v>1</v>
      </c>
    </row>
    <row r="19" spans="1:29" ht="42.75">
      <c r="A19" s="379"/>
      <c r="B19" s="579" t="s">
        <v>1811</v>
      </c>
      <c r="C19" s="1957"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770"/>
      <c r="Q19" s="1347" t="str">
        <f>B19</f>
        <v>公共配套设施</v>
      </c>
      <c r="R19" s="703" t="s">
        <v>14</v>
      </c>
      <c r="S19" s="704">
        <f>F19</f>
        <v>100</v>
      </c>
      <c r="T19" s="703" t="s">
        <v>14</v>
      </c>
      <c r="U19" s="704">
        <f>H19</f>
        <v>100</v>
      </c>
      <c r="V19" s="703" t="s">
        <v>14</v>
      </c>
      <c r="W19" s="704">
        <f>J19</f>
        <v>100</v>
      </c>
      <c r="X19" s="1350"/>
      <c r="Y19" s="3763"/>
      <c r="Z19" s="1351" t="str">
        <f>Q19</f>
        <v>公共配套设施</v>
      </c>
      <c r="AA19" s="1348">
        <f t="shared" si="3"/>
        <v>1</v>
      </c>
      <c r="AB19" s="1348">
        <f t="shared" si="4"/>
        <v>1</v>
      </c>
      <c r="AC19" s="1956">
        <f t="shared" si="5"/>
        <v>1</v>
      </c>
    </row>
    <row r="20" spans="1:29" ht="15">
      <c r="A20" s="379"/>
      <c r="B20" s="580"/>
      <c r="C20" s="1898"/>
      <c r="D20" s="399"/>
      <c r="E20" s="1891"/>
      <c r="F20" s="399"/>
      <c r="G20" s="1892"/>
      <c r="H20" s="399"/>
      <c r="I20" s="1892"/>
      <c r="J20" s="399"/>
      <c r="K20" s="564"/>
      <c r="L20" s="2715"/>
      <c r="M20" s="2709"/>
      <c r="N20" s="2709"/>
      <c r="O20" s="2709"/>
      <c r="P20" s="3770"/>
      <c r="Q20" s="1347"/>
      <c r="R20" s="703"/>
      <c r="S20" s="704"/>
      <c r="T20" s="703"/>
      <c r="U20" s="704"/>
      <c r="V20" s="703"/>
      <c r="W20" s="704"/>
      <c r="X20" s="1350"/>
      <c r="Y20" s="3763"/>
      <c r="Z20" s="1351"/>
      <c r="AA20" s="1348">
        <v>1</v>
      </c>
      <c r="AB20" s="1348">
        <v>1</v>
      </c>
      <c r="AC20" s="1956">
        <v>1</v>
      </c>
    </row>
    <row r="21" spans="1:29" ht="28.5">
      <c r="A21" s="379"/>
      <c r="B21" s="581" t="s">
        <v>1812</v>
      </c>
      <c r="C21" s="1957"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770"/>
      <c r="Q21" s="1347" t="str">
        <f>B21</f>
        <v>基础设施水平</v>
      </c>
      <c r="R21" s="703" t="s">
        <v>14</v>
      </c>
      <c r="S21" s="704">
        <f>F21</f>
        <v>100</v>
      </c>
      <c r="T21" s="703" t="s">
        <v>14</v>
      </c>
      <c r="U21" s="704">
        <f>H21</f>
        <v>100</v>
      </c>
      <c r="V21" s="703" t="s">
        <v>14</v>
      </c>
      <c r="W21" s="704">
        <f>J21</f>
        <v>100</v>
      </c>
      <c r="X21" s="1350"/>
      <c r="Y21" s="3763"/>
      <c r="Z21" s="1351" t="str">
        <f>Q21</f>
        <v>基础设施水平</v>
      </c>
      <c r="AA21" s="1348">
        <f t="shared" ref="AA21" si="8">D21/F21</f>
        <v>1</v>
      </c>
      <c r="AB21" s="1348">
        <f t="shared" ref="AB21" si="9">D21/H21</f>
        <v>1</v>
      </c>
      <c r="AC21" s="1956">
        <f t="shared" ref="AC21" si="10">D21/J21</f>
        <v>1</v>
      </c>
    </row>
    <row r="22" spans="1:29" ht="15">
      <c r="A22" s="379"/>
      <c r="B22" s="581"/>
      <c r="C22" s="1958"/>
      <c r="D22" s="399"/>
      <c r="E22" s="398"/>
      <c r="F22" s="399"/>
      <c r="G22" s="1898"/>
      <c r="H22" s="399"/>
      <c r="I22" s="1898"/>
      <c r="J22" s="399"/>
      <c r="K22" s="1125"/>
      <c r="L22" s="2715"/>
      <c r="M22" s="2709"/>
      <c r="N22" s="2709"/>
      <c r="O22" s="2709"/>
      <c r="P22" s="3770"/>
      <c r="Q22" s="1347"/>
      <c r="R22" s="703"/>
      <c r="S22" s="704"/>
      <c r="T22" s="703"/>
      <c r="U22" s="704"/>
      <c r="V22" s="703"/>
      <c r="W22" s="704"/>
      <c r="X22" s="1350"/>
      <c r="Y22" s="3763"/>
      <c r="Z22" s="1351"/>
      <c r="AA22" s="1348">
        <v>1</v>
      </c>
      <c r="AB22" s="1348">
        <v>1</v>
      </c>
      <c r="AC22" s="1956">
        <v>1</v>
      </c>
    </row>
    <row r="23" spans="1:29" ht="42.75">
      <c r="A23" s="379"/>
      <c r="B23" s="579" t="s">
        <v>1813</v>
      </c>
      <c r="C23" s="1957"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770"/>
      <c r="Q23" s="1347" t="str">
        <f>B23</f>
        <v>环境质量</v>
      </c>
      <c r="R23" s="703" t="s">
        <v>14</v>
      </c>
      <c r="S23" s="704">
        <f>F23</f>
        <v>100</v>
      </c>
      <c r="T23" s="703" t="s">
        <v>14</v>
      </c>
      <c r="U23" s="704">
        <f>H23</f>
        <v>100</v>
      </c>
      <c r="V23" s="703" t="s">
        <v>14</v>
      </c>
      <c r="W23" s="704">
        <f>J23</f>
        <v>100</v>
      </c>
      <c r="X23" s="1350"/>
      <c r="Y23" s="3763"/>
      <c r="Z23" s="1351" t="str">
        <f>Q23</f>
        <v>环境质量</v>
      </c>
      <c r="AA23" s="1348">
        <f t="shared" si="3"/>
        <v>1</v>
      </c>
      <c r="AB23" s="1348">
        <f t="shared" si="4"/>
        <v>1</v>
      </c>
      <c r="AC23" s="1956">
        <f t="shared" si="5"/>
        <v>1</v>
      </c>
    </row>
    <row r="24" spans="1:29" ht="15">
      <c r="A24" s="379"/>
      <c r="B24" s="581"/>
      <c r="C24" s="1898"/>
      <c r="D24" s="399"/>
      <c r="E24" s="1891"/>
      <c r="F24" s="399"/>
      <c r="G24" s="1892"/>
      <c r="H24" s="399"/>
      <c r="I24" s="1892"/>
      <c r="J24" s="399"/>
      <c r="K24" s="564"/>
      <c r="L24" s="2715"/>
      <c r="M24" s="2709"/>
      <c r="N24" s="2709"/>
      <c r="O24" s="2709"/>
      <c r="P24" s="3770"/>
      <c r="Q24" s="1347"/>
      <c r="R24" s="703"/>
      <c r="S24" s="704"/>
      <c r="T24" s="703"/>
      <c r="U24" s="704"/>
      <c r="V24" s="703"/>
      <c r="W24" s="704"/>
      <c r="X24" s="1350"/>
      <c r="Y24" s="3763"/>
      <c r="Z24" s="1351"/>
      <c r="AA24" s="1348">
        <v>1</v>
      </c>
      <c r="AB24" s="1348">
        <v>1</v>
      </c>
      <c r="AC24" s="1956">
        <v>1</v>
      </c>
    </row>
    <row r="25" spans="1:29" ht="27">
      <c r="A25" s="358"/>
      <c r="B25" s="579" t="s">
        <v>1814</v>
      </c>
      <c r="C25" s="1902"/>
      <c r="D25" s="386">
        <v>100</v>
      </c>
      <c r="E25" s="385"/>
      <c r="F25" s="386">
        <f>SUMIF(87:87,E26,88:88)-SUMIF(87:87,C26,88:88)+100</f>
        <v>100</v>
      </c>
      <c r="G25" s="1902"/>
      <c r="H25" s="386">
        <f>SUMIF(87:87,G26,88:88)-SUMIF(87:87,C26,88:88)+100</f>
        <v>100</v>
      </c>
      <c r="I25" s="385"/>
      <c r="J25" s="386">
        <f>SUMIF(87:87,I26,88:88)-SUMIF(87:87,C26,88:88)+100</f>
        <v>100</v>
      </c>
      <c r="K25" s="563"/>
      <c r="L25" s="2715"/>
      <c r="M25" s="2709"/>
      <c r="N25" s="2709"/>
      <c r="O25" s="2709"/>
      <c r="P25" s="3770"/>
      <c r="Q25" s="1347" t="str">
        <f>B25</f>
        <v>毗邻道路的类型与等级</v>
      </c>
      <c r="R25" s="703" t="s">
        <v>14</v>
      </c>
      <c r="S25" s="704">
        <f>F25</f>
        <v>100</v>
      </c>
      <c r="T25" s="703" t="s">
        <v>14</v>
      </c>
      <c r="U25" s="704">
        <f>H25</f>
        <v>100</v>
      </c>
      <c r="V25" s="703" t="s">
        <v>14</v>
      </c>
      <c r="W25" s="704">
        <f>J25</f>
        <v>100</v>
      </c>
      <c r="X25" s="1350"/>
      <c r="Y25" s="3763"/>
      <c r="Z25" s="1351" t="str">
        <f>Q25</f>
        <v>毗邻道路的类型与等级</v>
      </c>
      <c r="AA25" s="1348">
        <f t="shared" si="3"/>
        <v>1</v>
      </c>
      <c r="AB25" s="1348">
        <f t="shared" si="4"/>
        <v>1</v>
      </c>
      <c r="AC25" s="1956">
        <f t="shared" si="5"/>
        <v>1</v>
      </c>
    </row>
    <row r="26" spans="1:29" ht="15">
      <c r="A26" s="358"/>
      <c r="B26" s="580"/>
      <c r="C26" s="582"/>
      <c r="D26" s="386"/>
      <c r="E26" s="565"/>
      <c r="F26" s="386"/>
      <c r="G26" s="582"/>
      <c r="H26" s="386"/>
      <c r="I26" s="565"/>
      <c r="J26" s="386"/>
      <c r="K26" s="564"/>
      <c r="L26" s="2715"/>
      <c r="M26" s="2709"/>
      <c r="N26" s="2709"/>
      <c r="O26" s="2709"/>
      <c r="P26" s="3770"/>
      <c r="Q26" s="1347"/>
      <c r="R26" s="703"/>
      <c r="S26" s="704"/>
      <c r="T26" s="703"/>
      <c r="U26" s="704"/>
      <c r="V26" s="703"/>
      <c r="W26" s="704"/>
      <c r="X26" s="1350"/>
      <c r="Y26" s="3763"/>
      <c r="Z26" s="1351"/>
      <c r="AA26" s="1348">
        <v>1</v>
      </c>
      <c r="AB26" s="1348">
        <v>1</v>
      </c>
      <c r="AC26" s="1956">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770"/>
      <c r="Q27" s="1347" t="str">
        <f t="shared" ref="Q27:Q47" si="11">B27</f>
        <v>楼层</v>
      </c>
      <c r="R27" s="703" t="s">
        <v>14</v>
      </c>
      <c r="S27" s="704">
        <f>F27</f>
        <v>100</v>
      </c>
      <c r="T27" s="703" t="s">
        <v>14</v>
      </c>
      <c r="U27" s="704">
        <f>H27</f>
        <v>100</v>
      </c>
      <c r="V27" s="703" t="s">
        <v>14</v>
      </c>
      <c r="W27" s="704">
        <f>J27</f>
        <v>100</v>
      </c>
      <c r="X27" s="1350"/>
      <c r="Y27" s="3763"/>
      <c r="Z27" s="1351" t="str">
        <f>Q27</f>
        <v>楼层</v>
      </c>
      <c r="AA27" s="1348">
        <f t="shared" si="3"/>
        <v>1</v>
      </c>
      <c r="AB27" s="1348">
        <f t="shared" si="4"/>
        <v>1</v>
      </c>
      <c r="AC27" s="1956">
        <f t="shared" si="5"/>
        <v>1</v>
      </c>
    </row>
    <row r="28" spans="1:29" s="108" customFormat="1" ht="15">
      <c r="A28" s="382"/>
      <c r="B28" s="579" t="s">
        <v>1815</v>
      </c>
      <c r="C28" s="1959"/>
      <c r="D28" s="413">
        <v>100</v>
      </c>
      <c r="E28" s="1950"/>
      <c r="F28" s="413">
        <f>SUMIF(91:91,E28,92:92)-SUMIF(91:91,C28,92:92)+100</f>
        <v>100</v>
      </c>
      <c r="G28" s="1959"/>
      <c r="H28" s="413">
        <f>SUMIF(91:91,G28,92:92)-SUMIF(91:91,C28,92:92)+100</f>
        <v>100</v>
      </c>
      <c r="I28" s="1950"/>
      <c r="J28" s="413">
        <f>SUMIF(91:91,I28,92:92)-SUMIF(91:91,C28,92:92)+100</f>
        <v>100</v>
      </c>
      <c r="K28" s="561"/>
      <c r="L28" s="2710"/>
      <c r="M28" s="2711"/>
      <c r="N28" s="2711"/>
      <c r="O28" s="2711"/>
      <c r="P28" s="3770"/>
      <c r="Q28" s="1338" t="str">
        <f t="shared" si="11"/>
        <v>朝向</v>
      </c>
      <c r="R28" s="699" t="s">
        <v>14</v>
      </c>
      <c r="S28" s="700">
        <f>F28</f>
        <v>100</v>
      </c>
      <c r="T28" s="699" t="s">
        <v>14</v>
      </c>
      <c r="U28" s="700">
        <f>H28</f>
        <v>100</v>
      </c>
      <c r="V28" s="699" t="s">
        <v>14</v>
      </c>
      <c r="W28" s="700">
        <f>J28</f>
        <v>100</v>
      </c>
      <c r="X28" s="701"/>
      <c r="Y28" s="3763"/>
      <c r="Z28" s="52" t="str">
        <f>Q28</f>
        <v>朝向</v>
      </c>
      <c r="AA28" s="1348">
        <f>D28/F28</f>
        <v>1</v>
      </c>
      <c r="AB28" s="1348">
        <f>D28/H28</f>
        <v>1</v>
      </c>
      <c r="AC28" s="1956">
        <f>D28/J28</f>
        <v>1</v>
      </c>
    </row>
    <row r="29" spans="1:29" ht="15">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5"/>
      <c r="M29" s="2709"/>
      <c r="N29" s="2709"/>
      <c r="O29" s="2709"/>
      <c r="P29" s="3770"/>
      <c r="Q29" s="1347">
        <f t="shared" si="11"/>
        <v>111</v>
      </c>
      <c r="R29" s="703" t="s">
        <v>14</v>
      </c>
      <c r="S29" s="704">
        <f t="shared" ref="S29:S47" si="12">F29</f>
        <v>100</v>
      </c>
      <c r="T29" s="703" t="s">
        <v>14</v>
      </c>
      <c r="U29" s="704">
        <f t="shared" ref="U29:U47" si="13">H29</f>
        <v>100</v>
      </c>
      <c r="V29" s="703" t="s">
        <v>14</v>
      </c>
      <c r="W29" s="704">
        <f t="shared" ref="W29:W47" si="14">J29</f>
        <v>100</v>
      </c>
      <c r="X29" s="1350"/>
      <c r="Y29" s="3763"/>
      <c r="Z29" s="1351">
        <f t="shared" ref="Z29:Z47" si="15">Q29</f>
        <v>111</v>
      </c>
      <c r="AA29" s="1348">
        <f t="shared" si="3"/>
        <v>1</v>
      </c>
      <c r="AB29" s="1348">
        <f t="shared" si="4"/>
        <v>1</v>
      </c>
      <c r="AC29" s="1956">
        <f t="shared" si="5"/>
        <v>1</v>
      </c>
    </row>
    <row r="30" spans="1:29" ht="15">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5"/>
      <c r="M30" s="2709"/>
      <c r="N30" s="2709"/>
      <c r="O30" s="2709"/>
      <c r="P30" s="3770"/>
      <c r="Q30" s="1347">
        <f t="shared" si="11"/>
        <v>111</v>
      </c>
      <c r="R30" s="703" t="s">
        <v>14</v>
      </c>
      <c r="S30" s="704">
        <f t="shared" si="12"/>
        <v>100</v>
      </c>
      <c r="T30" s="703" t="s">
        <v>14</v>
      </c>
      <c r="U30" s="704">
        <f t="shared" si="13"/>
        <v>100</v>
      </c>
      <c r="V30" s="703" t="s">
        <v>14</v>
      </c>
      <c r="W30" s="704">
        <f t="shared" si="14"/>
        <v>100</v>
      </c>
      <c r="X30" s="1350"/>
      <c r="Y30" s="3763"/>
      <c r="Z30" s="1351">
        <f t="shared" si="15"/>
        <v>111</v>
      </c>
      <c r="AA30" s="1348">
        <f t="shared" si="3"/>
        <v>1</v>
      </c>
      <c r="AB30" s="1348">
        <f t="shared" si="4"/>
        <v>1</v>
      </c>
      <c r="AC30" s="1956">
        <f t="shared" si="5"/>
        <v>1</v>
      </c>
    </row>
    <row r="31" spans="1:29" ht="15">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5"/>
      <c r="M31" s="2709"/>
      <c r="N31" s="2709"/>
      <c r="O31" s="2709"/>
      <c r="P31" s="3770"/>
      <c r="Q31" s="1347">
        <f t="shared" si="11"/>
        <v>111</v>
      </c>
      <c r="R31" s="703" t="s">
        <v>14</v>
      </c>
      <c r="S31" s="704">
        <f t="shared" si="12"/>
        <v>100</v>
      </c>
      <c r="T31" s="703" t="s">
        <v>14</v>
      </c>
      <c r="U31" s="704">
        <f t="shared" si="13"/>
        <v>100</v>
      </c>
      <c r="V31" s="703" t="s">
        <v>14</v>
      </c>
      <c r="W31" s="704">
        <f t="shared" si="14"/>
        <v>100</v>
      </c>
      <c r="X31" s="1350"/>
      <c r="Y31" s="3763"/>
      <c r="Z31" s="1351">
        <f t="shared" si="15"/>
        <v>111</v>
      </c>
      <c r="AA31" s="1348">
        <f t="shared" si="3"/>
        <v>1</v>
      </c>
      <c r="AB31" s="1348">
        <f t="shared" si="4"/>
        <v>1</v>
      </c>
      <c r="AC31" s="1956">
        <f t="shared" si="5"/>
        <v>1</v>
      </c>
    </row>
    <row r="32" spans="1:29" ht="15.75"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5"/>
      <c r="M32" s="2709"/>
      <c r="N32" s="2709"/>
      <c r="O32" s="2709"/>
      <c r="P32" s="3770"/>
      <c r="Q32" s="1347">
        <f t="shared" si="11"/>
        <v>111</v>
      </c>
      <c r="R32" s="703" t="s">
        <v>14</v>
      </c>
      <c r="S32" s="704">
        <f t="shared" si="12"/>
        <v>100</v>
      </c>
      <c r="T32" s="703" t="s">
        <v>14</v>
      </c>
      <c r="U32" s="704">
        <f t="shared" si="13"/>
        <v>100</v>
      </c>
      <c r="V32" s="703" t="s">
        <v>14</v>
      </c>
      <c r="W32" s="704">
        <f t="shared" si="14"/>
        <v>100</v>
      </c>
      <c r="X32" s="1350"/>
      <c r="Y32" s="3763"/>
      <c r="Z32" s="1351">
        <f t="shared" si="15"/>
        <v>111</v>
      </c>
      <c r="AA32" s="1348">
        <f t="shared" si="3"/>
        <v>1</v>
      </c>
      <c r="AB32" s="1348">
        <f t="shared" si="4"/>
        <v>1</v>
      </c>
      <c r="AC32" s="1956">
        <f t="shared" si="5"/>
        <v>1</v>
      </c>
    </row>
    <row r="33" spans="1:29" ht="15">
      <c r="A33" s="391" t="s">
        <v>1693</v>
      </c>
      <c r="B33" s="63" t="s">
        <v>1816</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61"/>
      <c r="L33" s="2715"/>
      <c r="M33" s="2709"/>
      <c r="N33" s="2709"/>
      <c r="O33" s="2709"/>
      <c r="P33" s="3764" t="s">
        <v>1695</v>
      </c>
      <c r="Q33" s="1347" t="str">
        <f t="shared" si="11"/>
        <v>建筑类型</v>
      </c>
      <c r="R33" s="703" t="s">
        <v>14</v>
      </c>
      <c r="S33" s="704">
        <f t="shared" si="12"/>
        <v>100</v>
      </c>
      <c r="T33" s="703" t="s">
        <v>14</v>
      </c>
      <c r="U33" s="704">
        <f t="shared" si="13"/>
        <v>100</v>
      </c>
      <c r="V33" s="703" t="s">
        <v>14</v>
      </c>
      <c r="W33" s="704">
        <f t="shared" si="14"/>
        <v>100</v>
      </c>
      <c r="X33" s="1350"/>
      <c r="Y33" s="3767"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765"/>
      <c r="Q34" s="705" t="str">
        <f t="shared" si="11"/>
        <v>项目建筑规模</v>
      </c>
      <c r="R34" s="706" t="s">
        <v>14</v>
      </c>
      <c r="S34" s="707" t="e">
        <f t="shared" si="12"/>
        <v>#N/A</v>
      </c>
      <c r="T34" s="706" t="s">
        <v>14</v>
      </c>
      <c r="U34" s="707" t="e">
        <f t="shared" si="13"/>
        <v>#N/A</v>
      </c>
      <c r="V34" s="706" t="s">
        <v>14</v>
      </c>
      <c r="W34" s="707" t="e">
        <f t="shared" si="14"/>
        <v>#N/A</v>
      </c>
      <c r="X34" s="708"/>
      <c r="Y34" s="3767"/>
      <c r="Z34" s="709" t="str">
        <f t="shared" si="15"/>
        <v>项目建筑规模</v>
      </c>
      <c r="AA34" s="1348" t="e">
        <f t="shared" si="3"/>
        <v>#N/A</v>
      </c>
      <c r="AB34" s="1348" t="e">
        <f t="shared" si="4"/>
        <v>#N/A</v>
      </c>
      <c r="AC34" s="1956"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765"/>
      <c r="Q35" s="1347" t="str">
        <f t="shared" si="11"/>
        <v>建筑结构</v>
      </c>
      <c r="R35" s="703" t="s">
        <v>14</v>
      </c>
      <c r="S35" s="704">
        <f t="shared" si="12"/>
        <v>100</v>
      </c>
      <c r="T35" s="703" t="s">
        <v>14</v>
      </c>
      <c r="U35" s="704">
        <f t="shared" si="13"/>
        <v>100</v>
      </c>
      <c r="V35" s="703" t="s">
        <v>14</v>
      </c>
      <c r="W35" s="704">
        <f t="shared" si="14"/>
        <v>100</v>
      </c>
      <c r="X35" s="1350"/>
      <c r="Y35" s="3767"/>
      <c r="Z35" s="1351" t="str">
        <f t="shared" si="15"/>
        <v>建筑结构</v>
      </c>
      <c r="AA35" s="1348">
        <f t="shared" si="3"/>
        <v>1</v>
      </c>
      <c r="AB35" s="1348">
        <f t="shared" si="4"/>
        <v>1</v>
      </c>
      <c r="AC35" s="1956">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765"/>
      <c r="Q36" s="1347" t="str">
        <f t="shared" si="11"/>
        <v>公共部分装修</v>
      </c>
      <c r="R36" s="703" t="s">
        <v>14</v>
      </c>
      <c r="S36" s="704">
        <f t="shared" si="12"/>
        <v>100</v>
      </c>
      <c r="T36" s="703" t="s">
        <v>14</v>
      </c>
      <c r="U36" s="704">
        <f t="shared" si="13"/>
        <v>100</v>
      </c>
      <c r="V36" s="703" t="s">
        <v>14</v>
      </c>
      <c r="W36" s="704">
        <f t="shared" si="14"/>
        <v>100</v>
      </c>
      <c r="X36" s="1350"/>
      <c r="Y36" s="3767"/>
      <c r="Z36" s="1351" t="str">
        <f t="shared" si="15"/>
        <v>公共部分装修</v>
      </c>
      <c r="AA36" s="1348">
        <f t="shared" si="3"/>
        <v>1</v>
      </c>
      <c r="AB36" s="1348">
        <f t="shared" si="4"/>
        <v>1</v>
      </c>
      <c r="AC36" s="1956">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765"/>
      <c r="Q37" s="1347" t="str">
        <f t="shared" si="11"/>
        <v>成新度</v>
      </c>
      <c r="R37" s="703" t="s">
        <v>14</v>
      </c>
      <c r="S37" s="704" t="e">
        <f t="shared" si="12"/>
        <v>#N/A</v>
      </c>
      <c r="T37" s="703" t="s">
        <v>14</v>
      </c>
      <c r="U37" s="704" t="e">
        <f t="shared" si="13"/>
        <v>#N/A</v>
      </c>
      <c r="V37" s="703" t="s">
        <v>14</v>
      </c>
      <c r="W37" s="704" t="e">
        <f t="shared" si="14"/>
        <v>#N/A</v>
      </c>
      <c r="X37" s="1350"/>
      <c r="Y37" s="3767"/>
      <c r="Z37" s="1351" t="str">
        <f t="shared" si="15"/>
        <v>成新度</v>
      </c>
      <c r="AA37" s="1348" t="e">
        <f t="shared" si="3"/>
        <v>#N/A</v>
      </c>
      <c r="AB37" s="1348" t="e">
        <f t="shared" si="4"/>
        <v>#N/A</v>
      </c>
      <c r="AC37" s="1956"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65"/>
      <c r="Q38" s="1338" t="str">
        <f t="shared" si="11"/>
        <v>写字楼等级</v>
      </c>
      <c r="R38" s="699" t="s">
        <v>14</v>
      </c>
      <c r="S38" s="700">
        <f t="shared" si="12"/>
        <v>100</v>
      </c>
      <c r="T38" s="699" t="s">
        <v>14</v>
      </c>
      <c r="U38" s="700">
        <f t="shared" si="13"/>
        <v>100</v>
      </c>
      <c r="V38" s="699" t="s">
        <v>14</v>
      </c>
      <c r="W38" s="700">
        <f t="shared" si="14"/>
        <v>100</v>
      </c>
      <c r="X38" s="701"/>
      <c r="Y38" s="3767"/>
      <c r="Z38" s="52" t="str">
        <f t="shared" si="15"/>
        <v>写字楼等级</v>
      </c>
      <c r="AA38" s="702">
        <f t="shared" si="3"/>
        <v>1</v>
      </c>
      <c r="AB38" s="702">
        <f t="shared" si="4"/>
        <v>1</v>
      </c>
      <c r="AC38" s="1953">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765" t="s">
        <v>1695</v>
      </c>
      <c r="Q39" s="1347" t="str">
        <f t="shared" si="11"/>
        <v>物业管理</v>
      </c>
      <c r="R39" s="703" t="s">
        <v>14</v>
      </c>
      <c r="S39" s="704">
        <f t="shared" si="12"/>
        <v>100</v>
      </c>
      <c r="T39" s="703" t="s">
        <v>14</v>
      </c>
      <c r="U39" s="704">
        <f t="shared" si="13"/>
        <v>100</v>
      </c>
      <c r="V39" s="703" t="s">
        <v>14</v>
      </c>
      <c r="W39" s="704">
        <f t="shared" si="14"/>
        <v>100</v>
      </c>
      <c r="X39" s="1350"/>
      <c r="Y39" s="3767" t="s">
        <v>1695</v>
      </c>
      <c r="Z39" s="1351" t="str">
        <f t="shared" si="15"/>
        <v>物业管理</v>
      </c>
      <c r="AA39" s="1348">
        <f t="shared" si="3"/>
        <v>1</v>
      </c>
      <c r="AB39" s="1348">
        <f t="shared" si="4"/>
        <v>1</v>
      </c>
      <c r="AC39" s="1956">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765"/>
      <c r="Q40" s="1347" t="str">
        <f t="shared" si="11"/>
        <v>市政基础设施</v>
      </c>
      <c r="R40" s="703" t="s">
        <v>14</v>
      </c>
      <c r="S40" s="704">
        <f t="shared" si="12"/>
        <v>100</v>
      </c>
      <c r="T40" s="703" t="s">
        <v>14</v>
      </c>
      <c r="U40" s="704">
        <f t="shared" si="13"/>
        <v>100</v>
      </c>
      <c r="V40" s="703" t="s">
        <v>14</v>
      </c>
      <c r="W40" s="704">
        <f t="shared" si="14"/>
        <v>100</v>
      </c>
      <c r="X40" s="1350"/>
      <c r="Y40" s="3767"/>
      <c r="Z40" s="1351" t="str">
        <f t="shared" si="15"/>
        <v>市政基础设施</v>
      </c>
      <c r="AA40" s="1348">
        <f t="shared" si="3"/>
        <v>1</v>
      </c>
      <c r="AB40" s="1348">
        <f t="shared" si="4"/>
        <v>1</v>
      </c>
      <c r="AC40" s="1956">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65"/>
      <c r="Q41" s="1347" t="str">
        <f t="shared" si="11"/>
        <v>层高</v>
      </c>
      <c r="R41" s="703" t="s">
        <v>14</v>
      </c>
      <c r="S41" s="704">
        <f t="shared" si="12"/>
        <v>100</v>
      </c>
      <c r="T41" s="703" t="s">
        <v>14</v>
      </c>
      <c r="U41" s="704">
        <f t="shared" si="13"/>
        <v>100</v>
      </c>
      <c r="V41" s="703" t="s">
        <v>14</v>
      </c>
      <c r="W41" s="704">
        <f t="shared" si="14"/>
        <v>100</v>
      </c>
      <c r="X41" s="1350"/>
      <c r="Y41" s="3767"/>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65"/>
      <c r="Q42" s="705" t="str">
        <f t="shared" si="11"/>
        <v>单套建筑面积</v>
      </c>
      <c r="R42" s="706" t="s">
        <v>14</v>
      </c>
      <c r="S42" s="707">
        <f t="shared" si="12"/>
        <v>100</v>
      </c>
      <c r="T42" s="706" t="s">
        <v>14</v>
      </c>
      <c r="U42" s="707">
        <f t="shared" si="13"/>
        <v>100</v>
      </c>
      <c r="V42" s="706" t="s">
        <v>14</v>
      </c>
      <c r="W42" s="707">
        <f t="shared" si="14"/>
        <v>100</v>
      </c>
      <c r="X42" s="708"/>
      <c r="Y42" s="3767"/>
      <c r="Z42" s="709"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765"/>
      <c r="Q43" s="1347" t="str">
        <f t="shared" si="11"/>
        <v>内部装修</v>
      </c>
      <c r="R43" s="703" t="s">
        <v>14</v>
      </c>
      <c r="S43" s="704">
        <f t="shared" si="12"/>
        <v>100</v>
      </c>
      <c r="T43" s="703" t="s">
        <v>14</v>
      </c>
      <c r="U43" s="704">
        <f t="shared" si="13"/>
        <v>100</v>
      </c>
      <c r="V43" s="703" t="s">
        <v>14</v>
      </c>
      <c r="W43" s="704">
        <f t="shared" si="14"/>
        <v>100</v>
      </c>
      <c r="X43" s="1350"/>
      <c r="Y43" s="3767"/>
      <c r="Z43" s="1351" t="str">
        <f t="shared" si="15"/>
        <v>内部装修</v>
      </c>
      <c r="AA43" s="1348">
        <f t="shared" si="3"/>
        <v>1</v>
      </c>
      <c r="AB43" s="1348">
        <f t="shared" si="4"/>
        <v>1</v>
      </c>
      <c r="AC43" s="1956">
        <f t="shared" si="5"/>
        <v>1</v>
      </c>
    </row>
    <row r="44" spans="1:29" ht="15">
      <c r="A44" s="423"/>
      <c r="B44" s="375" t="s">
        <v>1706</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15"/>
      <c r="M44" s="2709"/>
      <c r="N44" s="2709"/>
      <c r="O44" s="2709"/>
      <c r="P44" s="3765"/>
      <c r="Q44" s="1347" t="str">
        <f t="shared" si="11"/>
        <v>内部装修维护情况</v>
      </c>
      <c r="R44" s="703" t="s">
        <v>14</v>
      </c>
      <c r="S44" s="704">
        <f t="shared" si="12"/>
        <v>100</v>
      </c>
      <c r="T44" s="703" t="s">
        <v>14</v>
      </c>
      <c r="U44" s="704">
        <f t="shared" si="13"/>
        <v>100</v>
      </c>
      <c r="V44" s="703" t="s">
        <v>14</v>
      </c>
      <c r="W44" s="704">
        <f t="shared" si="14"/>
        <v>100</v>
      </c>
      <c r="X44" s="1350"/>
      <c r="Y44" s="3767"/>
      <c r="Z44" s="1351" t="str">
        <f t="shared" si="15"/>
        <v>内部装修维护情况</v>
      </c>
      <c r="AA44" s="1348">
        <f t="shared" si="3"/>
        <v>1</v>
      </c>
      <c r="AB44" s="1348">
        <f t="shared" si="4"/>
        <v>1</v>
      </c>
      <c r="AC44" s="1956">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65"/>
      <c r="Q45" s="1338">
        <f t="shared" si="11"/>
        <v>111</v>
      </c>
      <c r="R45" s="699" t="s">
        <v>14</v>
      </c>
      <c r="S45" s="700">
        <f t="shared" si="12"/>
        <v>100</v>
      </c>
      <c r="T45" s="699" t="s">
        <v>14</v>
      </c>
      <c r="U45" s="700">
        <f t="shared" si="13"/>
        <v>100</v>
      </c>
      <c r="V45" s="699" t="s">
        <v>14</v>
      </c>
      <c r="W45" s="700">
        <f t="shared" si="14"/>
        <v>100</v>
      </c>
      <c r="X45" s="701"/>
      <c r="Y45" s="3767"/>
      <c r="Z45" s="52">
        <f t="shared" si="15"/>
        <v>111</v>
      </c>
      <c r="AA45" s="702">
        <f t="shared" si="3"/>
        <v>1</v>
      </c>
      <c r="AB45" s="702">
        <f t="shared" si="4"/>
        <v>1</v>
      </c>
      <c r="AC45" s="1953">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65"/>
      <c r="Q46" s="1347">
        <f t="shared" si="11"/>
        <v>111</v>
      </c>
      <c r="R46" s="703" t="s">
        <v>14</v>
      </c>
      <c r="S46" s="704">
        <f t="shared" si="12"/>
        <v>100</v>
      </c>
      <c r="T46" s="703" t="s">
        <v>14</v>
      </c>
      <c r="U46" s="704">
        <f t="shared" si="13"/>
        <v>100</v>
      </c>
      <c r="V46" s="703" t="s">
        <v>14</v>
      </c>
      <c r="W46" s="704">
        <f t="shared" si="14"/>
        <v>100</v>
      </c>
      <c r="X46" s="1350"/>
      <c r="Y46" s="3767"/>
      <c r="Z46" s="1351">
        <f t="shared" si="15"/>
        <v>111</v>
      </c>
      <c r="AA46" s="1348">
        <f t="shared" si="3"/>
        <v>1</v>
      </c>
      <c r="AB46" s="1348">
        <f t="shared" si="4"/>
        <v>1</v>
      </c>
      <c r="AC46" s="1956">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66"/>
      <c r="Q47" s="1347">
        <f t="shared" si="11"/>
        <v>111</v>
      </c>
      <c r="R47" s="703" t="s">
        <v>14</v>
      </c>
      <c r="S47" s="704">
        <f t="shared" si="12"/>
        <v>100</v>
      </c>
      <c r="T47" s="703" t="s">
        <v>14</v>
      </c>
      <c r="U47" s="704">
        <f t="shared" si="13"/>
        <v>100</v>
      </c>
      <c r="V47" s="703" t="s">
        <v>14</v>
      </c>
      <c r="W47" s="704">
        <f t="shared" si="14"/>
        <v>100</v>
      </c>
      <c r="X47" s="1350"/>
      <c r="Y47" s="3768"/>
      <c r="Z47" s="1351">
        <f t="shared" si="15"/>
        <v>111</v>
      </c>
      <c r="AA47" s="1348">
        <f t="shared" si="3"/>
        <v>1</v>
      </c>
      <c r="AB47" s="1348">
        <f t="shared" si="4"/>
        <v>1</v>
      </c>
      <c r="AC47" s="1956">
        <f t="shared" si="5"/>
        <v>1</v>
      </c>
    </row>
    <row r="48" spans="1:29" ht="15">
      <c r="A48" s="430" t="s">
        <v>1707</v>
      </c>
      <c r="B48" s="431"/>
      <c r="C48" s="1149" t="s">
        <v>0</v>
      </c>
      <c r="D48" s="1150"/>
      <c r="E48" s="1151"/>
      <c r="F48" s="1152"/>
      <c r="G48" s="1153"/>
      <c r="H48" s="1154"/>
      <c r="I48" s="1151"/>
      <c r="J48" s="436"/>
      <c r="K48" s="712"/>
      <c r="L48" s="2717"/>
      <c r="M48" s="2709"/>
      <c r="N48" s="2709"/>
      <c r="O48" s="2709"/>
      <c r="P48" s="3742" t="str">
        <f>A48</f>
        <v>成交单价（元/平方米）</v>
      </c>
      <c r="Q48" s="3760"/>
      <c r="R48" s="3761">
        <f>E48</f>
        <v>0</v>
      </c>
      <c r="S48" s="3761"/>
      <c r="T48" s="3761">
        <f>G48</f>
        <v>0</v>
      </c>
      <c r="U48" s="3761"/>
      <c r="V48" s="3761">
        <f>I48</f>
        <v>0</v>
      </c>
      <c r="W48" s="3761"/>
      <c r="X48" s="397"/>
      <c r="Y48" s="710"/>
      <c r="Z48" s="397"/>
      <c r="AA48" s="397"/>
      <c r="AB48" s="397"/>
      <c r="AC48" s="578"/>
    </row>
    <row r="49" spans="1:29" ht="15.75" thickBot="1">
      <c r="A49" s="437" t="s">
        <v>1792</v>
      </c>
      <c r="B49" s="438"/>
      <c r="C49" s="1155" t="e">
        <f>R50</f>
        <v>#DIV/0!</v>
      </c>
      <c r="D49" s="2311" t="s">
        <v>2136</v>
      </c>
      <c r="E49" s="1156" t="e">
        <f>R49</f>
        <v>#DIV/0!</v>
      </c>
      <c r="F49" s="2312"/>
      <c r="G49" s="1155" t="e">
        <f>T49</f>
        <v>#DIV/0!</v>
      </c>
      <c r="H49" s="2312"/>
      <c r="I49" s="1156" t="e">
        <f>V49</f>
        <v>#DIV/0!</v>
      </c>
      <c r="J49" s="2312"/>
      <c r="K49" s="2314">
        <f>F49+H49+J49</f>
        <v>0</v>
      </c>
      <c r="L49" s="2717"/>
      <c r="M49" s="2709"/>
      <c r="N49" s="2709"/>
      <c r="O49" s="2709"/>
      <c r="P49" s="3742" t="str">
        <f>A49</f>
        <v>比较价值（元/平方米）</v>
      </c>
      <c r="Q49" s="3760"/>
      <c r="R49" s="3761" t="e">
        <f>IF(F1="售价",ROUND(PRODUCT(R48,AA7:AA47),0),ROUND(PRODUCT(R48,AA7:AA47),1))</f>
        <v>#DIV/0!</v>
      </c>
      <c r="S49" s="3761"/>
      <c r="T49" s="3761" t="e">
        <f>IF(F1="售价",ROUND(PRODUCT(T48,AB7:AB47),0),ROUND(PRODUCT(T48,AB7:AB47),1))</f>
        <v>#DIV/0!</v>
      </c>
      <c r="U49" s="3761"/>
      <c r="V49" s="3761" t="e">
        <f>IF(F1="售价",ROUND(PRODUCT(V48,AC7:AC47),0),ROUND(PRODUCT(V48,AC7:AC47),1))</f>
        <v>#DIV/0!</v>
      </c>
      <c r="W49" s="3761"/>
      <c r="X49" s="397"/>
      <c r="Y49" s="397"/>
      <c r="Z49" s="397"/>
      <c r="AA49" s="397"/>
      <c r="AB49" s="397"/>
      <c r="AC49" s="578"/>
    </row>
    <row r="50" spans="1:29" ht="15.75" thickBot="1">
      <c r="A50" s="441" t="s">
        <v>1793</v>
      </c>
      <c r="B50" s="442"/>
      <c r="C50" s="1158" t="e">
        <f>R50</f>
        <v>#DIV/0!</v>
      </c>
      <c r="D50" s="1158"/>
      <c r="E50" s="1158"/>
      <c r="F50" s="1158"/>
      <c r="G50" s="1158"/>
      <c r="H50" s="1158"/>
      <c r="I50" s="1158"/>
      <c r="J50" s="443"/>
      <c r="K50" s="713"/>
      <c r="L50" s="2717"/>
      <c r="M50" s="2709"/>
      <c r="N50" s="2709"/>
      <c r="O50" s="2709"/>
      <c r="P50" s="3783" t="str">
        <f>A50</f>
        <v>估价对象XX用房的比较价值（楼面单价，元/平方米）</v>
      </c>
      <c r="Q50" s="3784"/>
      <c r="R50" s="3785" t="e">
        <f>IF(F1="售价",ROUND(IF(D49="简单平均",AVERAGE(R49:V49),R49*F49+T49*H49+V49*J49),0),ROUND(IF(D49="简单平均",AVERAGE(R49:V49),R49*F49+T49*H49+V49*J49),1))</f>
        <v>#DIV/0!</v>
      </c>
      <c r="S50" s="3785"/>
      <c r="T50" s="3785"/>
      <c r="U50" s="3785"/>
      <c r="V50" s="3785"/>
      <c r="W50" s="3785"/>
      <c r="X50" s="1940"/>
      <c r="Y50" s="1940"/>
      <c r="Z50" s="1940"/>
      <c r="AA50" s="1940"/>
      <c r="AB50" s="1940"/>
      <c r="AC50" s="1941"/>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1797</v>
      </c>
      <c r="B58" s="688"/>
      <c r="C58" s="693"/>
      <c r="D58" s="693"/>
      <c r="E58" s="693"/>
      <c r="F58" s="694"/>
      <c r="G58" s="694"/>
      <c r="H58" s="693"/>
      <c r="I58" s="693"/>
      <c r="J58" s="693"/>
      <c r="K58" s="695"/>
      <c r="L58" s="937"/>
      <c r="M58" s="935"/>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79" t="str">
        <f>YEAR(C7)&amp;"-"&amp;MONTH(C7)</f>
        <v>2024-4</v>
      </c>
      <c r="D59" s="1180">
        <f>EDATE(C59,-1)</f>
        <v>45352</v>
      </c>
      <c r="E59" s="1180">
        <f>EDATE(D59,-1)</f>
        <v>45323</v>
      </c>
      <c r="F59" s="1180">
        <f t="shared" ref="F59:O59" si="16">EDATE(E59,-1)</f>
        <v>45292</v>
      </c>
      <c r="G59" s="1180">
        <f t="shared" si="16"/>
        <v>45261</v>
      </c>
      <c r="H59" s="1180">
        <f t="shared" si="16"/>
        <v>45231</v>
      </c>
      <c r="I59" s="1180">
        <f t="shared" si="16"/>
        <v>45200</v>
      </c>
      <c r="J59" s="1180">
        <f t="shared" si="16"/>
        <v>45170</v>
      </c>
      <c r="K59" s="1180">
        <f t="shared" si="16"/>
        <v>45139</v>
      </c>
      <c r="L59" s="1180">
        <f t="shared" si="16"/>
        <v>45108</v>
      </c>
      <c r="M59" s="1180">
        <f t="shared" si="16"/>
        <v>45078</v>
      </c>
      <c r="N59" s="1180">
        <f t="shared" si="16"/>
        <v>45047</v>
      </c>
      <c r="O59" s="1180">
        <f t="shared" si="16"/>
        <v>45017</v>
      </c>
      <c r="P59" s="2752"/>
      <c r="Q59" s="2734"/>
      <c r="R59" s="2734"/>
      <c r="S59" s="2734"/>
      <c r="T59" s="2734"/>
      <c r="U59" s="2734"/>
      <c r="V59" s="2734"/>
      <c r="W59" s="2734"/>
      <c r="X59" s="2734"/>
      <c r="Y59" s="2734"/>
      <c r="Z59" s="2734"/>
      <c r="AA59" s="2734"/>
      <c r="AB59" s="2734"/>
      <c r="AC59" s="2734"/>
    </row>
    <row r="60" spans="1:29" s="108" customFormat="1" ht="15">
      <c r="A60" s="458"/>
      <c r="B60" s="459"/>
      <c r="C60" s="1178">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4"/>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1"/>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2"/>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2"/>
      <c r="M119" s="1963"/>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2"/>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951" t="s">
        <v>1825</v>
      </c>
      <c r="C1" s="1219" t="s">
        <v>1661</v>
      </c>
      <c r="D1" s="1220"/>
      <c r="E1" s="3426"/>
      <c r="F1" s="1873"/>
      <c r="G1" s="1230" t="s">
        <v>1766</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1462</v>
      </c>
      <c r="F2" s="1877"/>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135125.56999999998</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5" t="s">
        <v>1768</v>
      </c>
      <c r="B4" s="356"/>
      <c r="C4" s="3743" t="s">
        <v>1769</v>
      </c>
      <c r="D4" s="3744"/>
      <c r="E4" s="3745" t="s">
        <v>1770</v>
      </c>
      <c r="F4" s="3746"/>
      <c r="G4" s="3743" t="s">
        <v>1771</v>
      </c>
      <c r="H4" s="3744"/>
      <c r="I4" s="3743" t="s">
        <v>1772</v>
      </c>
      <c r="J4" s="3744"/>
      <c r="K4" s="559" t="s">
        <v>1773</v>
      </c>
      <c r="L4" s="908"/>
      <c r="M4" s="909"/>
      <c r="N4" s="909"/>
      <c r="O4" s="9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29" ht="15">
      <c r="A5" s="358"/>
      <c r="B5" s="359"/>
      <c r="C5" s="3736" t="s">
        <v>1672</v>
      </c>
      <c r="D5" s="3737"/>
      <c r="E5" s="3734" t="s">
        <v>1673</v>
      </c>
      <c r="F5" s="3735"/>
      <c r="G5" s="3736" t="s">
        <v>1674</v>
      </c>
      <c r="H5" s="3737"/>
      <c r="I5" s="3736" t="s">
        <v>1675</v>
      </c>
      <c r="J5" s="3737"/>
      <c r="K5" s="559"/>
      <c r="L5" s="908"/>
      <c r="M5" s="909"/>
      <c r="N5" s="909"/>
      <c r="O5" s="909"/>
      <c r="P5" s="3749"/>
      <c r="Q5" s="3750"/>
      <c r="R5" s="3732"/>
      <c r="S5" s="3733"/>
      <c r="T5" s="3732"/>
      <c r="U5" s="3733"/>
      <c r="V5" s="3755"/>
      <c r="W5" s="3755"/>
      <c r="X5" s="1350"/>
      <c r="Y5" s="3732"/>
      <c r="Z5" s="3733"/>
      <c r="AA5" s="3726"/>
      <c r="AB5" s="3726"/>
      <c r="AC5" s="3726"/>
    </row>
    <row r="6" spans="1:29" ht="15.75" thickBot="1">
      <c r="A6" s="360"/>
      <c r="B6" s="361"/>
      <c r="C6" s="3738" t="s">
        <v>1676</v>
      </c>
      <c r="D6" s="3739"/>
      <c r="E6" s="3740" t="s">
        <v>1676</v>
      </c>
      <c r="F6" s="3741"/>
      <c r="G6" s="3738" t="s">
        <v>1676</v>
      </c>
      <c r="H6" s="3739"/>
      <c r="I6" s="3738" t="s">
        <v>1676</v>
      </c>
      <c r="J6" s="3739"/>
      <c r="K6" s="559" t="s">
        <v>1677</v>
      </c>
      <c r="L6" s="908"/>
      <c r="M6" s="909"/>
      <c r="N6" s="909"/>
      <c r="O6" s="9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c r="F7" s="367">
        <f>SUMIF(52:52,YEAR(E7)&amp;"-"&amp;MONTH(E7),53:53)</f>
        <v>0</v>
      </c>
      <c r="G7" s="366"/>
      <c r="H7" s="365">
        <f>SUMIF(52:52,YEAR(G7)&amp;"-"&amp;MONTH(G7),53:53)</f>
        <v>0</v>
      </c>
      <c r="I7" s="366"/>
      <c r="J7" s="365">
        <f>SUMIF(52:52,YEAR(I7)&amp;"-"&amp;MONTH(I7),53:53)</f>
        <v>0</v>
      </c>
      <c r="K7" s="560"/>
      <c r="L7" s="910"/>
      <c r="M7" s="911"/>
      <c r="N7" s="911"/>
      <c r="O7" s="911"/>
      <c r="P7" s="3728" t="s">
        <v>1679</v>
      </c>
      <c r="Q7" s="3756"/>
      <c r="R7" s="699" t="s">
        <v>14</v>
      </c>
      <c r="S7" s="700">
        <f t="shared" ref="S7:S15" si="0">F7</f>
        <v>0</v>
      </c>
      <c r="T7" s="699" t="s">
        <v>14</v>
      </c>
      <c r="U7" s="700">
        <f t="shared" ref="U7:U15" si="1">H7</f>
        <v>0</v>
      </c>
      <c r="V7" s="699" t="s">
        <v>14</v>
      </c>
      <c r="W7" s="700">
        <f t="shared" ref="W7:W15"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28" t="s">
        <v>1682</v>
      </c>
      <c r="Q8" s="3729"/>
      <c r="R8" s="699" t="s">
        <v>14</v>
      </c>
      <c r="S8" s="700">
        <f t="shared" si="0"/>
        <v>100</v>
      </c>
      <c r="T8" s="699" t="s">
        <v>14</v>
      </c>
      <c r="U8" s="700">
        <f t="shared" si="1"/>
        <v>100</v>
      </c>
      <c r="V8" s="699" t="s">
        <v>14</v>
      </c>
      <c r="W8" s="700">
        <f t="shared" si="2"/>
        <v>100</v>
      </c>
      <c r="X8" s="701"/>
      <c r="Y8" s="3728" t="s">
        <v>1682</v>
      </c>
      <c r="Z8" s="3729"/>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60"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29" s="378" customFormat="1" ht="27">
      <c r="A10" s="374"/>
      <c r="B10" s="375" t="s">
        <v>1687</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760"/>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60"/>
      <c r="Q11" s="1338"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8" customFormat="1" ht="15">
      <c r="A12" s="382"/>
      <c r="B12" s="1887">
        <v>111</v>
      </c>
      <c r="C12" s="383"/>
      <c r="D12" s="384">
        <v>100</v>
      </c>
      <c r="E12" s="385"/>
      <c r="F12" s="127">
        <f>SUMIF(64:64,E12,65:65)-SUMIF(64:64,C12,65:65)+100</f>
        <v>100</v>
      </c>
      <c r="G12" s="1964"/>
      <c r="H12" s="127">
        <f>SUMIF(64:64,G12,65:65)-SUMIF(64:64,C12,65:65)+100</f>
        <v>100</v>
      </c>
      <c r="I12" s="420"/>
      <c r="J12" s="127">
        <f>SUMIF(64:64,I12,65:65)-SUMIF(64:64,C12,65:65)+100</f>
        <v>100</v>
      </c>
      <c r="K12" s="562"/>
      <c r="L12" s="910"/>
      <c r="M12" s="911"/>
      <c r="N12" s="911"/>
      <c r="O12" s="912"/>
      <c r="P12" s="3760"/>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9"/>
      <c r="B13" s="1887">
        <v>111</v>
      </c>
      <c r="C13" s="385"/>
      <c r="D13" s="386">
        <v>100</v>
      </c>
      <c r="E13" s="385"/>
      <c r="F13" s="127">
        <f>SUMIF(66:66,E13,67:67)-SUMIF(66:66,C13,67:67)+100</f>
        <v>100</v>
      </c>
      <c r="G13" s="1964"/>
      <c r="H13" s="386">
        <f>SUMIF(66:66,G13,67:67)-SUMIF(66:66,C13,67:67)+100</f>
        <v>100</v>
      </c>
      <c r="I13" s="420"/>
      <c r="J13" s="386">
        <f>SUMIF(66:66,I13,67:67)-SUMIF(66:66,C13,67:67)+100</f>
        <v>100</v>
      </c>
      <c r="K13" s="562"/>
      <c r="L13" s="918"/>
      <c r="M13" s="909"/>
      <c r="N13" s="909"/>
      <c r="O13" s="917"/>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7"/>
      <c r="B14" s="1889">
        <v>111</v>
      </c>
      <c r="C14" s="388"/>
      <c r="D14" s="389">
        <v>100</v>
      </c>
      <c r="E14" s="388"/>
      <c r="F14" s="389">
        <f>SUMIF(68:68,E14,69:69)-SUMIF(68:68,C14,69:69)+100</f>
        <v>100</v>
      </c>
      <c r="G14" s="1964"/>
      <c r="H14" s="389">
        <f>SUMIF(68:68,G14,69:69)-SUMIF(68:68,C14,69:69)+100</f>
        <v>100</v>
      </c>
      <c r="I14" s="420"/>
      <c r="J14" s="389">
        <f>SUMIF(68:68,I14,69:69)-SUMIF(68:68,C14,69:69)+100</f>
        <v>100</v>
      </c>
      <c r="K14" s="562"/>
      <c r="L14" s="918"/>
      <c r="M14" s="909"/>
      <c r="N14" s="909"/>
      <c r="O14" s="917"/>
      <c r="P14" s="3760"/>
      <c r="Q14" s="1338">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1" t="s">
        <v>1689</v>
      </c>
      <c r="B15" s="61" t="s">
        <v>1826</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62" t="s">
        <v>1690</v>
      </c>
      <c r="Q15" s="1347" t="str">
        <f t="shared" si="6"/>
        <v>产业集聚程度</v>
      </c>
      <c r="R15" s="703" t="s">
        <v>14</v>
      </c>
      <c r="S15" s="704">
        <f t="shared" si="0"/>
        <v>100</v>
      </c>
      <c r="T15" s="703" t="s">
        <v>14</v>
      </c>
      <c r="U15" s="704">
        <f t="shared" si="1"/>
        <v>100</v>
      </c>
      <c r="V15" s="703" t="s">
        <v>14</v>
      </c>
      <c r="W15" s="704">
        <f t="shared" si="2"/>
        <v>100</v>
      </c>
      <c r="X15" s="1350"/>
      <c r="Y15" s="3762" t="s">
        <v>1690</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763"/>
      <c r="Q16" s="1347"/>
      <c r="R16" s="703"/>
      <c r="S16" s="704"/>
      <c r="T16" s="703"/>
      <c r="U16" s="704"/>
      <c r="V16" s="703"/>
      <c r="W16" s="704"/>
      <c r="X16" s="1350"/>
      <c r="Y16" s="3763"/>
      <c r="Z16" s="1351"/>
      <c r="AA16" s="1348">
        <v>1</v>
      </c>
      <c r="AB16" s="1348">
        <v>1</v>
      </c>
      <c r="AC16" s="1348">
        <v>1</v>
      </c>
    </row>
    <row r="17" spans="1:29" ht="85.5">
      <c r="A17" s="379"/>
      <c r="B17" s="402" t="s">
        <v>1259</v>
      </c>
      <c r="C17" s="1894"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63"/>
      <c r="Q17" s="1347" t="str">
        <f>B17</f>
        <v>交通便捷度</v>
      </c>
      <c r="R17" s="703" t="s">
        <v>14</v>
      </c>
      <c r="S17" s="704">
        <f>F17</f>
        <v>100</v>
      </c>
      <c r="T17" s="703" t="s">
        <v>14</v>
      </c>
      <c r="U17" s="704">
        <f>H17</f>
        <v>100</v>
      </c>
      <c r="V17" s="703" t="s">
        <v>14</v>
      </c>
      <c r="W17" s="704">
        <f>J17</f>
        <v>100</v>
      </c>
      <c r="X17" s="1350"/>
      <c r="Y17" s="3763"/>
      <c r="Z17" s="1351" t="str">
        <f>Q17</f>
        <v>交通便捷度</v>
      </c>
      <c r="AA17" s="1348">
        <f t="shared" si="3"/>
        <v>1</v>
      </c>
      <c r="AB17" s="1348">
        <f t="shared" si="4"/>
        <v>1</v>
      </c>
      <c r="AC17" s="1348">
        <f t="shared" si="5"/>
        <v>1</v>
      </c>
    </row>
    <row r="18" spans="1:29" ht="15">
      <c r="A18" s="379"/>
      <c r="B18" s="407"/>
      <c r="C18" s="1895"/>
      <c r="D18" s="401"/>
      <c r="E18" s="1897"/>
      <c r="F18" s="404"/>
      <c r="G18" s="1896"/>
      <c r="H18" s="399"/>
      <c r="I18" s="1897"/>
      <c r="J18" s="399"/>
      <c r="K18" s="564"/>
      <c r="L18" s="918"/>
      <c r="M18" s="909"/>
      <c r="N18" s="909"/>
      <c r="O18" s="917"/>
      <c r="P18" s="3763"/>
      <c r="Q18" s="1347"/>
      <c r="R18" s="703"/>
      <c r="S18" s="704"/>
      <c r="T18" s="703"/>
      <c r="U18" s="704"/>
      <c r="V18" s="703"/>
      <c r="W18" s="704"/>
      <c r="X18" s="1350"/>
      <c r="Y18" s="3763"/>
      <c r="Z18" s="1351"/>
      <c r="AA18" s="1348">
        <v>1</v>
      </c>
      <c r="AB18" s="1348">
        <v>1</v>
      </c>
      <c r="AC18" s="1348">
        <v>1</v>
      </c>
    </row>
    <row r="19" spans="1:29" ht="42.75">
      <c r="A19" s="379"/>
      <c r="B19" s="402" t="s">
        <v>1811</v>
      </c>
      <c r="C19" s="1894"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63"/>
      <c r="Q19" s="1347" t="str">
        <f>B19</f>
        <v>公共配套设施</v>
      </c>
      <c r="R19" s="703" t="s">
        <v>14</v>
      </c>
      <c r="S19" s="704">
        <f>F19</f>
        <v>100</v>
      </c>
      <c r="T19" s="703" t="s">
        <v>14</v>
      </c>
      <c r="U19" s="704">
        <f>H19</f>
        <v>100</v>
      </c>
      <c r="V19" s="703" t="s">
        <v>14</v>
      </c>
      <c r="W19" s="704">
        <f>J19</f>
        <v>100</v>
      </c>
      <c r="X19" s="1350"/>
      <c r="Y19" s="3763"/>
      <c r="Z19" s="1351" t="str">
        <f>Q19</f>
        <v>公共配套设施</v>
      </c>
      <c r="AA19" s="1348">
        <f t="shared" si="3"/>
        <v>1</v>
      </c>
      <c r="AB19" s="1348">
        <f t="shared" si="4"/>
        <v>1</v>
      </c>
      <c r="AC19" s="1348">
        <f t="shared" si="5"/>
        <v>1</v>
      </c>
    </row>
    <row r="20" spans="1:29" ht="15">
      <c r="A20" s="379"/>
      <c r="B20" s="407"/>
      <c r="C20" s="398"/>
      <c r="D20" s="399"/>
      <c r="E20" s="1892"/>
      <c r="F20" s="400"/>
      <c r="G20" s="1891"/>
      <c r="H20" s="399"/>
      <c r="I20" s="1892"/>
      <c r="J20" s="399"/>
      <c r="K20" s="564"/>
      <c r="L20" s="918"/>
      <c r="M20" s="909"/>
      <c r="N20" s="909"/>
      <c r="O20" s="917"/>
      <c r="P20" s="3763"/>
      <c r="Q20" s="1347"/>
      <c r="R20" s="703"/>
      <c r="S20" s="704"/>
      <c r="T20" s="703"/>
      <c r="U20" s="704"/>
      <c r="V20" s="703"/>
      <c r="W20" s="704"/>
      <c r="X20" s="1350"/>
      <c r="Y20" s="3763"/>
      <c r="Z20" s="1351"/>
      <c r="AA20" s="1348">
        <v>1</v>
      </c>
      <c r="AB20" s="1348">
        <v>1</v>
      </c>
      <c r="AC20" s="1348">
        <v>1</v>
      </c>
    </row>
    <row r="21" spans="1:29" ht="28.5">
      <c r="A21" s="379"/>
      <c r="B21" s="1126" t="s">
        <v>1812</v>
      </c>
      <c r="C21" s="1894"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63"/>
      <c r="Q21" s="1347" t="str">
        <f>B21</f>
        <v>基础设施水平</v>
      </c>
      <c r="R21" s="703" t="s">
        <v>14</v>
      </c>
      <c r="S21" s="704">
        <f>F21</f>
        <v>100</v>
      </c>
      <c r="T21" s="703" t="s">
        <v>14</v>
      </c>
      <c r="U21" s="704">
        <f>H21</f>
        <v>100</v>
      </c>
      <c r="V21" s="703" t="s">
        <v>14</v>
      </c>
      <c r="W21" s="704">
        <f>J21</f>
        <v>100</v>
      </c>
      <c r="X21" s="1350"/>
      <c r="Y21" s="3763"/>
      <c r="Z21" s="1351" t="str">
        <f>Q21</f>
        <v>基础设施水平</v>
      </c>
      <c r="AA21" s="1348">
        <f t="shared" ref="AA21" si="8">D21/F21</f>
        <v>1</v>
      </c>
      <c r="AB21" s="1348">
        <f t="shared" ref="AB21" si="9">D21/H21</f>
        <v>1</v>
      </c>
      <c r="AC21" s="1348">
        <f t="shared" ref="AC21" si="10">D21/J21</f>
        <v>1</v>
      </c>
    </row>
    <row r="22" spans="1:29" ht="15">
      <c r="A22" s="379"/>
      <c r="B22" s="1126"/>
      <c r="C22" s="1895"/>
      <c r="D22" s="399"/>
      <c r="E22" s="398"/>
      <c r="F22" s="400"/>
      <c r="G22" s="398"/>
      <c r="H22" s="399"/>
      <c r="I22" s="398"/>
      <c r="J22" s="399"/>
      <c r="K22" s="1125"/>
      <c r="L22" s="918"/>
      <c r="M22" s="909"/>
      <c r="N22" s="909"/>
      <c r="O22" s="917"/>
      <c r="P22" s="3763"/>
      <c r="Q22" s="1347"/>
      <c r="R22" s="703"/>
      <c r="S22" s="704"/>
      <c r="T22" s="703"/>
      <c r="U22" s="704"/>
      <c r="V22" s="703"/>
      <c r="W22" s="704"/>
      <c r="X22" s="1350"/>
      <c r="Y22" s="3763"/>
      <c r="Z22" s="1351"/>
      <c r="AA22" s="1348">
        <v>1</v>
      </c>
      <c r="AB22" s="1348">
        <v>1</v>
      </c>
      <c r="AC22" s="1348">
        <v>1</v>
      </c>
    </row>
    <row r="23" spans="1:29" ht="71.25">
      <c r="A23" s="379"/>
      <c r="B23" s="402" t="s">
        <v>1813</v>
      </c>
      <c r="C23" s="1894"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63"/>
      <c r="Q23" s="1347" t="str">
        <f>B23</f>
        <v>环境质量</v>
      </c>
      <c r="R23" s="703" t="s">
        <v>14</v>
      </c>
      <c r="S23" s="704">
        <f>F23</f>
        <v>100</v>
      </c>
      <c r="T23" s="703" t="s">
        <v>14</v>
      </c>
      <c r="U23" s="704">
        <f>H23</f>
        <v>100</v>
      </c>
      <c r="V23" s="703" t="s">
        <v>14</v>
      </c>
      <c r="W23" s="704">
        <f>J23</f>
        <v>100</v>
      </c>
      <c r="X23" s="1350"/>
      <c r="Y23" s="3763"/>
      <c r="Z23" s="1351" t="str">
        <f>Q23</f>
        <v>环境质量</v>
      </c>
      <c r="AA23" s="1348">
        <f t="shared" si="3"/>
        <v>1</v>
      </c>
      <c r="AB23" s="1348">
        <f t="shared" si="4"/>
        <v>1</v>
      </c>
      <c r="AC23" s="1348">
        <f t="shared" si="5"/>
        <v>1</v>
      </c>
    </row>
    <row r="24" spans="1:29" ht="15">
      <c r="A24" s="379"/>
      <c r="B24" s="1126"/>
      <c r="C24" s="398"/>
      <c r="D24" s="399"/>
      <c r="E24" s="1892"/>
      <c r="F24" s="400"/>
      <c r="G24" s="1891"/>
      <c r="H24" s="399"/>
      <c r="I24" s="1892"/>
      <c r="J24" s="399"/>
      <c r="K24" s="564"/>
      <c r="L24" s="918"/>
      <c r="M24" s="909"/>
      <c r="N24" s="909"/>
      <c r="O24" s="917"/>
      <c r="P24" s="3763"/>
      <c r="Q24" s="1347"/>
      <c r="R24" s="703"/>
      <c r="S24" s="704"/>
      <c r="T24" s="703"/>
      <c r="U24" s="704"/>
      <c r="V24" s="703"/>
      <c r="W24" s="704"/>
      <c r="X24" s="1350"/>
      <c r="Y24" s="3763"/>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63"/>
      <c r="Q25" s="1347">
        <f>B25</f>
        <v>111</v>
      </c>
      <c r="R25" s="703" t="s">
        <v>14</v>
      </c>
      <c r="S25" s="704">
        <f>F25</f>
        <v>100</v>
      </c>
      <c r="T25" s="703" t="s">
        <v>14</v>
      </c>
      <c r="U25" s="704">
        <f>H25</f>
        <v>100</v>
      </c>
      <c r="V25" s="703" t="s">
        <v>14</v>
      </c>
      <c r="W25" s="704">
        <f>J25</f>
        <v>100</v>
      </c>
      <c r="X25" s="1350"/>
      <c r="Y25" s="3763"/>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63"/>
      <c r="Q26" s="1347">
        <f t="shared" ref="Q26:Q40" si="11">B26</f>
        <v>111</v>
      </c>
      <c r="R26" s="703" t="s">
        <v>14</v>
      </c>
      <c r="S26" s="704">
        <f>F26</f>
        <v>100</v>
      </c>
      <c r="T26" s="703" t="s">
        <v>14</v>
      </c>
      <c r="U26" s="704">
        <f>H26</f>
        <v>100</v>
      </c>
      <c r="V26" s="703" t="s">
        <v>14</v>
      </c>
      <c r="W26" s="704">
        <f>J26</f>
        <v>100</v>
      </c>
      <c r="X26" s="1350"/>
      <c r="Y26" s="3763"/>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63"/>
      <c r="Q27" s="1338">
        <f t="shared" si="11"/>
        <v>111</v>
      </c>
      <c r="R27" s="699" t="s">
        <v>14</v>
      </c>
      <c r="S27" s="700">
        <f>F27</f>
        <v>100</v>
      </c>
      <c r="T27" s="699" t="s">
        <v>14</v>
      </c>
      <c r="U27" s="700">
        <f>H27</f>
        <v>100</v>
      </c>
      <c r="V27" s="699" t="s">
        <v>14</v>
      </c>
      <c r="W27" s="700">
        <f>J27</f>
        <v>100</v>
      </c>
      <c r="X27" s="701"/>
      <c r="Y27" s="3763"/>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63"/>
      <c r="Q28" s="1347">
        <f t="shared" si="11"/>
        <v>111</v>
      </c>
      <c r="R28" s="703" t="s">
        <v>14</v>
      </c>
      <c r="S28" s="704">
        <f t="shared" ref="S28:S40" si="12">F28</f>
        <v>100</v>
      </c>
      <c r="T28" s="703" t="s">
        <v>14</v>
      </c>
      <c r="U28" s="704">
        <f t="shared" ref="U28:U40" si="13">H28</f>
        <v>100</v>
      </c>
      <c r="V28" s="703" t="s">
        <v>14</v>
      </c>
      <c r="W28" s="704">
        <f t="shared" ref="W28:W40" si="14">J28</f>
        <v>100</v>
      </c>
      <c r="X28" s="1350"/>
      <c r="Y28" s="3763"/>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61"/>
      <c r="L29" s="918"/>
      <c r="M29" s="909"/>
      <c r="N29" s="909"/>
      <c r="O29" s="917"/>
      <c r="P29" s="3786" t="s">
        <v>1695</v>
      </c>
      <c r="Q29" s="1347" t="str">
        <f t="shared" si="11"/>
        <v>建筑类型</v>
      </c>
      <c r="R29" s="703" t="s">
        <v>14</v>
      </c>
      <c r="S29" s="704">
        <f t="shared" si="12"/>
        <v>100</v>
      </c>
      <c r="T29" s="703" t="s">
        <v>14</v>
      </c>
      <c r="U29" s="704">
        <f t="shared" si="13"/>
        <v>100</v>
      </c>
      <c r="V29" s="703" t="s">
        <v>14</v>
      </c>
      <c r="W29" s="704">
        <f t="shared" si="14"/>
        <v>100</v>
      </c>
      <c r="X29" s="1350"/>
      <c r="Y29" s="3767"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67"/>
      <c r="Q30" s="705" t="str">
        <f t="shared" si="11"/>
        <v>项目建筑规模</v>
      </c>
      <c r="R30" s="706" t="s">
        <v>14</v>
      </c>
      <c r="S30" s="707" t="e">
        <f t="shared" si="12"/>
        <v>#N/A</v>
      </c>
      <c r="T30" s="706" t="s">
        <v>14</v>
      </c>
      <c r="U30" s="707" t="e">
        <f t="shared" si="13"/>
        <v>#N/A</v>
      </c>
      <c r="V30" s="706" t="s">
        <v>14</v>
      </c>
      <c r="W30" s="707" t="e">
        <f t="shared" si="14"/>
        <v>#N/A</v>
      </c>
      <c r="X30" s="708"/>
      <c r="Y30" s="3767"/>
      <c r="Z30" s="709" t="str">
        <f t="shared" si="15"/>
        <v>项目建筑规模</v>
      </c>
      <c r="AA30" s="1348" t="e">
        <f t="shared" si="3"/>
        <v>#N/A</v>
      </c>
      <c r="AB30" s="1348" t="e">
        <f t="shared" si="4"/>
        <v>#N/A</v>
      </c>
      <c r="AC30" s="1348"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67"/>
      <c r="Q31" s="1347" t="str">
        <f t="shared" si="11"/>
        <v>建筑结构</v>
      </c>
      <c r="R31" s="703" t="s">
        <v>14</v>
      </c>
      <c r="S31" s="704">
        <f t="shared" si="12"/>
        <v>100</v>
      </c>
      <c r="T31" s="703" t="s">
        <v>14</v>
      </c>
      <c r="U31" s="704">
        <f t="shared" si="13"/>
        <v>100</v>
      </c>
      <c r="V31" s="703" t="s">
        <v>14</v>
      </c>
      <c r="W31" s="704">
        <f t="shared" si="14"/>
        <v>100</v>
      </c>
      <c r="X31" s="1350"/>
      <c r="Y31" s="3767"/>
      <c r="Z31" s="1351" t="str">
        <f t="shared" si="15"/>
        <v>建筑结构</v>
      </c>
      <c r="AA31" s="1348">
        <f t="shared" si="3"/>
        <v>1</v>
      </c>
      <c r="AB31" s="1348">
        <f t="shared" si="4"/>
        <v>1</v>
      </c>
      <c r="AC31" s="1348">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67"/>
      <c r="Q32" s="1347" t="str">
        <f t="shared" si="11"/>
        <v>公共部分装修</v>
      </c>
      <c r="R32" s="703" t="s">
        <v>14</v>
      </c>
      <c r="S32" s="704">
        <f t="shared" si="12"/>
        <v>100</v>
      </c>
      <c r="T32" s="703" t="s">
        <v>14</v>
      </c>
      <c r="U32" s="704">
        <f t="shared" si="13"/>
        <v>100</v>
      </c>
      <c r="V32" s="703" t="s">
        <v>14</v>
      </c>
      <c r="W32" s="704">
        <f t="shared" si="14"/>
        <v>100</v>
      </c>
      <c r="X32" s="1350"/>
      <c r="Y32" s="3767"/>
      <c r="Z32" s="1351" t="str">
        <f t="shared" si="15"/>
        <v>公共部分装修</v>
      </c>
      <c r="AA32" s="1348">
        <f t="shared" si="3"/>
        <v>1</v>
      </c>
      <c r="AB32" s="1348">
        <f t="shared" si="4"/>
        <v>1</v>
      </c>
      <c r="AC32" s="1348">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67"/>
      <c r="Q33" s="1347" t="str">
        <f t="shared" si="11"/>
        <v>成新度</v>
      </c>
      <c r="R33" s="703" t="s">
        <v>14</v>
      </c>
      <c r="S33" s="704" t="e">
        <f t="shared" si="12"/>
        <v>#N/A</v>
      </c>
      <c r="T33" s="703" t="s">
        <v>14</v>
      </c>
      <c r="U33" s="704" t="e">
        <f t="shared" si="13"/>
        <v>#N/A</v>
      </c>
      <c r="V33" s="703" t="s">
        <v>14</v>
      </c>
      <c r="W33" s="704" t="e">
        <f t="shared" si="14"/>
        <v>#N/A</v>
      </c>
      <c r="X33" s="1350"/>
      <c r="Y33" s="3767"/>
      <c r="Z33" s="1351" t="str">
        <f t="shared" si="15"/>
        <v>成新度</v>
      </c>
      <c r="AA33" s="1348" t="e">
        <f t="shared" si="3"/>
        <v>#N/A</v>
      </c>
      <c r="AB33" s="1348" t="e">
        <f t="shared" si="4"/>
        <v>#N/A</v>
      </c>
      <c r="AC33" s="1348"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67"/>
      <c r="Q34" s="1338" t="str">
        <f t="shared" si="11"/>
        <v>物业管理</v>
      </c>
      <c r="R34" s="699" t="s">
        <v>14</v>
      </c>
      <c r="S34" s="700">
        <f t="shared" si="12"/>
        <v>100</v>
      </c>
      <c r="T34" s="699" t="s">
        <v>14</v>
      </c>
      <c r="U34" s="700">
        <f t="shared" si="13"/>
        <v>100</v>
      </c>
      <c r="V34" s="699" t="s">
        <v>14</v>
      </c>
      <c r="W34" s="700">
        <f t="shared" si="14"/>
        <v>100</v>
      </c>
      <c r="X34" s="701"/>
      <c r="Y34" s="3767"/>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67" t="s">
        <v>1695</v>
      </c>
      <c r="Q35" s="1347" t="str">
        <f t="shared" si="11"/>
        <v>市政基础设施</v>
      </c>
      <c r="R35" s="703" t="s">
        <v>14</v>
      </c>
      <c r="S35" s="704">
        <f t="shared" si="12"/>
        <v>100</v>
      </c>
      <c r="T35" s="703" t="s">
        <v>14</v>
      </c>
      <c r="U35" s="704">
        <f t="shared" si="13"/>
        <v>100</v>
      </c>
      <c r="V35" s="703" t="s">
        <v>14</v>
      </c>
      <c r="W35" s="704">
        <f t="shared" si="14"/>
        <v>100</v>
      </c>
      <c r="X35" s="1350"/>
      <c r="Y35" s="3767"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67"/>
      <c r="Q36" s="1347" t="str">
        <f t="shared" si="11"/>
        <v>内部装修</v>
      </c>
      <c r="R36" s="703" t="s">
        <v>14</v>
      </c>
      <c r="S36" s="704">
        <f t="shared" si="12"/>
        <v>100</v>
      </c>
      <c r="T36" s="703" t="s">
        <v>14</v>
      </c>
      <c r="U36" s="704">
        <f t="shared" si="13"/>
        <v>100</v>
      </c>
      <c r="V36" s="703" t="s">
        <v>14</v>
      </c>
      <c r="W36" s="704">
        <f t="shared" si="14"/>
        <v>100</v>
      </c>
      <c r="X36" s="1350"/>
      <c r="Y36" s="3767"/>
      <c r="Z36" s="1351" t="str">
        <f t="shared" si="15"/>
        <v>内部装修</v>
      </c>
      <c r="AA36" s="1348">
        <f t="shared" si="3"/>
        <v>1</v>
      </c>
      <c r="AB36" s="1348">
        <f t="shared" si="4"/>
        <v>1</v>
      </c>
      <c r="AC36" s="1348">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67"/>
      <c r="Q37" s="1347" t="str">
        <f t="shared" si="11"/>
        <v>内部装修状况</v>
      </c>
      <c r="R37" s="703" t="s">
        <v>14</v>
      </c>
      <c r="S37" s="704">
        <f t="shared" si="12"/>
        <v>100</v>
      </c>
      <c r="T37" s="703" t="s">
        <v>14</v>
      </c>
      <c r="U37" s="704">
        <f t="shared" si="13"/>
        <v>100</v>
      </c>
      <c r="V37" s="703" t="s">
        <v>14</v>
      </c>
      <c r="W37" s="704">
        <f t="shared" si="14"/>
        <v>100</v>
      </c>
      <c r="X37" s="1350"/>
      <c r="Y37" s="3767"/>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67"/>
      <c r="Q38" s="705">
        <f t="shared" si="11"/>
        <v>111</v>
      </c>
      <c r="R38" s="706" t="s">
        <v>14</v>
      </c>
      <c r="S38" s="707">
        <f t="shared" si="12"/>
        <v>100</v>
      </c>
      <c r="T38" s="706" t="s">
        <v>14</v>
      </c>
      <c r="U38" s="707">
        <f t="shared" si="13"/>
        <v>100</v>
      </c>
      <c r="V38" s="706" t="s">
        <v>14</v>
      </c>
      <c r="W38" s="707">
        <f t="shared" si="14"/>
        <v>100</v>
      </c>
      <c r="X38" s="708"/>
      <c r="Y38" s="3767"/>
      <c r="Z38" s="709">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67"/>
      <c r="Q39" s="1347">
        <f t="shared" si="11"/>
        <v>111</v>
      </c>
      <c r="R39" s="703" t="s">
        <v>14</v>
      </c>
      <c r="S39" s="704">
        <f t="shared" si="12"/>
        <v>100</v>
      </c>
      <c r="T39" s="703" t="s">
        <v>14</v>
      </c>
      <c r="U39" s="704">
        <f t="shared" si="13"/>
        <v>100</v>
      </c>
      <c r="V39" s="703" t="s">
        <v>14</v>
      </c>
      <c r="W39" s="704">
        <f t="shared" si="14"/>
        <v>100</v>
      </c>
      <c r="X39" s="1350"/>
      <c r="Y39" s="3767"/>
      <c r="Z39" s="1351">
        <f t="shared" si="15"/>
        <v>111</v>
      </c>
      <c r="AA39" s="1348">
        <f t="shared" si="3"/>
        <v>1</v>
      </c>
      <c r="AB39" s="1348">
        <f t="shared" si="4"/>
        <v>1</v>
      </c>
      <c r="AC39" s="1348">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768"/>
      <c r="Q40" s="1347">
        <f t="shared" si="11"/>
        <v>111</v>
      </c>
      <c r="R40" s="703" t="s">
        <v>14</v>
      </c>
      <c r="S40" s="704">
        <f t="shared" si="12"/>
        <v>100</v>
      </c>
      <c r="T40" s="703" t="s">
        <v>14</v>
      </c>
      <c r="U40" s="704">
        <f t="shared" si="13"/>
        <v>100</v>
      </c>
      <c r="V40" s="703" t="s">
        <v>14</v>
      </c>
      <c r="W40" s="704">
        <f t="shared" si="14"/>
        <v>100</v>
      </c>
      <c r="X40" s="1350"/>
      <c r="Y40" s="3768"/>
      <c r="Z40" s="1351">
        <f t="shared" si="15"/>
        <v>111</v>
      </c>
      <c r="AA40" s="1348">
        <f t="shared" si="3"/>
        <v>1</v>
      </c>
      <c r="AB40" s="1348">
        <f t="shared" si="4"/>
        <v>1</v>
      </c>
      <c r="AC40" s="1348">
        <f t="shared" si="5"/>
        <v>1</v>
      </c>
    </row>
    <row r="41" spans="1:29" ht="15">
      <c r="A41" s="430" t="s">
        <v>1707</v>
      </c>
      <c r="B41" s="431"/>
      <c r="C41" s="1149" t="s">
        <v>0</v>
      </c>
      <c r="D41" s="1150"/>
      <c r="E41" s="1151"/>
      <c r="F41" s="1152"/>
      <c r="G41" s="1153"/>
      <c r="H41" s="1154"/>
      <c r="I41" s="1151"/>
      <c r="J41" s="1154"/>
      <c r="K41" s="712"/>
      <c r="L41" s="921"/>
      <c r="M41" s="922"/>
      <c r="N41" s="909"/>
      <c r="O41" s="922"/>
      <c r="P41" s="3760" t="str">
        <f>A41</f>
        <v>成交单价（元/平方米）</v>
      </c>
      <c r="Q41" s="3760"/>
      <c r="R41" s="3761">
        <f>E41</f>
        <v>0</v>
      </c>
      <c r="S41" s="3761"/>
      <c r="T41" s="3761">
        <f>G41</f>
        <v>0</v>
      </c>
      <c r="U41" s="3761"/>
      <c r="V41" s="3761">
        <f>I41</f>
        <v>0</v>
      </c>
      <c r="W41" s="3761"/>
      <c r="X41" s="688"/>
      <c r="Y41" s="710"/>
      <c r="Z41" s="688"/>
      <c r="AA41" s="688"/>
      <c r="AB41" s="688"/>
      <c r="AC41" s="688"/>
    </row>
    <row r="42" spans="1:29" ht="15.75" thickBot="1">
      <c r="A42" s="437" t="s">
        <v>1792</v>
      </c>
      <c r="B42" s="438"/>
      <c r="C42" s="1155" t="e">
        <f>R43</f>
        <v>#DIV/0!</v>
      </c>
      <c r="D42" s="2311" t="s">
        <v>2136</v>
      </c>
      <c r="E42" s="1156" t="e">
        <f>R42</f>
        <v>#DIV/0!</v>
      </c>
      <c r="F42" s="2312"/>
      <c r="G42" s="1155" t="e">
        <f>T42</f>
        <v>#DIV/0!</v>
      </c>
      <c r="H42" s="2312"/>
      <c r="I42" s="1156" t="e">
        <f>V42</f>
        <v>#DIV/0!</v>
      </c>
      <c r="J42" s="2312"/>
      <c r="K42" s="2314">
        <f>F42+H42+J42</f>
        <v>0</v>
      </c>
      <c r="L42" s="921"/>
      <c r="M42" s="922"/>
      <c r="N42" s="909"/>
      <c r="O42" s="922"/>
      <c r="P42" s="3760" t="str">
        <f>A42</f>
        <v>比较价值（元/平方米）</v>
      </c>
      <c r="Q42" s="3760"/>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688"/>
      <c r="Y42" s="688"/>
      <c r="Z42" s="688"/>
      <c r="AA42" s="688"/>
      <c r="AB42" s="688"/>
      <c r="AC42" s="688"/>
    </row>
    <row r="43" spans="1:29" ht="15.75" thickBot="1">
      <c r="A43" s="441" t="s">
        <v>1793</v>
      </c>
      <c r="B43" s="442"/>
      <c r="C43" s="1158" t="e">
        <f>R43</f>
        <v>#DIV/0!</v>
      </c>
      <c r="D43" s="1158"/>
      <c r="E43" s="1158"/>
      <c r="F43" s="1158"/>
      <c r="G43" s="1158"/>
      <c r="H43" s="1158"/>
      <c r="I43" s="1158"/>
      <c r="J43" s="1158"/>
      <c r="K43" s="713"/>
      <c r="L43" s="921"/>
      <c r="M43" s="922"/>
      <c r="N43" s="922"/>
      <c r="O43" s="922"/>
      <c r="P43" s="3757" t="str">
        <f>A43</f>
        <v>估价对象XX用房的比较价值（楼面单价，元/平方米）</v>
      </c>
      <c r="Q43" s="3758"/>
      <c r="R43" s="3759" t="e">
        <f>IF(F1="售价",ROUND(IF(D42="简单平均",AVERAGE(R42:V42),R42*F42+T42*H42+V42*J42),0),ROUND(IF(D42="简单平均",AVERAGE(R42:V42),R42*F42+T42*H42+V42*J42),1))</f>
        <v>#DIV/0!</v>
      </c>
      <c r="S43" s="3759"/>
      <c r="T43" s="3759"/>
      <c r="U43" s="3759"/>
      <c r="V43" s="3759"/>
      <c r="W43" s="3759"/>
      <c r="X43" s="688"/>
      <c r="Y43" s="688"/>
      <c r="Z43" s="688"/>
      <c r="AA43" s="688"/>
      <c r="AB43" s="688"/>
      <c r="AC43" s="688"/>
    </row>
    <row r="44" spans="1:29">
      <c r="A44" s="2718"/>
      <c r="B44" s="2718"/>
      <c r="C44" s="2718"/>
      <c r="D44" s="2718"/>
      <c r="E44" s="2718"/>
      <c r="F44" s="2718"/>
      <c r="G44" s="2722"/>
      <c r="H44" s="2718"/>
      <c r="I44" s="2718"/>
      <c r="J44" s="2718"/>
      <c r="K44" s="2723"/>
      <c r="L44" s="884"/>
      <c r="M44" s="922"/>
      <c r="N44" s="922"/>
      <c r="O44" s="922"/>
    </row>
    <row r="45" spans="1:29">
      <c r="A45" s="2718"/>
      <c r="B45" s="2718"/>
      <c r="C45" s="2718"/>
      <c r="D45" s="2718"/>
      <c r="E45" s="2718"/>
      <c r="F45" s="2718"/>
      <c r="G45" s="2718"/>
      <c r="H45" s="2718"/>
      <c r="I45" s="2718"/>
      <c r="J45" s="2718"/>
      <c r="K45" s="2723"/>
      <c r="L45" s="884"/>
      <c r="M45" s="922"/>
      <c r="N45" s="922"/>
      <c r="O45" s="922"/>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4"/>
      <c r="M46" s="922"/>
      <c r="N46" s="922"/>
      <c r="O46" s="922"/>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4"/>
      <c r="M47" s="922"/>
      <c r="N47" s="922"/>
      <c r="O47" s="922"/>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5"/>
      <c r="M48" s="923"/>
      <c r="N48" s="923"/>
      <c r="O48" s="923"/>
    </row>
    <row r="49" spans="1:17" s="451" customFormat="1">
      <c r="A49" s="2721"/>
      <c r="B49" s="2724"/>
      <c r="C49" s="2725"/>
      <c r="D49" s="2721"/>
      <c r="E49" s="2721"/>
      <c r="F49" s="2721"/>
      <c r="G49" s="2721"/>
      <c r="H49" s="2721"/>
      <c r="I49" s="2721"/>
      <c r="J49" s="2721"/>
      <c r="K49" s="2726"/>
      <c r="L49" s="925"/>
      <c r="M49" s="923"/>
      <c r="N49" s="923"/>
      <c r="O49" s="923"/>
    </row>
    <row r="50" spans="1:17">
      <c r="A50" s="2718"/>
      <c r="B50" s="2724"/>
      <c r="C50" s="2725"/>
      <c r="D50" s="2718"/>
      <c r="E50" s="2718"/>
      <c r="F50" s="2718"/>
      <c r="G50" s="2718"/>
      <c r="H50" s="2718"/>
      <c r="I50" s="2718"/>
      <c r="J50" s="2718"/>
      <c r="K50" s="2723"/>
      <c r="L50" s="884"/>
      <c r="M50" s="922"/>
      <c r="N50" s="922"/>
      <c r="O50" s="922"/>
    </row>
    <row r="51" spans="1:17" ht="21.75" thickBot="1">
      <c r="A51" s="692" t="s">
        <v>1797</v>
      </c>
      <c r="B51" s="688"/>
      <c r="C51" s="693"/>
      <c r="D51" s="693"/>
      <c r="E51" s="693"/>
      <c r="F51" s="694"/>
      <c r="G51" s="694"/>
      <c r="H51" s="693"/>
      <c r="I51" s="693"/>
      <c r="J51" s="693"/>
      <c r="K51" s="936"/>
      <c r="L51" s="937"/>
      <c r="M51" s="935"/>
      <c r="N51" s="935"/>
      <c r="O51" s="935"/>
      <c r="P51" s="452"/>
      <c r="Q51" s="453"/>
    </row>
    <row r="52" spans="1:17" s="457" customFormat="1" ht="15">
      <c r="A52" s="454" t="s">
        <v>1678</v>
      </c>
      <c r="B52" s="455"/>
      <c r="C52" s="1179" t="str">
        <f>YEAR(C7)&amp;"-"&amp;MONTH(C7)</f>
        <v>2024-4</v>
      </c>
      <c r="D52" s="1180">
        <f>EDATE(C52,-1)</f>
        <v>45352</v>
      </c>
      <c r="E52" s="1180">
        <f t="shared" ref="E52:O52" si="16">EDATE(D52,-1)</f>
        <v>45323</v>
      </c>
      <c r="F52" s="1180">
        <f t="shared" si="16"/>
        <v>45292</v>
      </c>
      <c r="G52" s="1180">
        <f t="shared" si="16"/>
        <v>45261</v>
      </c>
      <c r="H52" s="1180">
        <f t="shared" si="16"/>
        <v>45231</v>
      </c>
      <c r="I52" s="1180">
        <f t="shared" si="16"/>
        <v>45200</v>
      </c>
      <c r="J52" s="1180">
        <f t="shared" si="16"/>
        <v>45170</v>
      </c>
      <c r="K52" s="1180">
        <f t="shared" si="16"/>
        <v>45139</v>
      </c>
      <c r="L52" s="1180">
        <f t="shared" si="16"/>
        <v>45108</v>
      </c>
      <c r="M52" s="1180">
        <f t="shared" si="16"/>
        <v>45078</v>
      </c>
      <c r="N52" s="1180">
        <f t="shared" si="16"/>
        <v>45047</v>
      </c>
      <c r="O52" s="1180">
        <f t="shared" si="16"/>
        <v>45017</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1718</v>
      </c>
      <c r="B57" s="477" t="s">
        <v>1684</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1687</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2"/>
      <c r="B87" s="518"/>
      <c r="C87" s="519"/>
      <c r="D87" s="519"/>
      <c r="E87" s="519"/>
      <c r="F87" s="519"/>
      <c r="G87" s="540"/>
      <c r="H87" s="540"/>
      <c r="I87" s="540"/>
      <c r="J87" s="540"/>
      <c r="K87" s="540"/>
      <c r="L87" s="540"/>
      <c r="M87" s="541"/>
      <c r="N87" s="929"/>
      <c r="O87" s="929"/>
      <c r="P87" s="42"/>
      <c r="Q87" s="453"/>
    </row>
    <row r="88" spans="1:17">
      <c r="A88" s="476" t="s">
        <v>1693</v>
      </c>
      <c r="B88" s="477" t="s">
        <v>1735</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1737</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1739</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1740</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1741</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1743</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2"/>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1830</v>
      </c>
      <c r="B1" s="1218" t="s">
        <v>3334</v>
      </c>
      <c r="C1" s="1219" t="s">
        <v>1661</v>
      </c>
      <c r="D1" s="1220"/>
      <c r="E1" s="3426"/>
      <c r="F1" s="1873"/>
      <c r="G1" s="1222" t="s">
        <v>1766</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1462</v>
      </c>
      <c r="F2" s="1877"/>
      <c r="G2" s="903"/>
      <c r="H2" s="903"/>
      <c r="I2" s="903"/>
      <c r="J2" s="903"/>
      <c r="K2" s="905"/>
      <c r="L2" s="2727"/>
      <c r="M2" s="2728"/>
      <c r="N2" s="2728"/>
      <c r="O2" s="2728"/>
      <c r="P2" s="1160"/>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3"/>
      <c r="H3" s="903"/>
      <c r="I3" s="903"/>
      <c r="J3" s="903"/>
      <c r="K3" s="905"/>
      <c r="L3" s="2727"/>
      <c r="M3" s="2728" t="e">
        <f ca="1">IF(C2="——",IF(B37="元/平方米",ROUND(C39*D3/10000,0),ROUND(F3*C39/10000,0)),IF(B37="元/平方米",ROUND(C39*D3/10000,0),ROUND(F3*C39/10000,0))-D2)</f>
        <v>#DIV/0!</v>
      </c>
      <c r="N3" s="2728"/>
      <c r="O3" s="2728"/>
      <c r="P3" s="1160"/>
      <c r="Q3" s="697"/>
      <c r="R3" s="697"/>
      <c r="S3" s="697"/>
      <c r="T3" s="697"/>
      <c r="U3" s="697"/>
      <c r="V3" s="697"/>
      <c r="W3" s="697"/>
      <c r="X3" s="697"/>
      <c r="Y3" s="697"/>
      <c r="Z3" s="697"/>
      <c r="AA3" s="697"/>
      <c r="AB3" s="714"/>
      <c r="AC3" s="711"/>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29" ht="15">
      <c r="A5" s="358"/>
      <c r="B5" s="359"/>
      <c r="C5" s="3736" t="s">
        <v>1672</v>
      </c>
      <c r="D5" s="3737"/>
      <c r="E5" s="3734" t="s">
        <v>1673</v>
      </c>
      <c r="F5" s="3735"/>
      <c r="G5" s="3736" t="s">
        <v>1674</v>
      </c>
      <c r="H5" s="3737"/>
      <c r="I5" s="3736" t="s">
        <v>1675</v>
      </c>
      <c r="J5" s="3737"/>
      <c r="K5" s="559"/>
      <c r="L5" s="2708"/>
      <c r="M5" s="2709"/>
      <c r="N5" s="2709"/>
      <c r="O5" s="2709"/>
      <c r="P5" s="3749"/>
      <c r="Q5" s="3750"/>
      <c r="R5" s="3732"/>
      <c r="S5" s="3733"/>
      <c r="T5" s="3732"/>
      <c r="U5" s="3733"/>
      <c r="V5" s="3755"/>
      <c r="W5" s="3755"/>
      <c r="X5" s="1350"/>
      <c r="Y5" s="3732"/>
      <c r="Z5" s="3733"/>
      <c r="AA5" s="3726"/>
      <c r="AB5" s="3726"/>
      <c r="AC5" s="3726"/>
    </row>
    <row r="6" spans="1:29" ht="15.75" thickBot="1">
      <c r="A6" s="360"/>
      <c r="B6" s="361"/>
      <c r="C6" s="3738" t="s">
        <v>1676</v>
      </c>
      <c r="D6" s="3739"/>
      <c r="E6" s="3740" t="s">
        <v>1676</v>
      </c>
      <c r="F6" s="3741"/>
      <c r="G6" s="3738" t="s">
        <v>1676</v>
      </c>
      <c r="H6" s="3739"/>
      <c r="I6" s="3738" t="s">
        <v>1676</v>
      </c>
      <c r="J6" s="3739"/>
      <c r="K6" s="559" t="s">
        <v>1677</v>
      </c>
      <c r="L6" s="2708"/>
      <c r="M6" s="2709"/>
      <c r="N6" s="2709"/>
      <c r="O6" s="27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28" t="s">
        <v>1679</v>
      </c>
      <c r="Q7" s="3756"/>
      <c r="R7" s="699" t="s">
        <v>14</v>
      </c>
      <c r="S7" s="700">
        <f t="shared" ref="S7:S14" si="0">F7</f>
        <v>0</v>
      </c>
      <c r="T7" s="699" t="s">
        <v>14</v>
      </c>
      <c r="U7" s="700">
        <f t="shared" ref="U7:U14" si="1">H7</f>
        <v>0</v>
      </c>
      <c r="V7" s="699" t="s">
        <v>14</v>
      </c>
      <c r="W7" s="700">
        <f t="shared" ref="W7:W14"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28" t="s">
        <v>1682</v>
      </c>
      <c r="Q8" s="3729"/>
      <c r="R8" s="699" t="s">
        <v>14</v>
      </c>
      <c r="S8" s="700">
        <f t="shared" si="0"/>
        <v>100</v>
      </c>
      <c r="T8" s="699" t="s">
        <v>14</v>
      </c>
      <c r="U8" s="700">
        <f t="shared" si="1"/>
        <v>100</v>
      </c>
      <c r="V8" s="699" t="s">
        <v>14</v>
      </c>
      <c r="W8" s="700">
        <f t="shared" si="2"/>
        <v>100</v>
      </c>
      <c r="X8" s="701"/>
      <c r="Y8" s="3728" t="s">
        <v>1682</v>
      </c>
      <c r="Z8" s="3729"/>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60" t="s">
        <v>1685</v>
      </c>
      <c r="Q9" s="1338" t="str">
        <f t="shared" ref="Q9:Q14" si="6">B9</f>
        <v>用途</v>
      </c>
      <c r="R9" s="699" t="s">
        <v>14</v>
      </c>
      <c r="S9" s="700">
        <f t="shared" si="0"/>
        <v>100</v>
      </c>
      <c r="T9" s="699" t="s">
        <v>14</v>
      </c>
      <c r="U9" s="700">
        <f t="shared" si="1"/>
        <v>100</v>
      </c>
      <c r="V9" s="699" t="s">
        <v>14</v>
      </c>
      <c r="W9" s="700">
        <f t="shared" si="2"/>
        <v>100</v>
      </c>
      <c r="X9" s="701"/>
      <c r="Y9" s="3672" t="s">
        <v>1686</v>
      </c>
      <c r="Z9" s="52" t="str">
        <f t="shared" ref="Z9:Z14" si="7">Q9</f>
        <v>用途</v>
      </c>
      <c r="AA9" s="702">
        <f t="shared" si="3"/>
        <v>1</v>
      </c>
      <c r="AB9" s="702">
        <f t="shared" si="4"/>
        <v>1</v>
      </c>
      <c r="AC9" s="702">
        <f t="shared" si="5"/>
        <v>1</v>
      </c>
    </row>
    <row r="10" spans="1:29" s="378" customFormat="1" ht="27">
      <c r="A10" s="589"/>
      <c r="B10" s="590" t="s">
        <v>1687</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60"/>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60"/>
      <c r="Q11" s="1338">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60"/>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55" t="s">
        <v>1689</v>
      </c>
      <c r="B14" s="577" t="s">
        <v>1832</v>
      </c>
      <c r="C14" s="1965"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62" t="s">
        <v>1690</v>
      </c>
      <c r="Q14" s="1347" t="str">
        <f t="shared" si="6"/>
        <v>交通便捷度</v>
      </c>
      <c r="R14" s="703" t="s">
        <v>14</v>
      </c>
      <c r="S14" s="704">
        <f t="shared" si="0"/>
        <v>100</v>
      </c>
      <c r="T14" s="703" t="s">
        <v>14</v>
      </c>
      <c r="U14" s="704">
        <f t="shared" si="1"/>
        <v>100</v>
      </c>
      <c r="V14" s="703" t="s">
        <v>14</v>
      </c>
      <c r="W14" s="704">
        <f t="shared" si="2"/>
        <v>100</v>
      </c>
      <c r="X14" s="1350"/>
      <c r="Y14" s="3762" t="s">
        <v>1690</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5"/>
      <c r="M15" s="2709"/>
      <c r="N15" s="2709"/>
      <c r="O15" s="2709"/>
      <c r="P15" s="3763"/>
      <c r="Q15" s="1347"/>
      <c r="R15" s="703"/>
      <c r="S15" s="704"/>
      <c r="T15" s="703"/>
      <c r="U15" s="704"/>
      <c r="V15" s="703"/>
      <c r="W15" s="704"/>
      <c r="X15" s="1350"/>
      <c r="Y15" s="3763"/>
      <c r="Z15" s="1351"/>
      <c r="AA15" s="1348">
        <v>1</v>
      </c>
      <c r="AB15" s="1348">
        <v>1</v>
      </c>
      <c r="AC15" s="1348">
        <v>1</v>
      </c>
    </row>
    <row r="16" spans="1:29" ht="42.75">
      <c r="A16" s="358"/>
      <c r="B16" s="579" t="s">
        <v>1811</v>
      </c>
      <c r="C16" s="1894"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63"/>
      <c r="Q16" s="1347" t="str">
        <f>B16</f>
        <v>公共配套设施</v>
      </c>
      <c r="R16" s="703" t="s">
        <v>14</v>
      </c>
      <c r="S16" s="704">
        <f>F16</f>
        <v>100</v>
      </c>
      <c r="T16" s="703" t="s">
        <v>14</v>
      </c>
      <c r="U16" s="704">
        <f>H16</f>
        <v>100</v>
      </c>
      <c r="V16" s="703" t="s">
        <v>14</v>
      </c>
      <c r="W16" s="704">
        <f>J16</f>
        <v>100</v>
      </c>
      <c r="X16" s="1350"/>
      <c r="Y16" s="3763"/>
      <c r="Z16" s="1351" t="str">
        <f>Q16</f>
        <v>公共配套设施</v>
      </c>
      <c r="AA16" s="1348">
        <f t="shared" si="3"/>
        <v>1</v>
      </c>
      <c r="AB16" s="1348">
        <f t="shared" si="4"/>
        <v>1</v>
      </c>
      <c r="AC16" s="1348">
        <f t="shared" si="5"/>
        <v>1</v>
      </c>
    </row>
    <row r="17" spans="1:29" ht="15">
      <c r="A17" s="358"/>
      <c r="B17" s="580"/>
      <c r="C17" s="1895"/>
      <c r="D17" s="399"/>
      <c r="E17" s="398"/>
      <c r="F17" s="400"/>
      <c r="G17" s="398"/>
      <c r="H17" s="399"/>
      <c r="I17" s="398"/>
      <c r="J17" s="399"/>
      <c r="K17" s="564"/>
      <c r="L17" s="2715"/>
      <c r="M17" s="2709"/>
      <c r="N17" s="2709"/>
      <c r="O17" s="2709"/>
      <c r="P17" s="3763"/>
      <c r="Q17" s="1347"/>
      <c r="R17" s="703"/>
      <c r="S17" s="704"/>
      <c r="T17" s="703"/>
      <c r="U17" s="704"/>
      <c r="V17" s="703"/>
      <c r="W17" s="704"/>
      <c r="X17" s="1350"/>
      <c r="Y17" s="3763"/>
      <c r="Z17" s="1351"/>
      <c r="AA17" s="1348">
        <v>1</v>
      </c>
      <c r="AB17" s="1348">
        <v>1</v>
      </c>
      <c r="AC17" s="1348">
        <v>1</v>
      </c>
    </row>
    <row r="18" spans="1:29" ht="28.5">
      <c r="A18" s="358"/>
      <c r="B18" s="581" t="s">
        <v>1812</v>
      </c>
      <c r="C18" s="1894"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63"/>
      <c r="Q18" s="1347" t="str">
        <f>B18</f>
        <v>基础设施水平</v>
      </c>
      <c r="R18" s="703" t="s">
        <v>14</v>
      </c>
      <c r="S18" s="704">
        <f>F18</f>
        <v>100</v>
      </c>
      <c r="T18" s="703" t="s">
        <v>14</v>
      </c>
      <c r="U18" s="704">
        <f>H18</f>
        <v>100</v>
      </c>
      <c r="V18" s="703" t="s">
        <v>14</v>
      </c>
      <c r="W18" s="704">
        <f>J18</f>
        <v>100</v>
      </c>
      <c r="X18" s="1350"/>
      <c r="Y18" s="3763"/>
      <c r="Z18" s="1351" t="str">
        <f>Q18</f>
        <v>基础设施水平</v>
      </c>
      <c r="AA18" s="1348">
        <f t="shared" ref="AA18" si="8">D18/F18</f>
        <v>1</v>
      </c>
      <c r="AB18" s="1348">
        <f t="shared" ref="AB18" si="9">D18/H18</f>
        <v>1</v>
      </c>
      <c r="AC18" s="1348">
        <f t="shared" ref="AC18" si="10">D18/J18</f>
        <v>1</v>
      </c>
    </row>
    <row r="19" spans="1:29" ht="15">
      <c r="A19" s="358"/>
      <c r="B19" s="581"/>
      <c r="C19" s="1895"/>
      <c r="D19" s="401"/>
      <c r="E19" s="1895"/>
      <c r="F19" s="404"/>
      <c r="G19" s="1895"/>
      <c r="H19" s="399"/>
      <c r="I19" s="398"/>
      <c r="J19" s="399"/>
      <c r="K19" s="1125"/>
      <c r="L19" s="2715"/>
      <c r="M19" s="2709"/>
      <c r="N19" s="2709"/>
      <c r="O19" s="2709"/>
      <c r="P19" s="3763"/>
      <c r="Q19" s="1347"/>
      <c r="R19" s="703"/>
      <c r="S19" s="704"/>
      <c r="T19" s="703"/>
      <c r="U19" s="704"/>
      <c r="V19" s="703"/>
      <c r="W19" s="704"/>
      <c r="X19" s="1350"/>
      <c r="Y19" s="3763"/>
      <c r="Z19" s="1351"/>
      <c r="AA19" s="1348">
        <v>1</v>
      </c>
      <c r="AB19" s="1348">
        <v>1</v>
      </c>
      <c r="AC19" s="1348">
        <v>1</v>
      </c>
    </row>
    <row r="20" spans="1:29" ht="57">
      <c r="A20" s="358"/>
      <c r="B20" s="579" t="s">
        <v>1833</v>
      </c>
      <c r="C20" s="1894"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63"/>
      <c r="Q20" s="1347" t="str">
        <f>B20</f>
        <v>自然及人文环境</v>
      </c>
      <c r="R20" s="703" t="s">
        <v>14</v>
      </c>
      <c r="S20" s="704">
        <f>F20</f>
        <v>100</v>
      </c>
      <c r="T20" s="703" t="s">
        <v>14</v>
      </c>
      <c r="U20" s="704">
        <f>H20</f>
        <v>100</v>
      </c>
      <c r="V20" s="703" t="s">
        <v>14</v>
      </c>
      <c r="W20" s="704">
        <f>J20</f>
        <v>100</v>
      </c>
      <c r="X20" s="1350"/>
      <c r="Y20" s="3763"/>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5"/>
      <c r="M21" s="2709"/>
      <c r="N21" s="2709"/>
      <c r="O21" s="2709"/>
      <c r="P21" s="3763"/>
      <c r="Q21" s="1347"/>
      <c r="R21" s="703"/>
      <c r="S21" s="704"/>
      <c r="T21" s="703"/>
      <c r="U21" s="704"/>
      <c r="V21" s="703"/>
      <c r="W21" s="704"/>
      <c r="X21" s="1350"/>
      <c r="Y21" s="3763"/>
      <c r="Z21" s="1351"/>
      <c r="AA21" s="1348">
        <v>1</v>
      </c>
      <c r="AB21" s="1348">
        <v>1</v>
      </c>
      <c r="AC21" s="1348">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63"/>
      <c r="Q22" s="1347" t="str">
        <f>B22</f>
        <v>楼层</v>
      </c>
      <c r="R22" s="703" t="s">
        <v>14</v>
      </c>
      <c r="S22" s="704">
        <f>F22</f>
        <v>100</v>
      </c>
      <c r="T22" s="703" t="s">
        <v>14</v>
      </c>
      <c r="U22" s="704">
        <f>H22</f>
        <v>100</v>
      </c>
      <c r="V22" s="703" t="s">
        <v>14</v>
      </c>
      <c r="W22" s="704">
        <f>J22</f>
        <v>100</v>
      </c>
      <c r="X22" s="1350"/>
      <c r="Y22" s="3763"/>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63"/>
      <c r="Q23" s="1347">
        <f>B23</f>
        <v>111</v>
      </c>
      <c r="R23" s="703" t="s">
        <v>14</v>
      </c>
      <c r="S23" s="704">
        <f>F23</f>
        <v>100</v>
      </c>
      <c r="T23" s="703" t="s">
        <v>14</v>
      </c>
      <c r="U23" s="704">
        <f>H23</f>
        <v>100</v>
      </c>
      <c r="V23" s="703" t="s">
        <v>14</v>
      </c>
      <c r="W23" s="704">
        <f>J23</f>
        <v>100</v>
      </c>
      <c r="X23" s="1350"/>
      <c r="Y23" s="3763"/>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63"/>
      <c r="Q24" s="1347">
        <f t="shared" ref="Q24:Q36" si="11">B24</f>
        <v>111</v>
      </c>
      <c r="R24" s="703" t="s">
        <v>14</v>
      </c>
      <c r="S24" s="704">
        <f>F24</f>
        <v>100</v>
      </c>
      <c r="T24" s="703" t="s">
        <v>14</v>
      </c>
      <c r="U24" s="704">
        <f>H24</f>
        <v>100</v>
      </c>
      <c r="V24" s="703" t="s">
        <v>14</v>
      </c>
      <c r="W24" s="704">
        <f>J24</f>
        <v>100</v>
      </c>
      <c r="X24" s="1350"/>
      <c r="Y24" s="3763"/>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63"/>
      <c r="Q25" s="1338">
        <f t="shared" si="11"/>
        <v>111</v>
      </c>
      <c r="R25" s="699" t="s">
        <v>14</v>
      </c>
      <c r="S25" s="700">
        <f>F25</f>
        <v>100</v>
      </c>
      <c r="T25" s="699" t="s">
        <v>14</v>
      </c>
      <c r="U25" s="700">
        <f>H25</f>
        <v>100</v>
      </c>
      <c r="V25" s="699" t="s">
        <v>14</v>
      </c>
      <c r="W25" s="700">
        <f>J25</f>
        <v>100</v>
      </c>
      <c r="X25" s="701"/>
      <c r="Y25" s="3763"/>
      <c r="Z25" s="52">
        <f>Q25</f>
        <v>111</v>
      </c>
      <c r="AA25" s="1348">
        <f>D25/F25</f>
        <v>1</v>
      </c>
      <c r="AB25" s="1348">
        <f>D25/H25</f>
        <v>1</v>
      </c>
      <c r="AC25" s="1348">
        <f>D25/J25</f>
        <v>1</v>
      </c>
    </row>
    <row r="26" spans="1:29" ht="28.5">
      <c r="A26" s="600" t="s">
        <v>1693</v>
      </c>
      <c r="B26" s="62" t="s">
        <v>1835</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86" t="s">
        <v>1695</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3767" t="s">
        <v>1695</v>
      </c>
      <c r="Z26" s="1351" t="str">
        <f t="shared" ref="Z26:Z36" si="15">Q26</f>
        <v>配套类型</v>
      </c>
      <c r="AA26" s="1348" t="e">
        <f t="shared" si="3"/>
        <v>#DIV/0!</v>
      </c>
      <c r="AB26" s="1348" t="e">
        <f t="shared" si="4"/>
        <v>#DIV/0!</v>
      </c>
      <c r="AC26" s="1348"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67"/>
      <c r="Q27" s="705" t="str">
        <f t="shared" si="11"/>
        <v>项目停车位配比</v>
      </c>
      <c r="R27" s="706" t="s">
        <v>14</v>
      </c>
      <c r="S27" s="707">
        <f t="shared" si="12"/>
        <v>100</v>
      </c>
      <c r="T27" s="706" t="s">
        <v>14</v>
      </c>
      <c r="U27" s="707">
        <f t="shared" si="13"/>
        <v>100</v>
      </c>
      <c r="V27" s="706" t="s">
        <v>14</v>
      </c>
      <c r="W27" s="707">
        <f t="shared" si="14"/>
        <v>100</v>
      </c>
      <c r="X27" s="708"/>
      <c r="Y27" s="3767"/>
      <c r="Z27" s="709" t="str">
        <f t="shared" si="15"/>
        <v>项目停车位配比</v>
      </c>
      <c r="AA27" s="1348">
        <f t="shared" si="3"/>
        <v>1</v>
      </c>
      <c r="AB27" s="1348">
        <f t="shared" si="4"/>
        <v>1</v>
      </c>
      <c r="AC27" s="1348">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67"/>
      <c r="Q28" s="1347" t="str">
        <f t="shared" si="11"/>
        <v>公共部分装修</v>
      </c>
      <c r="R28" s="703" t="s">
        <v>14</v>
      </c>
      <c r="S28" s="704">
        <f t="shared" si="12"/>
        <v>100</v>
      </c>
      <c r="T28" s="703" t="s">
        <v>14</v>
      </c>
      <c r="U28" s="704">
        <f t="shared" si="13"/>
        <v>100</v>
      </c>
      <c r="V28" s="703" t="s">
        <v>14</v>
      </c>
      <c r="W28" s="704">
        <f t="shared" si="14"/>
        <v>100</v>
      </c>
      <c r="X28" s="1350"/>
      <c r="Y28" s="3767"/>
      <c r="Z28" s="1351" t="str">
        <f t="shared" si="15"/>
        <v>公共部分装修</v>
      </c>
      <c r="AA28" s="1348">
        <f t="shared" si="3"/>
        <v>1</v>
      </c>
      <c r="AB28" s="1348">
        <f t="shared" si="4"/>
        <v>1</v>
      </c>
      <c r="AC28" s="1348">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67"/>
      <c r="Q29" s="1347" t="str">
        <f t="shared" si="11"/>
        <v>成新率</v>
      </c>
      <c r="R29" s="703" t="s">
        <v>14</v>
      </c>
      <c r="S29" s="704" t="e">
        <f t="shared" si="12"/>
        <v>#N/A</v>
      </c>
      <c r="T29" s="703" t="s">
        <v>14</v>
      </c>
      <c r="U29" s="704" t="e">
        <f t="shared" si="13"/>
        <v>#N/A</v>
      </c>
      <c r="V29" s="703" t="s">
        <v>14</v>
      </c>
      <c r="W29" s="704" t="e">
        <f t="shared" si="14"/>
        <v>#N/A</v>
      </c>
      <c r="X29" s="1350"/>
      <c r="Y29" s="3767"/>
      <c r="Z29" s="1351" t="str">
        <f t="shared" si="15"/>
        <v>成新率</v>
      </c>
      <c r="AA29" s="1348" t="e">
        <f t="shared" si="3"/>
        <v>#N/A</v>
      </c>
      <c r="AB29" s="1348" t="e">
        <f t="shared" si="4"/>
        <v>#N/A</v>
      </c>
      <c r="AC29" s="1348"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67"/>
      <c r="Q30" s="1347" t="str">
        <f t="shared" si="11"/>
        <v>物业等级</v>
      </c>
      <c r="R30" s="703" t="s">
        <v>14</v>
      </c>
      <c r="S30" s="704">
        <f t="shared" si="12"/>
        <v>100</v>
      </c>
      <c r="T30" s="703" t="s">
        <v>14</v>
      </c>
      <c r="U30" s="704">
        <f t="shared" si="13"/>
        <v>100</v>
      </c>
      <c r="V30" s="703" t="s">
        <v>14</v>
      </c>
      <c r="W30" s="704">
        <f t="shared" si="14"/>
        <v>100</v>
      </c>
      <c r="X30" s="1350"/>
      <c r="Y30" s="3767"/>
      <c r="Z30" s="1351" t="str">
        <f t="shared" si="15"/>
        <v>物业等级</v>
      </c>
      <c r="AA30" s="1348">
        <f t="shared" si="3"/>
        <v>1</v>
      </c>
      <c r="AB30" s="1348">
        <f t="shared" si="4"/>
        <v>1</v>
      </c>
      <c r="AC30" s="1348">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67"/>
      <c r="Q31" s="1338" t="str">
        <f t="shared" si="11"/>
        <v>停车位面积</v>
      </c>
      <c r="R31" s="699" t="s">
        <v>14</v>
      </c>
      <c r="S31" s="700" t="e">
        <f t="shared" si="12"/>
        <v>#N/A</v>
      </c>
      <c r="T31" s="699" t="s">
        <v>14</v>
      </c>
      <c r="U31" s="700" t="e">
        <f t="shared" si="13"/>
        <v>#N/A</v>
      </c>
      <c r="V31" s="699" t="s">
        <v>14</v>
      </c>
      <c r="W31" s="700" t="e">
        <f t="shared" si="14"/>
        <v>#N/A</v>
      </c>
      <c r="X31" s="701"/>
      <c r="Y31" s="3767"/>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67" t="s">
        <v>1695</v>
      </c>
      <c r="Q32" s="1347" t="str">
        <f t="shared" si="11"/>
        <v>车位类型</v>
      </c>
      <c r="R32" s="703" t="s">
        <v>14</v>
      </c>
      <c r="S32" s="704">
        <f t="shared" si="12"/>
        <v>100</v>
      </c>
      <c r="T32" s="703" t="s">
        <v>14</v>
      </c>
      <c r="U32" s="704">
        <f t="shared" si="13"/>
        <v>100</v>
      </c>
      <c r="V32" s="703" t="s">
        <v>14</v>
      </c>
      <c r="W32" s="704">
        <f t="shared" si="14"/>
        <v>100</v>
      </c>
      <c r="X32" s="1350"/>
      <c r="Y32" s="3767" t="s">
        <v>1695</v>
      </c>
      <c r="Z32" s="1351" t="str">
        <f t="shared" si="15"/>
        <v>车位类型</v>
      </c>
      <c r="AA32" s="1348">
        <f t="shared" si="3"/>
        <v>1</v>
      </c>
      <c r="AB32" s="1348">
        <f t="shared" si="4"/>
        <v>1</v>
      </c>
      <c r="AC32" s="1348">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67"/>
      <c r="Q33" s="1347" t="str">
        <f t="shared" si="11"/>
        <v>是否直接入户</v>
      </c>
      <c r="R33" s="703" t="s">
        <v>14</v>
      </c>
      <c r="S33" s="704">
        <f t="shared" si="12"/>
        <v>100</v>
      </c>
      <c r="T33" s="703" t="s">
        <v>14</v>
      </c>
      <c r="U33" s="704">
        <f t="shared" si="13"/>
        <v>100</v>
      </c>
      <c r="V33" s="703" t="s">
        <v>14</v>
      </c>
      <c r="W33" s="704">
        <f t="shared" si="14"/>
        <v>100</v>
      </c>
      <c r="X33" s="1350"/>
      <c r="Y33" s="3767"/>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67"/>
      <c r="Q34" s="1347">
        <f t="shared" si="11"/>
        <v>111</v>
      </c>
      <c r="R34" s="703" t="s">
        <v>14</v>
      </c>
      <c r="S34" s="704">
        <f t="shared" si="12"/>
        <v>100</v>
      </c>
      <c r="T34" s="703" t="s">
        <v>14</v>
      </c>
      <c r="U34" s="704">
        <f t="shared" si="13"/>
        <v>100</v>
      </c>
      <c r="V34" s="703" t="s">
        <v>14</v>
      </c>
      <c r="W34" s="704">
        <f t="shared" si="14"/>
        <v>100</v>
      </c>
      <c r="X34" s="1350"/>
      <c r="Y34" s="3767"/>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67"/>
      <c r="Q35" s="705">
        <f t="shared" si="11"/>
        <v>111</v>
      </c>
      <c r="R35" s="706" t="s">
        <v>14</v>
      </c>
      <c r="S35" s="707">
        <f t="shared" si="12"/>
        <v>100</v>
      </c>
      <c r="T35" s="706" t="s">
        <v>14</v>
      </c>
      <c r="U35" s="707">
        <f t="shared" si="13"/>
        <v>100</v>
      </c>
      <c r="V35" s="706" t="s">
        <v>14</v>
      </c>
      <c r="W35" s="707">
        <f t="shared" si="14"/>
        <v>100</v>
      </c>
      <c r="X35" s="708"/>
      <c r="Y35" s="3767"/>
      <c r="Z35" s="709">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67"/>
      <c r="Q36" s="1347">
        <f t="shared" si="11"/>
        <v>111</v>
      </c>
      <c r="R36" s="703" t="s">
        <v>14</v>
      </c>
      <c r="S36" s="704">
        <f t="shared" si="12"/>
        <v>100</v>
      </c>
      <c r="T36" s="703" t="s">
        <v>14</v>
      </c>
      <c r="U36" s="704">
        <f t="shared" si="13"/>
        <v>100</v>
      </c>
      <c r="V36" s="703" t="s">
        <v>14</v>
      </c>
      <c r="W36" s="704">
        <f t="shared" si="14"/>
        <v>100</v>
      </c>
      <c r="X36" s="1350"/>
      <c r="Y36" s="3767"/>
      <c r="Z36" s="1351">
        <f t="shared" si="15"/>
        <v>111</v>
      </c>
      <c r="AA36" s="1348">
        <f t="shared" si="3"/>
        <v>1</v>
      </c>
      <c r="AB36" s="1348">
        <f t="shared" si="4"/>
        <v>1</v>
      </c>
      <c r="AC36" s="1348">
        <f t="shared" si="5"/>
        <v>1</v>
      </c>
    </row>
    <row r="37" spans="1:29" ht="15">
      <c r="A37" s="430" t="s">
        <v>1843</v>
      </c>
      <c r="B37" s="1967" t="s">
        <v>3354</v>
      </c>
      <c r="C37" s="1149" t="s">
        <v>0</v>
      </c>
      <c r="D37" s="1150"/>
      <c r="E37" s="1151"/>
      <c r="F37" s="1152"/>
      <c r="G37" s="1153"/>
      <c r="H37" s="1154"/>
      <c r="I37" s="1151"/>
      <c r="J37" s="1154"/>
      <c r="K37" s="568"/>
      <c r="L37" s="2717"/>
      <c r="M37" s="2718"/>
      <c r="N37" s="2709"/>
      <c r="O37" s="2718"/>
      <c r="P37" s="3760" t="str">
        <f>A37</f>
        <v>成交单价</v>
      </c>
      <c r="Q37" s="3760"/>
      <c r="R37" s="3761">
        <f>E37</f>
        <v>0</v>
      </c>
      <c r="S37" s="3761"/>
      <c r="T37" s="3761">
        <f>G37</f>
        <v>0</v>
      </c>
      <c r="U37" s="3761"/>
      <c r="V37" s="3761">
        <f>I37</f>
        <v>0</v>
      </c>
      <c r="W37" s="3761"/>
      <c r="X37" s="688"/>
      <c r="Y37" s="710"/>
      <c r="Z37" s="688"/>
      <c r="AA37" s="688"/>
      <c r="AB37" s="688"/>
      <c r="AC37" s="688"/>
    </row>
    <row r="38" spans="1:29" ht="15.75" thickBot="1">
      <c r="A38" s="437" t="s">
        <v>1844</v>
      </c>
      <c r="B38" s="438" t="str">
        <f>B37</f>
        <v>元/平方米</v>
      </c>
      <c r="C38" s="1155" t="e">
        <f>R39</f>
        <v>#DIV/0!</v>
      </c>
      <c r="D38" s="2311" t="s">
        <v>2136</v>
      </c>
      <c r="E38" s="1156" t="e">
        <f>R38</f>
        <v>#DIV/0!</v>
      </c>
      <c r="F38" s="2312"/>
      <c r="G38" s="1155" t="e">
        <f>T38</f>
        <v>#DIV/0!</v>
      </c>
      <c r="H38" s="2312"/>
      <c r="I38" s="1156" t="e">
        <f>V38</f>
        <v>#DIV/0!</v>
      </c>
      <c r="J38" s="2312"/>
      <c r="K38" s="2314">
        <f>F38+H38+J38</f>
        <v>0</v>
      </c>
      <c r="L38" s="2717"/>
      <c r="M38" s="2718"/>
      <c r="N38" s="2718"/>
      <c r="O38" s="2718"/>
      <c r="P38" s="3760" t="str">
        <f>A38</f>
        <v>比较价值（元/平方米）</v>
      </c>
      <c r="Q38" s="3760"/>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688"/>
      <c r="Y38" s="688"/>
      <c r="Z38" s="688"/>
      <c r="AA38" s="688"/>
      <c r="AB38" s="688"/>
      <c r="AC38" s="688"/>
    </row>
    <row r="39" spans="1:29" ht="15.75" thickBot="1">
      <c r="A39" s="441" t="s">
        <v>1845</v>
      </c>
      <c r="B39" s="442"/>
      <c r="C39" s="1158" t="e">
        <f>R39</f>
        <v>#DIV/0!</v>
      </c>
      <c r="D39" s="1158"/>
      <c r="E39" s="1158"/>
      <c r="F39" s="1158"/>
      <c r="G39" s="1158"/>
      <c r="H39" s="1158"/>
      <c r="I39" s="1158"/>
      <c r="J39" s="1158"/>
      <c r="K39" s="569"/>
      <c r="L39" s="2717"/>
      <c r="M39" s="2718"/>
      <c r="N39" s="2718"/>
      <c r="O39" s="2718"/>
      <c r="P39" s="3757" t="str">
        <f>A39</f>
        <v>估价对象XX用房的比较价值（楼面单价，元/平方米）</v>
      </c>
      <c r="Q39" s="3758"/>
      <c r="R39" s="3787" t="e">
        <f>IF(F1="售价",ROUND(IF(D38="简单平均",AVERAGE(R38:W38),R38*F38+T38*H38+V38*J38),0),ROUND(IF(D38="简单平均",AVERAGE(R38:V38),R38*F38+T38*H38+V38*J38),1))</f>
        <v>#DIV/0!</v>
      </c>
      <c r="S39" s="3787"/>
      <c r="T39" s="3787"/>
      <c r="U39" s="3787"/>
      <c r="V39" s="3787"/>
      <c r="W39" s="3787"/>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1" t="s">
        <v>1849</v>
      </c>
      <c r="B47" s="922"/>
      <c r="C47" s="935"/>
      <c r="D47" s="935"/>
      <c r="E47" s="935"/>
      <c r="F47" s="1162"/>
      <c r="G47" s="1162"/>
      <c r="H47" s="935"/>
      <c r="I47" s="935"/>
      <c r="J47" s="935"/>
      <c r="K47" s="936"/>
      <c r="L47" s="937"/>
      <c r="M47" s="935"/>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79" t="str">
        <f>YEAR(C7)&amp;"-"&amp;MONTH(C7)</f>
        <v>2024-4</v>
      </c>
      <c r="D48" s="1180">
        <f>EDATE(C48,-1)</f>
        <v>45352</v>
      </c>
      <c r="E48" s="1180">
        <f t="shared" ref="E48:O48" si="16">EDATE(D48,-1)</f>
        <v>45323</v>
      </c>
      <c r="F48" s="1180">
        <f t="shared" si="16"/>
        <v>45292</v>
      </c>
      <c r="G48" s="1180">
        <f t="shared" si="16"/>
        <v>45261</v>
      </c>
      <c r="H48" s="1180">
        <f t="shared" si="16"/>
        <v>45231</v>
      </c>
      <c r="I48" s="1180">
        <f t="shared" si="16"/>
        <v>45200</v>
      </c>
      <c r="J48" s="1180">
        <f t="shared" si="16"/>
        <v>45170</v>
      </c>
      <c r="K48" s="1180">
        <f t="shared" si="16"/>
        <v>45139</v>
      </c>
      <c r="L48" s="1180">
        <f t="shared" si="16"/>
        <v>45108</v>
      </c>
      <c r="M48" s="1180">
        <f t="shared" si="16"/>
        <v>45078</v>
      </c>
      <c r="N48" s="1180">
        <f t="shared" si="16"/>
        <v>45047</v>
      </c>
      <c r="O48" s="1180">
        <f t="shared" si="16"/>
        <v>45017</v>
      </c>
      <c r="P48" s="2752"/>
      <c r="Q48" s="2734"/>
      <c r="R48" s="2734"/>
      <c r="S48" s="2734"/>
      <c r="T48" s="2734"/>
      <c r="U48" s="2734"/>
      <c r="V48" s="2734"/>
      <c r="W48" s="2734"/>
      <c r="X48" s="2734"/>
      <c r="Y48" s="2734"/>
      <c r="Z48" s="2734"/>
      <c r="AA48" s="2734"/>
      <c r="AB48" s="2734"/>
      <c r="AC48" s="2734"/>
    </row>
    <row r="49" spans="1:29" s="108" customFormat="1" ht="15">
      <c r="A49" s="458"/>
      <c r="B49" s="459"/>
      <c r="C49" s="1172">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8" t="s">
        <v>1798</v>
      </c>
      <c r="D67" s="608" t="s">
        <v>1799</v>
      </c>
      <c r="E67" s="608" t="s">
        <v>1800</v>
      </c>
      <c r="F67" s="608" t="s">
        <v>1801</v>
      </c>
      <c r="G67" s="608" t="s">
        <v>1802</v>
      </c>
      <c r="H67" s="488"/>
      <c r="I67" s="488"/>
      <c r="J67" s="488"/>
      <c r="K67" s="488"/>
      <c r="L67" s="488"/>
      <c r="M67" s="1124"/>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1830</v>
      </c>
      <c r="B1" s="1218" t="s">
        <v>3335</v>
      </c>
      <c r="C1" s="1219" t="s">
        <v>1661</v>
      </c>
      <c r="D1" s="1220"/>
      <c r="E1" s="3426"/>
      <c r="F1" s="1873"/>
      <c r="G1" s="1230" t="s">
        <v>1766</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1462</v>
      </c>
      <c r="F2" s="1877"/>
      <c r="G2" s="903"/>
      <c r="H2" s="903"/>
      <c r="I2" s="903"/>
      <c r="J2" s="903"/>
      <c r="K2" s="905"/>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3"/>
      <c r="F3" s="904"/>
      <c r="G3" s="903"/>
      <c r="H3" s="903"/>
      <c r="I3" s="903"/>
      <c r="J3" s="903"/>
      <c r="K3" s="905"/>
      <c r="L3" s="2727"/>
      <c r="M3" s="2728"/>
      <c r="N3" s="2728"/>
      <c r="O3" s="2728"/>
      <c r="P3" s="697"/>
      <c r="Q3" s="697"/>
      <c r="R3" s="697"/>
      <c r="S3" s="697"/>
      <c r="T3" s="697"/>
      <c r="U3" s="697"/>
      <c r="V3" s="697"/>
      <c r="W3" s="697"/>
      <c r="X3" s="697"/>
      <c r="Y3" s="697"/>
      <c r="Z3" s="697"/>
      <c r="AA3" s="697"/>
      <c r="AB3" s="714"/>
      <c r="AC3" s="711"/>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29" ht="15">
      <c r="A5" s="358"/>
      <c r="B5" s="359"/>
      <c r="C5" s="3736" t="s">
        <v>1672</v>
      </c>
      <c r="D5" s="3737"/>
      <c r="E5" s="3734" t="s">
        <v>1673</v>
      </c>
      <c r="F5" s="3735"/>
      <c r="G5" s="3736" t="s">
        <v>1674</v>
      </c>
      <c r="H5" s="3737"/>
      <c r="I5" s="3736" t="s">
        <v>1675</v>
      </c>
      <c r="J5" s="3737"/>
      <c r="K5" s="559"/>
      <c r="L5" s="2708"/>
      <c r="M5" s="2709"/>
      <c r="N5" s="2709"/>
      <c r="O5" s="2709"/>
      <c r="P5" s="3749"/>
      <c r="Q5" s="3750"/>
      <c r="R5" s="3732"/>
      <c r="S5" s="3733"/>
      <c r="T5" s="3732"/>
      <c r="U5" s="3733"/>
      <c r="V5" s="3755"/>
      <c r="W5" s="3755"/>
      <c r="X5" s="1350"/>
      <c r="Y5" s="3732"/>
      <c r="Z5" s="3733"/>
      <c r="AA5" s="3726"/>
      <c r="AB5" s="3726"/>
      <c r="AC5" s="3726"/>
    </row>
    <row r="6" spans="1:29" ht="15.75" thickBot="1">
      <c r="A6" s="360"/>
      <c r="B6" s="361"/>
      <c r="C6" s="3738" t="s">
        <v>1676</v>
      </c>
      <c r="D6" s="3739"/>
      <c r="E6" s="3740" t="s">
        <v>1676</v>
      </c>
      <c r="F6" s="3741"/>
      <c r="G6" s="3738" t="s">
        <v>1676</v>
      </c>
      <c r="H6" s="3739"/>
      <c r="I6" s="3738" t="s">
        <v>1676</v>
      </c>
      <c r="J6" s="3739"/>
      <c r="K6" s="559" t="s">
        <v>1677</v>
      </c>
      <c r="L6" s="2708"/>
      <c r="M6" s="2709"/>
      <c r="N6" s="2709"/>
      <c r="O6" s="27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c r="F7" s="367">
        <f>SUMIF(46:46,YEAR(E7)&amp;"-"&amp;MONTH(E7),47:47)</f>
        <v>0</v>
      </c>
      <c r="G7" s="1968"/>
      <c r="H7" s="365">
        <f>SUMIF(46:46,YEAR(G7)&amp;"-"&amp;MONTH(G7),47:47)</f>
        <v>0</v>
      </c>
      <c r="I7" s="366"/>
      <c r="J7" s="365">
        <f>SUMIF(46:46,YEAR(I7)&amp;"-"&amp;MONTH(I7),47:47)</f>
        <v>0</v>
      </c>
      <c r="K7" s="560"/>
      <c r="L7" s="2710"/>
      <c r="M7" s="2711"/>
      <c r="N7" s="2711"/>
      <c r="O7" s="2711"/>
      <c r="P7" s="3728" t="s">
        <v>1679</v>
      </c>
      <c r="Q7" s="3756"/>
      <c r="R7" s="699" t="s">
        <v>14</v>
      </c>
      <c r="S7" s="700">
        <f t="shared" ref="S7:S14" si="0">F7</f>
        <v>0</v>
      </c>
      <c r="T7" s="699" t="s">
        <v>14</v>
      </c>
      <c r="U7" s="700">
        <f t="shared" ref="U7:U14" si="1">H7</f>
        <v>0</v>
      </c>
      <c r="V7" s="699" t="s">
        <v>14</v>
      </c>
      <c r="W7" s="700">
        <f t="shared" ref="W7:W14" si="2">J7</f>
        <v>0</v>
      </c>
      <c r="X7" s="701"/>
      <c r="Y7" s="3728" t="s">
        <v>1679</v>
      </c>
      <c r="Z7" s="3729"/>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28" t="s">
        <v>1682</v>
      </c>
      <c r="Q8" s="3729"/>
      <c r="R8" s="699" t="s">
        <v>14</v>
      </c>
      <c r="S8" s="700">
        <f t="shared" si="0"/>
        <v>100</v>
      </c>
      <c r="T8" s="699" t="s">
        <v>14</v>
      </c>
      <c r="U8" s="700">
        <f t="shared" si="1"/>
        <v>100</v>
      </c>
      <c r="V8" s="699" t="s">
        <v>14</v>
      </c>
      <c r="W8" s="700">
        <f t="shared" si="2"/>
        <v>100</v>
      </c>
      <c r="X8" s="701"/>
      <c r="Y8" s="3728" t="s">
        <v>1682</v>
      </c>
      <c r="Z8" s="3729"/>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60" t="s">
        <v>1685</v>
      </c>
      <c r="Q9" s="1338" t="str">
        <f t="shared" ref="Q9:Q14" si="6">B9</f>
        <v>用途</v>
      </c>
      <c r="R9" s="699" t="s">
        <v>14</v>
      </c>
      <c r="S9" s="700">
        <f t="shared" si="0"/>
        <v>100</v>
      </c>
      <c r="T9" s="699" t="s">
        <v>14</v>
      </c>
      <c r="U9" s="700">
        <f t="shared" si="1"/>
        <v>100</v>
      </c>
      <c r="V9" s="699" t="s">
        <v>14</v>
      </c>
      <c r="W9" s="700">
        <f t="shared" si="2"/>
        <v>100</v>
      </c>
      <c r="X9" s="701"/>
      <c r="Y9" s="3672" t="s">
        <v>1686</v>
      </c>
      <c r="Z9" s="52" t="str">
        <f t="shared" ref="Z9:Z14" si="7">Q9</f>
        <v>用途</v>
      </c>
      <c r="AA9" s="702">
        <f t="shared" si="3"/>
        <v>1</v>
      </c>
      <c r="AB9" s="702">
        <f t="shared" si="4"/>
        <v>1</v>
      </c>
      <c r="AC9" s="702">
        <f t="shared" si="5"/>
        <v>1</v>
      </c>
    </row>
    <row r="10" spans="1:29" s="378" customFormat="1" ht="27">
      <c r="A10" s="374"/>
      <c r="B10" s="375" t="s">
        <v>1687</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60"/>
      <c r="Q10" s="1338"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60"/>
      <c r="Q11" s="1338">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60"/>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379"/>
      <c r="B13" s="1887">
        <v>111</v>
      </c>
      <c r="C13" s="385"/>
      <c r="D13" s="386">
        <v>100</v>
      </c>
      <c r="E13" s="420"/>
      <c r="F13" s="376">
        <f>SUMIF(59:59,E13,60:60)-SUMIF(59:59,C13,60:60)+100</f>
        <v>100</v>
      </c>
      <c r="G13" s="1969"/>
      <c r="H13" s="389">
        <f>SUMIF(59:59,G13,60:60)-SUMIF(59:59,C13,60:60)+100</f>
        <v>100</v>
      </c>
      <c r="I13" s="420"/>
      <c r="J13" s="386">
        <f>SUMIF(59:59,I13,60:60)-SUMIF(59:59,C13,60:60)+100</f>
        <v>100</v>
      </c>
      <c r="K13" s="562"/>
      <c r="L13" s="2715"/>
      <c r="M13" s="2709"/>
      <c r="N13" s="2709"/>
      <c r="O13" s="2767"/>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91" t="s">
        <v>1689</v>
      </c>
      <c r="B14" s="61" t="s">
        <v>1832</v>
      </c>
      <c r="C14" s="1965"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62" t="s">
        <v>1690</v>
      </c>
      <c r="Q14" s="1347" t="str">
        <f t="shared" si="6"/>
        <v>交通便捷度</v>
      </c>
      <c r="R14" s="703" t="s">
        <v>14</v>
      </c>
      <c r="S14" s="704">
        <f t="shared" si="0"/>
        <v>100</v>
      </c>
      <c r="T14" s="703" t="s">
        <v>14</v>
      </c>
      <c r="U14" s="704">
        <f t="shared" si="1"/>
        <v>100</v>
      </c>
      <c r="V14" s="703" t="s">
        <v>14</v>
      </c>
      <c r="W14" s="704">
        <f t="shared" si="2"/>
        <v>100</v>
      </c>
      <c r="X14" s="1350"/>
      <c r="Y14" s="3762" t="s">
        <v>1690</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5"/>
      <c r="M15" s="2709"/>
      <c r="N15" s="2709"/>
      <c r="O15" s="2767"/>
      <c r="P15" s="3763"/>
      <c r="Q15" s="1347"/>
      <c r="R15" s="703"/>
      <c r="S15" s="704"/>
      <c r="T15" s="703"/>
      <c r="U15" s="704"/>
      <c r="V15" s="703"/>
      <c r="W15" s="704"/>
      <c r="X15" s="1350"/>
      <c r="Y15" s="3763"/>
      <c r="Z15" s="1351"/>
      <c r="AA15" s="1348">
        <v>1</v>
      </c>
      <c r="AB15" s="1348">
        <v>1</v>
      </c>
      <c r="AC15" s="1348">
        <v>1</v>
      </c>
    </row>
    <row r="16" spans="1:29" ht="42.75">
      <c r="A16" s="379"/>
      <c r="B16" s="402" t="s">
        <v>1811</v>
      </c>
      <c r="C16" s="1894"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63"/>
      <c r="Q16" s="1347" t="str">
        <f>B16</f>
        <v>公共配套设施</v>
      </c>
      <c r="R16" s="703" t="s">
        <v>14</v>
      </c>
      <c r="S16" s="704">
        <f>F16</f>
        <v>100</v>
      </c>
      <c r="T16" s="703" t="s">
        <v>14</v>
      </c>
      <c r="U16" s="704">
        <f>H16</f>
        <v>100</v>
      </c>
      <c r="V16" s="703" t="s">
        <v>14</v>
      </c>
      <c r="W16" s="704">
        <f>J16</f>
        <v>100</v>
      </c>
      <c r="X16" s="1350"/>
      <c r="Y16" s="3763"/>
      <c r="Z16" s="1351" t="str">
        <f>Q16</f>
        <v>公共配套设施</v>
      </c>
      <c r="AA16" s="1348">
        <f t="shared" si="3"/>
        <v>1</v>
      </c>
      <c r="AB16" s="1348">
        <f t="shared" si="4"/>
        <v>1</v>
      </c>
      <c r="AC16" s="1348">
        <f t="shared" si="5"/>
        <v>1</v>
      </c>
    </row>
    <row r="17" spans="1:29" ht="15">
      <c r="A17" s="379"/>
      <c r="B17" s="407"/>
      <c r="C17" s="1895"/>
      <c r="D17" s="399"/>
      <c r="E17" s="398"/>
      <c r="F17" s="400"/>
      <c r="G17" s="398"/>
      <c r="H17" s="399"/>
      <c r="I17" s="398"/>
      <c r="J17" s="399"/>
      <c r="K17" s="564"/>
      <c r="L17" s="2715"/>
      <c r="M17" s="2709"/>
      <c r="N17" s="2709"/>
      <c r="O17" s="2767"/>
      <c r="P17" s="3763"/>
      <c r="Q17" s="1347"/>
      <c r="R17" s="703"/>
      <c r="S17" s="704"/>
      <c r="T17" s="703"/>
      <c r="U17" s="704"/>
      <c r="V17" s="703"/>
      <c r="W17" s="704"/>
      <c r="X17" s="1350"/>
      <c r="Y17" s="3763"/>
      <c r="Z17" s="1351"/>
      <c r="AA17" s="1348">
        <v>1</v>
      </c>
      <c r="AB17" s="1348">
        <v>1</v>
      </c>
      <c r="AC17" s="1348">
        <v>1</v>
      </c>
    </row>
    <row r="18" spans="1:29" ht="28.5">
      <c r="A18" s="379"/>
      <c r="B18" s="1126" t="s">
        <v>1812</v>
      </c>
      <c r="C18" s="1894"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63"/>
      <c r="Q18" s="1347" t="str">
        <f>B18</f>
        <v>基础设施水平</v>
      </c>
      <c r="R18" s="703" t="s">
        <v>14</v>
      </c>
      <c r="S18" s="704">
        <f>F18</f>
        <v>100</v>
      </c>
      <c r="T18" s="703" t="s">
        <v>14</v>
      </c>
      <c r="U18" s="704">
        <f>H18</f>
        <v>100</v>
      </c>
      <c r="V18" s="703" t="s">
        <v>14</v>
      </c>
      <c r="W18" s="704">
        <f>J18</f>
        <v>100</v>
      </c>
      <c r="X18" s="1350"/>
      <c r="Y18" s="3763"/>
      <c r="Z18" s="1351" t="str">
        <f>Q18</f>
        <v>基础设施水平</v>
      </c>
      <c r="AA18" s="1348">
        <f t="shared" ref="AA18" si="8">D18/F18</f>
        <v>1</v>
      </c>
      <c r="AB18" s="1348">
        <f t="shared" ref="AB18" si="9">D18/H18</f>
        <v>1</v>
      </c>
      <c r="AC18" s="1348">
        <f t="shared" ref="AC18" si="10">D18/J18</f>
        <v>1</v>
      </c>
    </row>
    <row r="19" spans="1:29" ht="15">
      <c r="A19" s="379"/>
      <c r="B19" s="1126"/>
      <c r="C19" s="1895"/>
      <c r="D19" s="401"/>
      <c r="E19" s="1895"/>
      <c r="F19" s="404"/>
      <c r="G19" s="1895"/>
      <c r="H19" s="399"/>
      <c r="I19" s="398"/>
      <c r="J19" s="399"/>
      <c r="K19" s="1125"/>
      <c r="L19" s="2715"/>
      <c r="M19" s="2709"/>
      <c r="N19" s="2709"/>
      <c r="O19" s="2767"/>
      <c r="P19" s="3763"/>
      <c r="Q19" s="1347"/>
      <c r="R19" s="703"/>
      <c r="S19" s="704"/>
      <c r="T19" s="703"/>
      <c r="U19" s="704"/>
      <c r="V19" s="703"/>
      <c r="W19" s="704"/>
      <c r="X19" s="1350"/>
      <c r="Y19" s="3763"/>
      <c r="Z19" s="1351"/>
      <c r="AA19" s="1348">
        <v>1</v>
      </c>
      <c r="AB19" s="1348">
        <v>1</v>
      </c>
      <c r="AC19" s="1348">
        <v>1</v>
      </c>
    </row>
    <row r="20" spans="1:29" ht="57">
      <c r="A20" s="379"/>
      <c r="B20" s="402" t="s">
        <v>1833</v>
      </c>
      <c r="C20" s="1894"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63"/>
      <c r="Q20" s="1347" t="str">
        <f>B20</f>
        <v>自然及人文环境</v>
      </c>
      <c r="R20" s="703" t="s">
        <v>14</v>
      </c>
      <c r="S20" s="704">
        <f>F20</f>
        <v>100</v>
      </c>
      <c r="T20" s="703" t="s">
        <v>14</v>
      </c>
      <c r="U20" s="704">
        <f>H20</f>
        <v>100</v>
      </c>
      <c r="V20" s="703" t="s">
        <v>14</v>
      </c>
      <c r="W20" s="704">
        <f>J20</f>
        <v>100</v>
      </c>
      <c r="X20" s="1350"/>
      <c r="Y20" s="3763"/>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5"/>
      <c r="M21" s="2709"/>
      <c r="N21" s="2709"/>
      <c r="O21" s="2767"/>
      <c r="P21" s="3763"/>
      <c r="Q21" s="1347"/>
      <c r="R21" s="703"/>
      <c r="S21" s="704"/>
      <c r="T21" s="703"/>
      <c r="U21" s="704"/>
      <c r="V21" s="703"/>
      <c r="W21" s="704"/>
      <c r="X21" s="1350"/>
      <c r="Y21" s="3763"/>
      <c r="Z21" s="1351"/>
      <c r="AA21" s="1348">
        <v>1</v>
      </c>
      <c r="AB21" s="1348">
        <v>1</v>
      </c>
      <c r="AC21" s="1348">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63"/>
      <c r="Q22" s="1347" t="str">
        <f>B22</f>
        <v>楼层</v>
      </c>
      <c r="R22" s="703" t="s">
        <v>14</v>
      </c>
      <c r="S22" s="704">
        <f>F22</f>
        <v>100</v>
      </c>
      <c r="T22" s="703" t="s">
        <v>14</v>
      </c>
      <c r="U22" s="704">
        <f>H22</f>
        <v>100</v>
      </c>
      <c r="V22" s="703" t="s">
        <v>14</v>
      </c>
      <c r="W22" s="704">
        <f>J22</f>
        <v>100</v>
      </c>
      <c r="X22" s="1350"/>
      <c r="Y22" s="3763"/>
      <c r="Z22" s="1351" t="str">
        <f>Q22</f>
        <v>楼层</v>
      </c>
      <c r="AA22" s="1348">
        <f t="shared" si="3"/>
        <v>1</v>
      </c>
      <c r="AB22" s="1348">
        <f t="shared" si="4"/>
        <v>1</v>
      </c>
      <c r="AC22" s="1348">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63"/>
      <c r="Q23" s="1347">
        <f>B23</f>
        <v>111</v>
      </c>
      <c r="R23" s="703" t="s">
        <v>14</v>
      </c>
      <c r="S23" s="704">
        <f>F23</f>
        <v>100</v>
      </c>
      <c r="T23" s="703" t="s">
        <v>14</v>
      </c>
      <c r="U23" s="704">
        <f>H23</f>
        <v>100</v>
      </c>
      <c r="V23" s="703" t="s">
        <v>14</v>
      </c>
      <c r="W23" s="704">
        <f>J23</f>
        <v>100</v>
      </c>
      <c r="X23" s="1350"/>
      <c r="Y23" s="3763"/>
      <c r="Z23" s="1351">
        <f>Q23</f>
        <v>111</v>
      </c>
      <c r="AA23" s="1348">
        <f t="shared" si="3"/>
        <v>1</v>
      </c>
      <c r="AB23" s="1348">
        <f t="shared" si="4"/>
        <v>1</v>
      </c>
      <c r="AC23" s="1348">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63"/>
      <c r="Q24" s="1347">
        <f t="shared" ref="Q24:Q34" si="11">B24</f>
        <v>111</v>
      </c>
      <c r="R24" s="703" t="s">
        <v>14</v>
      </c>
      <c r="S24" s="704">
        <f>F24</f>
        <v>100</v>
      </c>
      <c r="T24" s="703" t="s">
        <v>14</v>
      </c>
      <c r="U24" s="704">
        <f>H24</f>
        <v>100</v>
      </c>
      <c r="V24" s="703" t="s">
        <v>14</v>
      </c>
      <c r="W24" s="704">
        <f>J24</f>
        <v>100</v>
      </c>
      <c r="X24" s="1350"/>
      <c r="Y24" s="3763"/>
      <c r="Z24" s="1351">
        <f>Q24</f>
        <v>111</v>
      </c>
      <c r="AA24" s="1348">
        <f t="shared" si="3"/>
        <v>1</v>
      </c>
      <c r="AB24" s="1348">
        <f t="shared" si="4"/>
        <v>1</v>
      </c>
      <c r="AC24" s="1348">
        <f t="shared" si="5"/>
        <v>1</v>
      </c>
    </row>
    <row r="25" spans="1:29" s="108" customFormat="1" ht="15.75" thickBot="1">
      <c r="A25" s="382"/>
      <c r="B25" s="1887">
        <v>111</v>
      </c>
      <c r="C25" s="1970"/>
      <c r="D25" s="613">
        <v>100</v>
      </c>
      <c r="E25" s="1970"/>
      <c r="F25" s="614">
        <f>SUMIF(75:75,E25,76:76)-SUMIF(75:75,C25,76:76)+100</f>
        <v>100</v>
      </c>
      <c r="G25" s="1970"/>
      <c r="H25" s="613">
        <f>SUMIF(75:75,G25,76:76)-SUMIF(75:75,C25,76:76)+100</f>
        <v>100</v>
      </c>
      <c r="I25" s="1970"/>
      <c r="J25" s="613">
        <f>SUMIF(75:75,I25,76:76)-SUMIF(75:75,C25,76:76)+100</f>
        <v>100</v>
      </c>
      <c r="K25" s="562"/>
      <c r="L25" s="2710"/>
      <c r="M25" s="2711"/>
      <c r="N25" s="2711"/>
      <c r="O25" s="2765"/>
      <c r="P25" s="3763"/>
      <c r="Q25" s="1338">
        <f t="shared" si="11"/>
        <v>111</v>
      </c>
      <c r="R25" s="699" t="s">
        <v>14</v>
      </c>
      <c r="S25" s="700">
        <f>F25</f>
        <v>100</v>
      </c>
      <c r="T25" s="699" t="s">
        <v>14</v>
      </c>
      <c r="U25" s="700">
        <f>H25</f>
        <v>100</v>
      </c>
      <c r="V25" s="699" t="s">
        <v>14</v>
      </c>
      <c r="W25" s="700">
        <f>J25</f>
        <v>100</v>
      </c>
      <c r="X25" s="701"/>
      <c r="Y25" s="3763"/>
      <c r="Z25" s="52">
        <f>Q25</f>
        <v>111</v>
      </c>
      <c r="AA25" s="1348">
        <f>D25/F25</f>
        <v>1</v>
      </c>
      <c r="AB25" s="1348">
        <f>D25/H25</f>
        <v>1</v>
      </c>
      <c r="AC25" s="1348">
        <f>D25/J25</f>
        <v>1</v>
      </c>
    </row>
    <row r="26" spans="1:29" ht="28.5">
      <c r="A26" s="417" t="s">
        <v>1693</v>
      </c>
      <c r="B26" s="63" t="s">
        <v>1837</v>
      </c>
      <c r="C26" s="1961"/>
      <c r="D26" s="418">
        <v>100</v>
      </c>
      <c r="E26" s="1961"/>
      <c r="F26" s="615">
        <f>SUMIF(77:77,E26,78:78)-SUMIF(77:77,C26,78:78)+100</f>
        <v>100</v>
      </c>
      <c r="G26" s="1961"/>
      <c r="H26" s="418">
        <f>SUMIF(77:77,G26,78:78)-SUMIF(77:77,C26,78:78)+100</f>
        <v>100</v>
      </c>
      <c r="I26" s="1961"/>
      <c r="J26" s="418">
        <f>SUMIF(77:77,I26,78:78)-SUMIF(77:77,C26,78:78)+100</f>
        <v>100</v>
      </c>
      <c r="K26" s="561"/>
      <c r="L26" s="2715"/>
      <c r="M26" s="2709"/>
      <c r="N26" s="2709"/>
      <c r="O26" s="2767"/>
      <c r="P26" s="3786" t="s">
        <v>1695</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3767" t="s">
        <v>1695</v>
      </c>
      <c r="Z26" s="1351" t="str">
        <f t="shared" ref="Z26:Z34" si="15">Q26</f>
        <v>公共部分装修</v>
      </c>
      <c r="AA26" s="1348">
        <f t="shared" si="3"/>
        <v>1</v>
      </c>
      <c r="AB26" s="1348">
        <f t="shared" si="4"/>
        <v>1</v>
      </c>
      <c r="AC26" s="1348">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67"/>
      <c r="Q27" s="705" t="str">
        <f t="shared" si="11"/>
        <v>成新率</v>
      </c>
      <c r="R27" s="706" t="s">
        <v>14</v>
      </c>
      <c r="S27" s="707" t="e">
        <f t="shared" si="12"/>
        <v>#N/A</v>
      </c>
      <c r="T27" s="706" t="s">
        <v>14</v>
      </c>
      <c r="U27" s="707" t="e">
        <f t="shared" si="13"/>
        <v>#N/A</v>
      </c>
      <c r="V27" s="706" t="s">
        <v>14</v>
      </c>
      <c r="W27" s="707" t="e">
        <f t="shared" si="14"/>
        <v>#N/A</v>
      </c>
      <c r="X27" s="708"/>
      <c r="Y27" s="3767"/>
      <c r="Z27" s="709" t="str">
        <f t="shared" si="15"/>
        <v>成新率</v>
      </c>
      <c r="AA27" s="1348" t="e">
        <f t="shared" si="3"/>
        <v>#N/A</v>
      </c>
      <c r="AB27" s="1348" t="e">
        <f t="shared" si="4"/>
        <v>#N/A</v>
      </c>
      <c r="AC27" s="1348"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67"/>
      <c r="Q28" s="1347" t="str">
        <f t="shared" si="11"/>
        <v>物业等级</v>
      </c>
      <c r="R28" s="703" t="s">
        <v>14</v>
      </c>
      <c r="S28" s="704">
        <f t="shared" si="12"/>
        <v>100</v>
      </c>
      <c r="T28" s="703" t="s">
        <v>14</v>
      </c>
      <c r="U28" s="704">
        <f t="shared" si="13"/>
        <v>100</v>
      </c>
      <c r="V28" s="703" t="s">
        <v>14</v>
      </c>
      <c r="W28" s="704">
        <f t="shared" si="14"/>
        <v>100</v>
      </c>
      <c r="X28" s="1350"/>
      <c r="Y28" s="3767"/>
      <c r="Z28" s="1351" t="str">
        <f t="shared" si="15"/>
        <v>物业等级</v>
      </c>
      <c r="AA28" s="1348">
        <f t="shared" si="3"/>
        <v>1</v>
      </c>
      <c r="AB28" s="1348">
        <f t="shared" si="4"/>
        <v>1</v>
      </c>
      <c r="AC28" s="1348">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67"/>
      <c r="Q29" s="1347" t="str">
        <f t="shared" si="11"/>
        <v>有无电梯</v>
      </c>
      <c r="R29" s="703" t="s">
        <v>14</v>
      </c>
      <c r="S29" s="704">
        <f t="shared" si="12"/>
        <v>100</v>
      </c>
      <c r="T29" s="703" t="s">
        <v>14</v>
      </c>
      <c r="U29" s="704">
        <f t="shared" si="13"/>
        <v>100</v>
      </c>
      <c r="V29" s="703" t="s">
        <v>14</v>
      </c>
      <c r="W29" s="704">
        <f t="shared" si="14"/>
        <v>100</v>
      </c>
      <c r="X29" s="1350"/>
      <c r="Y29" s="3767"/>
      <c r="Z29" s="1351" t="str">
        <f t="shared" si="15"/>
        <v>有无电梯</v>
      </c>
      <c r="AA29" s="1348">
        <f t="shared" si="3"/>
        <v>1</v>
      </c>
      <c r="AB29" s="1348">
        <f t="shared" si="4"/>
        <v>1</v>
      </c>
      <c r="AC29" s="1348">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67"/>
      <c r="Q30" s="1347" t="str">
        <f t="shared" si="11"/>
        <v>建筑面积</v>
      </c>
      <c r="R30" s="703" t="s">
        <v>14</v>
      </c>
      <c r="S30" s="704" t="e">
        <f t="shared" si="12"/>
        <v>#N/A</v>
      </c>
      <c r="T30" s="703" t="s">
        <v>14</v>
      </c>
      <c r="U30" s="704" t="e">
        <f t="shared" si="13"/>
        <v>#N/A</v>
      </c>
      <c r="V30" s="703" t="s">
        <v>14</v>
      </c>
      <c r="W30" s="704" t="e">
        <f t="shared" si="14"/>
        <v>#N/A</v>
      </c>
      <c r="X30" s="1350"/>
      <c r="Y30" s="3767"/>
      <c r="Z30" s="1351" t="str">
        <f t="shared" si="15"/>
        <v>建筑面积</v>
      </c>
      <c r="AA30" s="1348" t="e">
        <f t="shared" si="3"/>
        <v>#N/A</v>
      </c>
      <c r="AB30" s="1348" t="e">
        <f t="shared" si="4"/>
        <v>#N/A</v>
      </c>
      <c r="AC30" s="1348"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67"/>
      <c r="Q31" s="1338" t="str">
        <f t="shared" si="11"/>
        <v>是否封闭</v>
      </c>
      <c r="R31" s="699" t="s">
        <v>14</v>
      </c>
      <c r="S31" s="700">
        <f t="shared" si="12"/>
        <v>100</v>
      </c>
      <c r="T31" s="699" t="s">
        <v>14</v>
      </c>
      <c r="U31" s="700">
        <f t="shared" si="13"/>
        <v>100</v>
      </c>
      <c r="V31" s="699" t="s">
        <v>14</v>
      </c>
      <c r="W31" s="700">
        <f t="shared" si="14"/>
        <v>100</v>
      </c>
      <c r="X31" s="701"/>
      <c r="Y31" s="3767"/>
      <c r="Z31" s="52" t="str">
        <f t="shared" si="15"/>
        <v>是否封闭</v>
      </c>
      <c r="AA31" s="702">
        <f t="shared" si="3"/>
        <v>1</v>
      </c>
      <c r="AB31" s="702">
        <f t="shared" si="4"/>
        <v>1</v>
      </c>
      <c r="AC31" s="702">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67" t="s">
        <v>1695</v>
      </c>
      <c r="Q32" s="1347">
        <f t="shared" si="11"/>
        <v>111</v>
      </c>
      <c r="R32" s="703" t="s">
        <v>14</v>
      </c>
      <c r="S32" s="704">
        <f t="shared" si="12"/>
        <v>100</v>
      </c>
      <c r="T32" s="703" t="s">
        <v>14</v>
      </c>
      <c r="U32" s="704">
        <f t="shared" si="13"/>
        <v>100</v>
      </c>
      <c r="V32" s="703" t="s">
        <v>14</v>
      </c>
      <c r="W32" s="704">
        <f t="shared" si="14"/>
        <v>100</v>
      </c>
      <c r="X32" s="1350"/>
      <c r="Y32" s="3767" t="s">
        <v>1695</v>
      </c>
      <c r="Z32" s="1351">
        <f t="shared" si="15"/>
        <v>111</v>
      </c>
      <c r="AA32" s="1348">
        <f t="shared" si="3"/>
        <v>1</v>
      </c>
      <c r="AB32" s="1348">
        <f t="shared" si="4"/>
        <v>1</v>
      </c>
      <c r="AC32" s="1348">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67"/>
      <c r="Q33" s="1347">
        <f t="shared" si="11"/>
        <v>111</v>
      </c>
      <c r="R33" s="703" t="s">
        <v>14</v>
      </c>
      <c r="S33" s="704">
        <f t="shared" si="12"/>
        <v>100</v>
      </c>
      <c r="T33" s="703" t="s">
        <v>14</v>
      </c>
      <c r="U33" s="704">
        <f t="shared" si="13"/>
        <v>100</v>
      </c>
      <c r="V33" s="703" t="s">
        <v>14</v>
      </c>
      <c r="W33" s="704">
        <f t="shared" si="14"/>
        <v>100</v>
      </c>
      <c r="X33" s="1350"/>
      <c r="Y33" s="3767"/>
      <c r="Z33" s="1351">
        <f t="shared" si="15"/>
        <v>111</v>
      </c>
      <c r="AA33" s="1348">
        <f t="shared" si="3"/>
        <v>1</v>
      </c>
      <c r="AB33" s="1348">
        <f t="shared" si="4"/>
        <v>1</v>
      </c>
      <c r="AC33" s="1348">
        <f t="shared" si="5"/>
        <v>1</v>
      </c>
    </row>
    <row r="34" spans="1:30" ht="15.75" thickBot="1">
      <c r="A34" s="429"/>
      <c r="B34" s="1889">
        <v>111</v>
      </c>
      <c r="C34" s="388"/>
      <c r="D34" s="389">
        <v>100</v>
      </c>
      <c r="E34" s="1969"/>
      <c r="F34" s="390">
        <f>SUMIF(95:95,E34,96:96)-SUMIF(95:95,C34,96:96)+100</f>
        <v>100</v>
      </c>
      <c r="G34" s="1969"/>
      <c r="H34" s="389">
        <f>SUMIF(95:95,G34,96:96)-SUMIF(95:95,C34,96:96)+100</f>
        <v>100</v>
      </c>
      <c r="I34" s="1969"/>
      <c r="J34" s="389">
        <f>SUMIF(95:95,I34,96:96)-SUMIF(95:95,C34,96:96)+100</f>
        <v>100</v>
      </c>
      <c r="K34" s="562"/>
      <c r="L34" s="2715"/>
      <c r="M34" s="2709"/>
      <c r="N34" s="2709"/>
      <c r="O34" s="2767"/>
      <c r="P34" s="3767"/>
      <c r="Q34" s="1347">
        <f t="shared" si="11"/>
        <v>111</v>
      </c>
      <c r="R34" s="703" t="s">
        <v>14</v>
      </c>
      <c r="S34" s="704">
        <f t="shared" si="12"/>
        <v>100</v>
      </c>
      <c r="T34" s="703" t="s">
        <v>14</v>
      </c>
      <c r="U34" s="704">
        <f t="shared" si="13"/>
        <v>100</v>
      </c>
      <c r="V34" s="703" t="s">
        <v>14</v>
      </c>
      <c r="W34" s="704">
        <f t="shared" si="14"/>
        <v>100</v>
      </c>
      <c r="X34" s="1350"/>
      <c r="Y34" s="3767"/>
      <c r="Z34" s="1351">
        <f t="shared" si="15"/>
        <v>111</v>
      </c>
      <c r="AA34" s="1348">
        <f t="shared" si="3"/>
        <v>1</v>
      </c>
      <c r="AB34" s="1348">
        <f t="shared" si="4"/>
        <v>1</v>
      </c>
      <c r="AC34" s="1348">
        <f t="shared" si="5"/>
        <v>1</v>
      </c>
    </row>
    <row r="35" spans="1:30" ht="15">
      <c r="A35" s="430" t="s">
        <v>1707</v>
      </c>
      <c r="B35" s="431"/>
      <c r="C35" s="1149" t="s">
        <v>0</v>
      </c>
      <c r="D35" s="1150"/>
      <c r="E35" s="1151"/>
      <c r="F35" s="1152"/>
      <c r="G35" s="1153"/>
      <c r="H35" s="1154"/>
      <c r="I35" s="1151"/>
      <c r="J35" s="1154"/>
      <c r="K35" s="712"/>
      <c r="L35" s="2717"/>
      <c r="M35" s="2718"/>
      <c r="N35" s="2709"/>
      <c r="O35" s="2718"/>
      <c r="P35" s="3760" t="str">
        <f>A35</f>
        <v>成交单价（元/平方米）</v>
      </c>
      <c r="Q35" s="3760"/>
      <c r="R35" s="3761">
        <f>E35</f>
        <v>0</v>
      </c>
      <c r="S35" s="3761"/>
      <c r="T35" s="3761">
        <f>G35</f>
        <v>0</v>
      </c>
      <c r="U35" s="3761"/>
      <c r="V35" s="3761">
        <f>I35</f>
        <v>0</v>
      </c>
      <c r="W35" s="3761"/>
      <c r="X35" s="688"/>
      <c r="Y35" s="710"/>
      <c r="Z35" s="688"/>
      <c r="AA35" s="688"/>
      <c r="AB35" s="688"/>
      <c r="AC35" s="688"/>
    </row>
    <row r="36" spans="1:30" ht="15.75" thickBot="1">
      <c r="A36" s="437" t="s">
        <v>1792</v>
      </c>
      <c r="B36" s="438"/>
      <c r="C36" s="1155" t="e">
        <f>R37</f>
        <v>#DIV/0!</v>
      </c>
      <c r="D36" s="2311" t="s">
        <v>2136</v>
      </c>
      <c r="E36" s="1156" t="e">
        <f>R36</f>
        <v>#DIV/0!</v>
      </c>
      <c r="F36" s="2312"/>
      <c r="G36" s="1155" t="e">
        <f>T36</f>
        <v>#DIV/0!</v>
      </c>
      <c r="H36" s="2312"/>
      <c r="I36" s="1156" t="e">
        <f>V36</f>
        <v>#DIV/0!</v>
      </c>
      <c r="J36" s="2312"/>
      <c r="K36" s="2314">
        <f>F36+H36+J36</f>
        <v>0</v>
      </c>
      <c r="L36" s="2717"/>
      <c r="M36" s="2718"/>
      <c r="N36" s="2709"/>
      <c r="O36" s="2718"/>
      <c r="P36" s="3760" t="str">
        <f>A36</f>
        <v>比较价值（元/平方米）</v>
      </c>
      <c r="Q36" s="3760"/>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688"/>
      <c r="Y36" s="688"/>
      <c r="Z36" s="688"/>
      <c r="AA36" s="688"/>
      <c r="AB36" s="688"/>
      <c r="AC36" s="688"/>
    </row>
    <row r="37" spans="1:30" ht="15.75" thickBot="1">
      <c r="A37" s="441" t="s">
        <v>1793</v>
      </c>
      <c r="B37" s="442"/>
      <c r="C37" s="1158" t="e">
        <f>R37</f>
        <v>#DIV/0!</v>
      </c>
      <c r="D37" s="1158"/>
      <c r="E37" s="1158"/>
      <c r="F37" s="1158"/>
      <c r="G37" s="1158"/>
      <c r="H37" s="1158"/>
      <c r="I37" s="1158"/>
      <c r="J37" s="1158"/>
      <c r="K37" s="713"/>
      <c r="L37" s="2717"/>
      <c r="M37" s="2718"/>
      <c r="N37" s="2718"/>
      <c r="O37" s="2718"/>
      <c r="P37" s="3757" t="str">
        <f>A37</f>
        <v>估价对象XX用房的比较价值（楼面单价，元/平方米）</v>
      </c>
      <c r="Q37" s="3758"/>
      <c r="R37" s="3787" t="e">
        <f>IF(F1="售价",ROUND(IF(D36="简单平均",AVERAGE(R36:W36),R36*F36+T36*H36+V36*J36),0),ROUND(IF(D36="简单平均",AVERAGE(R36:V36),R36*F36+T36*H36+V36*J36),1))</f>
        <v>#DIV/0!</v>
      </c>
      <c r="S37" s="3787"/>
      <c r="T37" s="3787"/>
      <c r="U37" s="3787"/>
      <c r="V37" s="3787"/>
      <c r="W37" s="3787"/>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1797</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79" t="str">
        <f>YEAR(C7)&amp;"-"&amp;MONTH(C7)</f>
        <v>2024-4</v>
      </c>
      <c r="D46" s="1180">
        <f>EDATE(C46,-1)</f>
        <v>45352</v>
      </c>
      <c r="E46" s="1180">
        <f t="shared" ref="E46:O46" si="16">EDATE(D46,-1)</f>
        <v>45323</v>
      </c>
      <c r="F46" s="1180">
        <f t="shared" si="16"/>
        <v>45292</v>
      </c>
      <c r="G46" s="1180">
        <f t="shared" si="16"/>
        <v>45261</v>
      </c>
      <c r="H46" s="1180">
        <f t="shared" si="16"/>
        <v>45231</v>
      </c>
      <c r="I46" s="1180">
        <f t="shared" si="16"/>
        <v>45200</v>
      </c>
      <c r="J46" s="1180">
        <f t="shared" si="16"/>
        <v>45170</v>
      </c>
      <c r="K46" s="1180">
        <f t="shared" si="16"/>
        <v>45139</v>
      </c>
      <c r="L46" s="1180">
        <f t="shared" si="16"/>
        <v>45108</v>
      </c>
      <c r="M46" s="1180">
        <f t="shared" si="16"/>
        <v>45078</v>
      </c>
      <c r="N46" s="1180">
        <f t="shared" si="16"/>
        <v>45047</v>
      </c>
      <c r="O46" s="1180">
        <f t="shared" si="16"/>
        <v>45017</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8">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8" t="s">
        <v>1798</v>
      </c>
      <c r="D65" s="608" t="s">
        <v>1799</v>
      </c>
      <c r="E65" s="608" t="s">
        <v>1800</v>
      </c>
      <c r="F65" s="608" t="s">
        <v>1801</v>
      </c>
      <c r="G65" s="608" t="s">
        <v>1802</v>
      </c>
      <c r="H65" s="488"/>
      <c r="I65" s="488"/>
      <c r="J65" s="488"/>
      <c r="K65" s="488"/>
      <c r="L65" s="488"/>
      <c r="M65" s="1124"/>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1"/>
      <c r="B98" s="931"/>
      <c r="C98" s="931"/>
      <c r="D98" s="931"/>
      <c r="E98" s="931"/>
      <c r="F98" s="931"/>
      <c r="G98" s="931"/>
      <c r="H98" s="931"/>
      <c r="I98" s="931"/>
      <c r="J98" s="931"/>
      <c r="K98" s="932"/>
      <c r="L98" s="933"/>
      <c r="M98" s="931"/>
      <c r="N98" s="2718"/>
      <c r="O98" s="2718"/>
      <c r="P98" s="2718"/>
      <c r="Q98" s="2718"/>
      <c r="R98" s="2718"/>
      <c r="S98" s="2718"/>
      <c r="T98" s="2718"/>
      <c r="U98" s="2718"/>
      <c r="V98" s="2718"/>
      <c r="W98" s="2718"/>
      <c r="X98" s="2718"/>
      <c r="Y98" s="2718"/>
      <c r="Z98" s="2718"/>
      <c r="AA98" s="2718"/>
      <c r="AB98" s="2718"/>
      <c r="AC98" s="2718"/>
      <c r="AD98" s="2718"/>
    </row>
    <row r="99" spans="1:30">
      <c r="A99" s="931"/>
      <c r="B99" s="931"/>
      <c r="C99" s="931"/>
      <c r="D99" s="931"/>
      <c r="E99" s="931"/>
      <c r="F99" s="931"/>
      <c r="G99" s="931"/>
      <c r="H99" s="931"/>
      <c r="I99" s="931"/>
      <c r="J99" s="931"/>
      <c r="K99" s="932"/>
      <c r="L99" s="933"/>
      <c r="M99" s="931"/>
      <c r="N99" s="2718"/>
      <c r="O99" s="2718"/>
      <c r="P99" s="2718"/>
      <c r="Q99" s="2718"/>
      <c r="R99" s="2718"/>
      <c r="S99" s="2718"/>
      <c r="T99" s="2718"/>
      <c r="U99" s="2718"/>
      <c r="V99" s="2718"/>
      <c r="W99" s="2718"/>
      <c r="X99" s="2718"/>
      <c r="Y99" s="2718"/>
      <c r="Z99" s="2718"/>
      <c r="AA99" s="2718"/>
      <c r="AB99" s="2718"/>
      <c r="AC99" s="2718"/>
      <c r="AD99" s="2718"/>
    </row>
    <row r="100" spans="1:30">
      <c r="A100" s="931"/>
      <c r="B100" s="931"/>
      <c r="C100" s="931"/>
      <c r="D100" s="931"/>
      <c r="E100" s="931"/>
      <c r="F100" s="931"/>
      <c r="G100" s="931"/>
      <c r="H100" s="931"/>
      <c r="I100" s="931"/>
      <c r="J100" s="931"/>
      <c r="K100" s="932"/>
      <c r="L100" s="933"/>
      <c r="M100" s="931"/>
      <c r="N100" s="2718"/>
      <c r="O100" s="2718"/>
      <c r="P100" s="2718"/>
      <c r="Q100" s="2718"/>
      <c r="R100" s="2718"/>
      <c r="S100" s="2718"/>
      <c r="T100" s="2718"/>
      <c r="U100" s="2718"/>
      <c r="V100" s="2718"/>
      <c r="W100" s="2718"/>
      <c r="X100" s="2718"/>
      <c r="Y100" s="2718"/>
      <c r="Z100" s="2718"/>
      <c r="AA100" s="2718"/>
      <c r="AB100" s="2718"/>
      <c r="AC100" s="2718"/>
      <c r="AD100" s="2718"/>
    </row>
    <row r="101" spans="1:30">
      <c r="A101" s="931"/>
      <c r="B101" s="931"/>
      <c r="C101" s="931"/>
      <c r="D101" s="931"/>
      <c r="E101" s="931"/>
      <c r="F101" s="931"/>
      <c r="G101" s="931"/>
      <c r="H101" s="931"/>
      <c r="I101" s="931"/>
      <c r="J101" s="931"/>
      <c r="K101" s="932"/>
      <c r="L101" s="933"/>
      <c r="M101" s="931"/>
      <c r="N101" s="2718"/>
      <c r="O101" s="2718"/>
      <c r="P101" s="2718"/>
      <c r="Q101" s="2718"/>
      <c r="R101" s="2718"/>
      <c r="S101" s="2718"/>
      <c r="T101" s="2718"/>
      <c r="U101" s="2718"/>
      <c r="V101" s="2718"/>
      <c r="W101" s="2718"/>
      <c r="X101" s="2718"/>
      <c r="Y101" s="2718"/>
      <c r="Z101" s="2718"/>
      <c r="AA101" s="2718"/>
      <c r="AB101" s="2718"/>
      <c r="AC101" s="2718"/>
      <c r="AD101" s="2718"/>
    </row>
    <row r="102" spans="1:30">
      <c r="A102" s="931"/>
      <c r="B102" s="931"/>
      <c r="C102" s="931"/>
      <c r="D102" s="931"/>
      <c r="E102" s="931"/>
      <c r="F102" s="931"/>
      <c r="G102" s="931"/>
      <c r="H102" s="931"/>
      <c r="I102" s="931"/>
      <c r="J102" s="931"/>
      <c r="K102" s="932"/>
      <c r="L102" s="933"/>
      <c r="M102" s="931"/>
      <c r="N102" s="2718"/>
      <c r="O102" s="2718"/>
      <c r="P102" s="2718"/>
      <c r="Q102" s="2718"/>
      <c r="R102" s="2718"/>
      <c r="S102" s="2718"/>
      <c r="T102" s="2718"/>
      <c r="U102" s="2718"/>
      <c r="V102" s="2718"/>
      <c r="W102" s="2718"/>
      <c r="X102" s="2718"/>
      <c r="Y102" s="2718"/>
      <c r="Z102" s="2718"/>
      <c r="AA102" s="2718"/>
      <c r="AB102" s="2718"/>
      <c r="AC102" s="2718"/>
      <c r="AD102" s="2718"/>
    </row>
    <row r="103" spans="1:30">
      <c r="A103" s="931"/>
      <c r="B103" s="931"/>
      <c r="C103" s="931"/>
      <c r="D103" s="931"/>
      <c r="E103" s="931"/>
      <c r="F103" s="931"/>
      <c r="G103" s="931"/>
      <c r="H103" s="931"/>
      <c r="I103" s="931"/>
      <c r="J103" s="931"/>
      <c r="K103" s="932"/>
      <c r="L103" s="933"/>
      <c r="M103" s="931"/>
      <c r="N103" s="931"/>
      <c r="O103" s="931"/>
      <c r="P103" s="2718"/>
      <c r="Q103" s="2718"/>
      <c r="R103" s="2718"/>
      <c r="S103" s="2718"/>
      <c r="T103" s="2718"/>
      <c r="U103" s="2718"/>
      <c r="V103" s="2718"/>
      <c r="W103" s="2718"/>
      <c r="X103" s="2718"/>
      <c r="Y103" s="2718"/>
      <c r="Z103" s="2718"/>
      <c r="AA103" s="2718"/>
      <c r="AB103" s="2718"/>
      <c r="AC103" s="2718"/>
      <c r="AD103" s="2718"/>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2"/>
      <c r="D2" s="902"/>
      <c r="E2" s="903"/>
      <c r="F2" s="904"/>
      <c r="G2" s="903"/>
      <c r="H2" s="903"/>
      <c r="I2" s="903"/>
      <c r="J2" s="903"/>
      <c r="K2" s="905"/>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88"/>
      <c r="E3" s="903"/>
      <c r="F3" s="904"/>
      <c r="G3" s="903"/>
      <c r="H3" s="903"/>
      <c r="I3" s="903"/>
      <c r="J3" s="903"/>
      <c r="K3" s="905"/>
      <c r="L3" s="2727"/>
      <c r="M3" s="2728"/>
      <c r="N3" s="2728"/>
      <c r="O3" s="2728"/>
      <c r="P3" s="697"/>
      <c r="Q3" s="697"/>
      <c r="R3" s="697"/>
      <c r="S3" s="697"/>
      <c r="T3" s="697"/>
      <c r="U3" s="697"/>
      <c r="V3" s="697"/>
      <c r="W3" s="697"/>
      <c r="X3" s="697"/>
      <c r="Y3" s="697"/>
      <c r="Z3" s="697"/>
      <c r="AA3" s="697"/>
      <c r="AB3" s="714"/>
      <c r="AC3" s="711"/>
    </row>
    <row r="4" spans="1:30"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30" ht="15">
      <c r="A5" s="358"/>
      <c r="B5" s="359"/>
      <c r="C5" s="3736" t="s">
        <v>1672</v>
      </c>
      <c r="D5" s="3737"/>
      <c r="E5" s="3734" t="s">
        <v>1673</v>
      </c>
      <c r="F5" s="3735"/>
      <c r="G5" s="3736" t="s">
        <v>1674</v>
      </c>
      <c r="H5" s="3737"/>
      <c r="I5" s="3736" t="s">
        <v>1675</v>
      </c>
      <c r="J5" s="3737"/>
      <c r="K5" s="559"/>
      <c r="L5" s="2708"/>
      <c r="M5" s="2709"/>
      <c r="N5" s="2709"/>
      <c r="O5" s="2709"/>
      <c r="P5" s="3749"/>
      <c r="Q5" s="3750"/>
      <c r="R5" s="3732"/>
      <c r="S5" s="3733"/>
      <c r="T5" s="3732"/>
      <c r="U5" s="3733"/>
      <c r="V5" s="3755"/>
      <c r="W5" s="3755"/>
      <c r="X5" s="1350"/>
      <c r="Y5" s="3732"/>
      <c r="Z5" s="3733"/>
      <c r="AA5" s="3726"/>
      <c r="AB5" s="3726"/>
      <c r="AC5" s="3726"/>
    </row>
    <row r="6" spans="1:30" ht="15.75" thickBot="1">
      <c r="A6" s="360"/>
      <c r="B6" s="361"/>
      <c r="C6" s="3738" t="s">
        <v>1676</v>
      </c>
      <c r="D6" s="3739"/>
      <c r="E6" s="3740" t="s">
        <v>1676</v>
      </c>
      <c r="F6" s="3741"/>
      <c r="G6" s="3738" t="s">
        <v>1676</v>
      </c>
      <c r="H6" s="3739"/>
      <c r="I6" s="3738" t="s">
        <v>1676</v>
      </c>
      <c r="J6" s="3739"/>
      <c r="K6" s="559" t="s">
        <v>1677</v>
      </c>
      <c r="L6" s="2708"/>
      <c r="M6" s="2709"/>
      <c r="N6" s="2709"/>
      <c r="O6" s="2709"/>
      <c r="P6" s="3751"/>
      <c r="Q6" s="3752"/>
      <c r="R6" s="3732"/>
      <c r="S6" s="3733"/>
      <c r="T6" s="3753"/>
      <c r="U6" s="3754"/>
      <c r="V6" s="3755"/>
      <c r="W6" s="3755"/>
      <c r="X6" s="1350"/>
      <c r="Y6" s="3753"/>
      <c r="Z6" s="3754"/>
      <c r="AA6" s="3727"/>
      <c r="AB6" s="3727"/>
      <c r="AC6" s="3727"/>
    </row>
    <row r="7" spans="1:30" s="108" customFormat="1" ht="15.75" thickBot="1">
      <c r="A7" s="362" t="s">
        <v>1678</v>
      </c>
      <c r="B7" s="363"/>
      <c r="C7" s="364">
        <f>'数据-取费表'!B2</f>
        <v>45392</v>
      </c>
      <c r="D7" s="365">
        <v>100</v>
      </c>
      <c r="E7" s="366"/>
      <c r="F7" s="367">
        <f>SUMIF(69:69,YEAR(E7)&amp;"-"&amp;INT((MONTH(E7)+2)/3),70:70)</f>
        <v>0</v>
      </c>
      <c r="G7" s="1968"/>
      <c r="H7" s="365">
        <f>SUMIF(69:69,YEAR(G7)&amp;"-"&amp;INT((MONTH(G7)+2)/3),70:70)</f>
        <v>0</v>
      </c>
      <c r="I7" s="1968"/>
      <c r="J7" s="365">
        <f>SUMIF(69:69,YEAR(I7)&amp;"-"&amp;INT((MONTH(I7)+2)/3),70:70)</f>
        <v>0</v>
      </c>
      <c r="K7" s="560"/>
      <c r="L7" s="2710"/>
      <c r="M7" s="2711"/>
      <c r="N7" s="2711"/>
      <c r="O7" s="2711"/>
      <c r="P7" s="3728" t="s">
        <v>1679</v>
      </c>
      <c r="Q7" s="3756"/>
      <c r="R7" s="699" t="s">
        <v>14</v>
      </c>
      <c r="S7" s="700">
        <f t="shared" ref="S7:S15" si="0">F7</f>
        <v>0</v>
      </c>
      <c r="T7" s="699" t="s">
        <v>14</v>
      </c>
      <c r="U7" s="700">
        <f t="shared" ref="U7:U15" si="1">H7</f>
        <v>0</v>
      </c>
      <c r="V7" s="699" t="s">
        <v>14</v>
      </c>
      <c r="W7" s="700">
        <f t="shared" ref="W7:W15" si="2">J7</f>
        <v>0</v>
      </c>
      <c r="X7" s="701"/>
      <c r="Y7" s="3728" t="s">
        <v>1679</v>
      </c>
      <c r="Z7" s="3729"/>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28" t="s">
        <v>1682</v>
      </c>
      <c r="Q8" s="3729"/>
      <c r="R8" s="699" t="s">
        <v>14</v>
      </c>
      <c r="S8" s="700">
        <f t="shared" si="0"/>
        <v>0</v>
      </c>
      <c r="T8" s="699" t="s">
        <v>14</v>
      </c>
      <c r="U8" s="700">
        <f t="shared" si="1"/>
        <v>0</v>
      </c>
      <c r="V8" s="699" t="s">
        <v>14</v>
      </c>
      <c r="W8" s="700">
        <f t="shared" si="2"/>
        <v>0</v>
      </c>
      <c r="X8" s="701"/>
      <c r="Y8" s="3728" t="s">
        <v>1682</v>
      </c>
      <c r="Z8" s="3729"/>
      <c r="AA8" s="702" t="e">
        <f t="shared" ref="AA8:AA45" si="3">D8/F8</f>
        <v>#DIV/0!</v>
      </c>
      <c r="AB8" s="702" t="e">
        <f t="shared" ref="AB8:AB45" si="4">D8/H8</f>
        <v>#DIV/0!</v>
      </c>
      <c r="AC8" s="702"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60"/>
      <c r="L9" s="2710"/>
      <c r="M9" s="2711"/>
      <c r="N9" s="2711"/>
      <c r="O9" s="2765"/>
      <c r="P9" s="3760"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2"/>
      <c r="M10" s="2713"/>
      <c r="N10" s="2713"/>
      <c r="O10" s="2766"/>
      <c r="P10" s="3760"/>
      <c r="Q10" s="1338" t="str">
        <f t="shared" si="6"/>
        <v>土地使用年限（年）</v>
      </c>
      <c r="R10" s="699" t="s">
        <v>14</v>
      </c>
      <c r="S10" s="700">
        <f t="shared" si="0"/>
        <v>107</v>
      </c>
      <c r="T10" s="699" t="s">
        <v>14</v>
      </c>
      <c r="U10" s="700">
        <f t="shared" si="1"/>
        <v>107</v>
      </c>
      <c r="V10" s="699" t="s">
        <v>14</v>
      </c>
      <c r="W10" s="700">
        <f t="shared" si="2"/>
        <v>107</v>
      </c>
      <c r="X10" s="701"/>
      <c r="Y10" s="3672"/>
      <c r="Z10" s="52" t="str">
        <f t="shared" si="7"/>
        <v>土地使用年限（年）</v>
      </c>
      <c r="AA10" s="702">
        <f t="shared" si="3"/>
        <v>0.93457943925233644</v>
      </c>
      <c r="AB10" s="702">
        <f t="shared" si="4"/>
        <v>0.93457943925233644</v>
      </c>
      <c r="AC10" s="702">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60"/>
      <c r="Q11" s="1338"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30" s="108" customFormat="1" ht="15">
      <c r="A12" s="382"/>
      <c r="B12" s="1887" t="s">
        <v>1869</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60"/>
      <c r="Q12" s="1338" t="str">
        <f t="shared" si="6"/>
        <v>配建</v>
      </c>
      <c r="R12" s="699" t="s">
        <v>14</v>
      </c>
      <c r="S12" s="700">
        <f t="shared" si="0"/>
        <v>100</v>
      </c>
      <c r="T12" s="699" t="s">
        <v>14</v>
      </c>
      <c r="U12" s="700">
        <f t="shared" si="1"/>
        <v>100</v>
      </c>
      <c r="V12" s="699" t="s">
        <v>14</v>
      </c>
      <c r="W12" s="700">
        <f t="shared" si="2"/>
        <v>100</v>
      </c>
      <c r="X12" s="701"/>
      <c r="Y12" s="3672"/>
      <c r="Z12" s="52" t="str">
        <f t="shared" si="7"/>
        <v>配建</v>
      </c>
      <c r="AA12" s="702">
        <f>D12/F12</f>
        <v>1</v>
      </c>
      <c r="AB12" s="702">
        <f>D12/H12</f>
        <v>1</v>
      </c>
      <c r="AC12" s="702">
        <f>D12/J12</f>
        <v>1</v>
      </c>
    </row>
    <row r="13" spans="1:30" ht="15">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D13/F13</f>
        <v>1</v>
      </c>
      <c r="AB13" s="702">
        <f>D13/H13</f>
        <v>1</v>
      </c>
      <c r="AC13" s="702">
        <f>D13/J13</f>
        <v>1</v>
      </c>
    </row>
    <row r="14" spans="1:30" ht="15.75"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60"/>
      <c r="Q14" s="1338">
        <f t="shared" si="6"/>
        <v>111</v>
      </c>
      <c r="R14" s="699" t="s">
        <v>14</v>
      </c>
      <c r="S14" s="700">
        <f t="shared" si="0"/>
        <v>100</v>
      </c>
      <c r="T14" s="699" t="s">
        <v>14</v>
      </c>
      <c r="U14" s="700">
        <f t="shared" si="1"/>
        <v>100</v>
      </c>
      <c r="V14" s="699" t="s">
        <v>14</v>
      </c>
      <c r="W14" s="700">
        <f t="shared" si="2"/>
        <v>100</v>
      </c>
      <c r="X14" s="701"/>
      <c r="Y14" s="3672"/>
      <c r="Z14" s="52">
        <f t="shared" si="7"/>
        <v>111</v>
      </c>
      <c r="AA14" s="702">
        <f>D14/F14</f>
        <v>1</v>
      </c>
      <c r="AB14" s="702">
        <f>D14/H14</f>
        <v>1</v>
      </c>
      <c r="AC14" s="702">
        <f>D14/J14</f>
        <v>1</v>
      </c>
    </row>
    <row r="15" spans="1:30" ht="99.75">
      <c r="A15" s="391" t="s">
        <v>1689</v>
      </c>
      <c r="B15" s="61" t="s">
        <v>1257</v>
      </c>
      <c r="C15" s="1890"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62" t="s">
        <v>1690</v>
      </c>
      <c r="Q15" s="1347" t="str">
        <f t="shared" si="6"/>
        <v>居住社区成熟度</v>
      </c>
      <c r="R15" s="703" t="s">
        <v>14</v>
      </c>
      <c r="S15" s="704">
        <f t="shared" si="0"/>
        <v>100</v>
      </c>
      <c r="T15" s="703" t="s">
        <v>14</v>
      </c>
      <c r="U15" s="704">
        <f t="shared" si="1"/>
        <v>100</v>
      </c>
      <c r="V15" s="703" t="s">
        <v>14</v>
      </c>
      <c r="W15" s="704">
        <f t="shared" si="2"/>
        <v>100</v>
      </c>
      <c r="X15" s="1350"/>
      <c r="Y15" s="3762" t="s">
        <v>1690</v>
      </c>
      <c r="Z15" s="1351" t="str">
        <f t="shared" si="7"/>
        <v>居住社区成熟度</v>
      </c>
      <c r="AA15" s="1348">
        <f t="shared" si="3"/>
        <v>1</v>
      </c>
      <c r="AB15" s="1348">
        <f t="shared" si="4"/>
        <v>1</v>
      </c>
      <c r="AC15" s="1348">
        <f t="shared" si="5"/>
        <v>1</v>
      </c>
    </row>
    <row r="16" spans="1:30" ht="15">
      <c r="A16" s="379"/>
      <c r="B16" s="397"/>
      <c r="C16" s="398"/>
      <c r="D16" s="399"/>
      <c r="E16" s="1892"/>
      <c r="F16" s="399"/>
      <c r="G16" s="1892"/>
      <c r="H16" s="401"/>
      <c r="I16" s="1891"/>
      <c r="J16" s="399"/>
      <c r="K16" s="620"/>
      <c r="L16" s="2715"/>
      <c r="M16" s="2709"/>
      <c r="N16" s="2709"/>
      <c r="O16" s="2767"/>
      <c r="P16" s="3763"/>
      <c r="Q16" s="1347"/>
      <c r="R16" s="703"/>
      <c r="S16" s="704"/>
      <c r="T16" s="703"/>
      <c r="U16" s="704"/>
      <c r="V16" s="703"/>
      <c r="W16" s="704"/>
      <c r="X16" s="1350"/>
      <c r="Y16" s="3763"/>
      <c r="Z16" s="1351"/>
      <c r="AA16" s="1348">
        <v>1</v>
      </c>
      <c r="AB16" s="1348">
        <v>1</v>
      </c>
      <c r="AC16" s="1348">
        <v>1</v>
      </c>
    </row>
    <row r="17" spans="1:29" ht="71.25">
      <c r="A17" s="379"/>
      <c r="B17" s="402" t="s">
        <v>1776</v>
      </c>
      <c r="C17" s="1949"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63"/>
      <c r="Q17" s="1347" t="str">
        <f>B17</f>
        <v>商业繁华度</v>
      </c>
      <c r="R17" s="703" t="s">
        <v>14</v>
      </c>
      <c r="S17" s="704">
        <f>F17</f>
        <v>100</v>
      </c>
      <c r="T17" s="703" t="s">
        <v>14</v>
      </c>
      <c r="U17" s="704">
        <f>H17</f>
        <v>100</v>
      </c>
      <c r="V17" s="703" t="s">
        <v>14</v>
      </c>
      <c r="W17" s="704">
        <f>J17</f>
        <v>100</v>
      </c>
      <c r="X17" s="1350"/>
      <c r="Y17" s="3763"/>
      <c r="Z17" s="1351" t="str">
        <f>Q17</f>
        <v>商业繁华度</v>
      </c>
      <c r="AA17" s="1348">
        <f t="shared" si="3"/>
        <v>1</v>
      </c>
      <c r="AB17" s="1348">
        <f t="shared" si="4"/>
        <v>1</v>
      </c>
      <c r="AC17" s="1348">
        <f t="shared" si="5"/>
        <v>1</v>
      </c>
    </row>
    <row r="18" spans="1:29" ht="15">
      <c r="A18" s="379"/>
      <c r="B18" s="407"/>
      <c r="C18" s="1895"/>
      <c r="D18" s="401"/>
      <c r="E18" s="1897"/>
      <c r="F18" s="401"/>
      <c r="G18" s="1897"/>
      <c r="H18" s="399"/>
      <c r="I18" s="1896"/>
      <c r="J18" s="399"/>
      <c r="K18" s="620"/>
      <c r="L18" s="2715"/>
      <c r="M18" s="2709"/>
      <c r="N18" s="2709"/>
      <c r="O18" s="2767"/>
      <c r="P18" s="3763"/>
      <c r="Q18" s="1347"/>
      <c r="R18" s="703"/>
      <c r="S18" s="704"/>
      <c r="T18" s="703"/>
      <c r="U18" s="704"/>
      <c r="V18" s="703"/>
      <c r="W18" s="704"/>
      <c r="X18" s="1350"/>
      <c r="Y18" s="3763"/>
      <c r="Z18" s="1351"/>
      <c r="AA18" s="1348">
        <v>1</v>
      </c>
      <c r="AB18" s="1348">
        <v>1</v>
      </c>
      <c r="AC18" s="1348">
        <v>1</v>
      </c>
    </row>
    <row r="19" spans="1:29" ht="71.25">
      <c r="A19" s="379"/>
      <c r="B19" s="402" t="s">
        <v>1810</v>
      </c>
      <c r="C19" s="1949"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63"/>
      <c r="Q19" s="1347" t="str">
        <f>B19</f>
        <v>办公集聚程度</v>
      </c>
      <c r="R19" s="703" t="s">
        <v>14</v>
      </c>
      <c r="S19" s="704">
        <f>F19</f>
        <v>100</v>
      </c>
      <c r="T19" s="703" t="s">
        <v>14</v>
      </c>
      <c r="U19" s="704">
        <f>H19</f>
        <v>100</v>
      </c>
      <c r="V19" s="703" t="s">
        <v>14</v>
      </c>
      <c r="W19" s="704">
        <f>J19</f>
        <v>100</v>
      </c>
      <c r="X19" s="1350"/>
      <c r="Y19" s="3763"/>
      <c r="Z19" s="1351" t="str">
        <f>Q19</f>
        <v>办公集聚程度</v>
      </c>
      <c r="AA19" s="1348">
        <f t="shared" si="3"/>
        <v>1</v>
      </c>
      <c r="AB19" s="1348">
        <f t="shared" si="4"/>
        <v>1</v>
      </c>
      <c r="AC19" s="1348">
        <f t="shared" si="5"/>
        <v>1</v>
      </c>
    </row>
    <row r="20" spans="1:29" ht="15">
      <c r="A20" s="379"/>
      <c r="B20" s="407"/>
      <c r="C20" s="398"/>
      <c r="D20" s="399"/>
      <c r="E20" s="1892"/>
      <c r="F20" s="399"/>
      <c r="G20" s="1892"/>
      <c r="H20" s="399"/>
      <c r="I20" s="1891"/>
      <c r="J20" s="399"/>
      <c r="K20" s="620"/>
      <c r="L20" s="2715"/>
      <c r="M20" s="2709"/>
      <c r="N20" s="2709"/>
      <c r="O20" s="2767"/>
      <c r="P20" s="3763"/>
      <c r="Q20" s="1347"/>
      <c r="R20" s="703"/>
      <c r="S20" s="704"/>
      <c r="T20" s="703"/>
      <c r="U20" s="704"/>
      <c r="V20" s="703"/>
      <c r="W20" s="704"/>
      <c r="X20" s="1350"/>
      <c r="Y20" s="3763"/>
      <c r="Z20" s="1351"/>
      <c r="AA20" s="1348">
        <v>1</v>
      </c>
      <c r="AB20" s="1348">
        <v>1</v>
      </c>
      <c r="AC20" s="1348">
        <v>1</v>
      </c>
    </row>
    <row r="21" spans="1:29" ht="85.5">
      <c r="A21" s="379"/>
      <c r="B21" s="402" t="s">
        <v>1832</v>
      </c>
      <c r="C21" s="1894"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63"/>
      <c r="Q21" s="1347" t="str">
        <f>B21</f>
        <v>交通便捷度</v>
      </c>
      <c r="R21" s="703" t="s">
        <v>14</v>
      </c>
      <c r="S21" s="704">
        <f>F21</f>
        <v>100</v>
      </c>
      <c r="T21" s="703" t="s">
        <v>14</v>
      </c>
      <c r="U21" s="704">
        <f>H21</f>
        <v>100</v>
      </c>
      <c r="V21" s="703" t="s">
        <v>14</v>
      </c>
      <c r="W21" s="704">
        <f>J21</f>
        <v>100</v>
      </c>
      <c r="X21" s="1350"/>
      <c r="Y21" s="3763"/>
      <c r="Z21" s="1351" t="str">
        <f>Q21</f>
        <v>交通便捷度</v>
      </c>
      <c r="AA21" s="1348">
        <f t="shared" si="3"/>
        <v>1</v>
      </c>
      <c r="AB21" s="1348">
        <f t="shared" si="4"/>
        <v>1</v>
      </c>
      <c r="AC21" s="1348">
        <f t="shared" si="5"/>
        <v>1</v>
      </c>
    </row>
    <row r="22" spans="1:29" ht="15">
      <c r="A22" s="379"/>
      <c r="B22" s="1126"/>
      <c r="C22" s="398"/>
      <c r="D22" s="401"/>
      <c r="E22" s="1892"/>
      <c r="F22" s="399"/>
      <c r="G22" s="1892"/>
      <c r="H22" s="399"/>
      <c r="I22" s="1891"/>
      <c r="J22" s="399"/>
      <c r="K22" s="620"/>
      <c r="L22" s="2715"/>
      <c r="M22" s="2709"/>
      <c r="N22" s="2709"/>
      <c r="O22" s="2767"/>
      <c r="P22" s="3763"/>
      <c r="Q22" s="1347"/>
      <c r="R22" s="703"/>
      <c r="S22" s="704"/>
      <c r="T22" s="703"/>
      <c r="U22" s="704"/>
      <c r="V22" s="703"/>
      <c r="W22" s="704"/>
      <c r="X22" s="1350"/>
      <c r="Y22" s="3763"/>
      <c r="Z22" s="1351"/>
      <c r="AA22" s="1348">
        <v>1</v>
      </c>
      <c r="AB22" s="1348">
        <v>1</v>
      </c>
      <c r="AC22" s="1348">
        <v>1</v>
      </c>
    </row>
    <row r="23" spans="1:29" ht="15">
      <c r="A23" s="358"/>
      <c r="B23" s="402" t="s">
        <v>1870</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63"/>
      <c r="Q23" s="1347" t="str">
        <f t="shared" ref="Q23:Q37" si="8">B23</f>
        <v>区域土地利用方向</v>
      </c>
      <c r="R23" s="703" t="s">
        <v>14</v>
      </c>
      <c r="S23" s="704">
        <f>F23</f>
        <v>100</v>
      </c>
      <c r="T23" s="703" t="s">
        <v>14</v>
      </c>
      <c r="U23" s="704">
        <f>H23</f>
        <v>100</v>
      </c>
      <c r="V23" s="703" t="s">
        <v>14</v>
      </c>
      <c r="W23" s="704">
        <f>J23</f>
        <v>100</v>
      </c>
      <c r="X23" s="1350"/>
      <c r="Y23" s="3763"/>
      <c r="Z23" s="1351" t="str">
        <f>Q23</f>
        <v>区域土地利用方向</v>
      </c>
      <c r="AA23" s="1348">
        <f t="shared" si="3"/>
        <v>1</v>
      </c>
      <c r="AB23" s="1348">
        <f t="shared" si="4"/>
        <v>1</v>
      </c>
      <c r="AC23" s="1348">
        <f t="shared" si="5"/>
        <v>1</v>
      </c>
    </row>
    <row r="24" spans="1:29" ht="15">
      <c r="A24" s="358"/>
      <c r="B24" s="407"/>
      <c r="C24" s="565"/>
      <c r="D24" s="399"/>
      <c r="E24" s="1892"/>
      <c r="F24" s="399"/>
      <c r="G24" s="1891"/>
      <c r="H24" s="399"/>
      <c r="I24" s="1891"/>
      <c r="J24" s="399"/>
      <c r="K24" s="735"/>
      <c r="L24" s="2715"/>
      <c r="M24" s="2709"/>
      <c r="N24" s="2709"/>
      <c r="O24" s="2767"/>
      <c r="P24" s="3763"/>
      <c r="Q24" s="1347"/>
      <c r="R24" s="703"/>
      <c r="S24" s="704"/>
      <c r="T24" s="703"/>
      <c r="U24" s="704"/>
      <c r="V24" s="703"/>
      <c r="W24" s="704"/>
      <c r="X24" s="1350"/>
      <c r="Y24" s="3763"/>
      <c r="Z24" s="1351"/>
      <c r="AA24" s="1348"/>
      <c r="AB24" s="1348"/>
      <c r="AC24" s="1348"/>
    </row>
    <row r="25" spans="1:29" ht="57">
      <c r="A25" s="358"/>
      <c r="B25" s="1126" t="s">
        <v>1871</v>
      </c>
      <c r="C25" s="1949"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63"/>
      <c r="Q25" s="1347" t="str">
        <f t="shared" si="8"/>
        <v>自然及人文环境状况</v>
      </c>
      <c r="R25" s="703" t="s">
        <v>14</v>
      </c>
      <c r="S25" s="704">
        <f>F25</f>
        <v>100</v>
      </c>
      <c r="T25" s="703" t="s">
        <v>14</v>
      </c>
      <c r="U25" s="704">
        <f>H25</f>
        <v>100</v>
      </c>
      <c r="V25" s="703" t="s">
        <v>14</v>
      </c>
      <c r="W25" s="704">
        <f>J25</f>
        <v>100</v>
      </c>
      <c r="X25" s="1350"/>
      <c r="Y25" s="3763"/>
      <c r="Z25" s="1351" t="str">
        <f>Q25</f>
        <v>自然及人文环境状况</v>
      </c>
      <c r="AA25" s="1348">
        <f t="shared" si="3"/>
        <v>1</v>
      </c>
      <c r="AB25" s="1348">
        <f t="shared" si="4"/>
        <v>1</v>
      </c>
      <c r="AC25" s="1348">
        <f t="shared" si="5"/>
        <v>1</v>
      </c>
    </row>
    <row r="26" spans="1:29" ht="15">
      <c r="A26" s="358"/>
      <c r="B26" s="407"/>
      <c r="C26" s="398"/>
      <c r="D26" s="399"/>
      <c r="E26" s="1898"/>
      <c r="F26" s="399"/>
      <c r="G26" s="1898"/>
      <c r="H26" s="399"/>
      <c r="I26" s="398"/>
      <c r="J26" s="399"/>
      <c r="K26" s="620"/>
      <c r="L26" s="2715"/>
      <c r="M26" s="2709"/>
      <c r="N26" s="2709"/>
      <c r="O26" s="2767"/>
      <c r="P26" s="3763"/>
      <c r="Q26" s="1347"/>
      <c r="R26" s="703"/>
      <c r="S26" s="704"/>
      <c r="T26" s="703"/>
      <c r="U26" s="704"/>
      <c r="V26" s="703"/>
      <c r="W26" s="704"/>
      <c r="X26" s="1350"/>
      <c r="Y26" s="3763"/>
      <c r="Z26" s="1351"/>
      <c r="AA26" s="1348">
        <v>1</v>
      </c>
      <c r="AB26" s="1348">
        <v>1</v>
      </c>
      <c r="AC26" s="1348">
        <v>1</v>
      </c>
    </row>
    <row r="27" spans="1:29" s="108" customFormat="1" ht="42.75">
      <c r="A27" s="597"/>
      <c r="B27" s="1126" t="s">
        <v>1777</v>
      </c>
      <c r="C27" s="1894"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63"/>
      <c r="Q27" s="1338" t="str">
        <f t="shared" si="8"/>
        <v>公共配套设施</v>
      </c>
      <c r="R27" s="699" t="s">
        <v>14</v>
      </c>
      <c r="S27" s="700">
        <f>F27</f>
        <v>100</v>
      </c>
      <c r="T27" s="699" t="s">
        <v>14</v>
      </c>
      <c r="U27" s="700">
        <f>H27</f>
        <v>100</v>
      </c>
      <c r="V27" s="699" t="s">
        <v>14</v>
      </c>
      <c r="W27" s="700">
        <f>J27</f>
        <v>100</v>
      </c>
      <c r="X27" s="701"/>
      <c r="Y27" s="3763"/>
      <c r="Z27" s="52" t="str">
        <f>Q27</f>
        <v>公共配套设施</v>
      </c>
      <c r="AA27" s="1348">
        <f>D27/F27</f>
        <v>1</v>
      </c>
      <c r="AB27" s="1348">
        <f>D27/H27</f>
        <v>1</v>
      </c>
      <c r="AC27" s="1348">
        <f>D27/J27</f>
        <v>1</v>
      </c>
    </row>
    <row r="28" spans="1:29" s="108" customFormat="1" ht="15">
      <c r="A28" s="597"/>
      <c r="B28" s="407"/>
      <c r="C28" s="1972"/>
      <c r="D28" s="399"/>
      <c r="E28" s="1898"/>
      <c r="F28" s="399"/>
      <c r="G28" s="1898"/>
      <c r="H28" s="399"/>
      <c r="I28" s="398"/>
      <c r="J28" s="399"/>
      <c r="K28" s="620"/>
      <c r="L28" s="2710"/>
      <c r="M28" s="2711"/>
      <c r="N28" s="2711"/>
      <c r="O28" s="2765"/>
      <c r="P28" s="3763"/>
      <c r="Q28" s="1338"/>
      <c r="R28" s="699"/>
      <c r="S28" s="700"/>
      <c r="T28" s="699"/>
      <c r="U28" s="700"/>
      <c r="V28" s="699"/>
      <c r="W28" s="700"/>
      <c r="X28" s="701"/>
      <c r="Y28" s="3763"/>
      <c r="Z28" s="52"/>
      <c r="AA28" s="1348">
        <v>1</v>
      </c>
      <c r="AB28" s="1348">
        <v>1</v>
      </c>
      <c r="AC28" s="1348">
        <v>1</v>
      </c>
    </row>
    <row r="29" spans="1:29" s="108" customFormat="1" ht="28.5">
      <c r="A29" s="597"/>
      <c r="B29" s="1126" t="s">
        <v>1778</v>
      </c>
      <c r="C29" s="1894"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63"/>
      <c r="Q29" s="1338" t="str">
        <f t="shared" ref="Q29" si="9">B29</f>
        <v>基础设施水平</v>
      </c>
      <c r="R29" s="699" t="s">
        <v>14</v>
      </c>
      <c r="S29" s="700">
        <f>F29</f>
        <v>100</v>
      </c>
      <c r="T29" s="699" t="s">
        <v>14</v>
      </c>
      <c r="U29" s="700">
        <f>H29</f>
        <v>100</v>
      </c>
      <c r="V29" s="699" t="s">
        <v>14</v>
      </c>
      <c r="W29" s="700">
        <f>J29</f>
        <v>100</v>
      </c>
      <c r="X29" s="701"/>
      <c r="Y29" s="3763"/>
      <c r="Z29" s="52" t="str">
        <f>Q29</f>
        <v>基础设施水平</v>
      </c>
      <c r="AA29" s="1348">
        <f>D29/F29</f>
        <v>1</v>
      </c>
      <c r="AB29" s="1348">
        <f>D29/H29</f>
        <v>1</v>
      </c>
      <c r="AC29" s="1348">
        <f>D29/J29</f>
        <v>1</v>
      </c>
    </row>
    <row r="30" spans="1:29" s="108" customFormat="1" ht="15">
      <c r="A30" s="597"/>
      <c r="B30" s="407"/>
      <c r="C30" s="1972"/>
      <c r="D30" s="399"/>
      <c r="E30" s="1973"/>
      <c r="F30" s="399"/>
      <c r="G30" s="1973"/>
      <c r="H30" s="399"/>
      <c r="I30" s="1973"/>
      <c r="J30" s="399"/>
      <c r="K30" s="620"/>
      <c r="L30" s="2710"/>
      <c r="M30" s="2711"/>
      <c r="N30" s="2711"/>
      <c r="O30" s="2765"/>
      <c r="P30" s="3763"/>
      <c r="Q30" s="1338"/>
      <c r="R30" s="699"/>
      <c r="S30" s="700"/>
      <c r="T30" s="699"/>
      <c r="U30" s="700"/>
      <c r="V30" s="699"/>
      <c r="W30" s="700"/>
      <c r="X30" s="701"/>
      <c r="Y30" s="3763"/>
      <c r="Z30" s="52"/>
      <c r="AA30" s="1348">
        <v>1</v>
      </c>
      <c r="AB30" s="1348">
        <v>1</v>
      </c>
      <c r="AC30" s="1348">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63"/>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3763"/>
      <c r="Z31" s="1351" t="str">
        <f t="shared" ref="Z31:Z45" si="13">Q31</f>
        <v>临街状况</v>
      </c>
      <c r="AA31" s="1348">
        <f t="shared" si="3"/>
        <v>1</v>
      </c>
      <c r="AB31" s="1348">
        <f t="shared" si="4"/>
        <v>1</v>
      </c>
      <c r="AC31" s="1348">
        <f t="shared" si="5"/>
        <v>1</v>
      </c>
    </row>
    <row r="32" spans="1:29" ht="27">
      <c r="A32" s="379"/>
      <c r="B32" s="1126"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63"/>
      <c r="Q32" s="1347" t="str">
        <f t="shared" si="8"/>
        <v>毗邻道路的类型与等级</v>
      </c>
      <c r="R32" s="703" t="s">
        <v>14</v>
      </c>
      <c r="S32" s="704">
        <f t="shared" si="10"/>
        <v>100</v>
      </c>
      <c r="T32" s="703" t="s">
        <v>14</v>
      </c>
      <c r="U32" s="704">
        <f t="shared" si="11"/>
        <v>100</v>
      </c>
      <c r="V32" s="703" t="s">
        <v>14</v>
      </c>
      <c r="W32" s="704">
        <f t="shared" si="12"/>
        <v>100</v>
      </c>
      <c r="X32" s="1350"/>
      <c r="Y32" s="3763"/>
      <c r="Z32" s="1351" t="str">
        <f t="shared" si="13"/>
        <v>毗邻道路的类型与等级</v>
      </c>
      <c r="AA32" s="1348">
        <f t="shared" si="3"/>
        <v>1</v>
      </c>
      <c r="AB32" s="1348">
        <f t="shared" si="4"/>
        <v>1</v>
      </c>
      <c r="AC32" s="1348">
        <f t="shared" si="5"/>
        <v>1</v>
      </c>
    </row>
    <row r="33" spans="1:29" ht="15">
      <c r="A33" s="379"/>
      <c r="B33" s="407"/>
      <c r="C33" s="398"/>
      <c r="D33" s="399"/>
      <c r="E33" s="1898"/>
      <c r="F33" s="399"/>
      <c r="G33" s="1898"/>
      <c r="H33" s="399"/>
      <c r="I33" s="398"/>
      <c r="J33" s="399"/>
      <c r="K33" s="562"/>
      <c r="L33" s="2715"/>
      <c r="M33" s="2709"/>
      <c r="N33" s="2709"/>
      <c r="O33" s="2767"/>
      <c r="P33" s="3763"/>
      <c r="Q33" s="1347"/>
      <c r="R33" s="703"/>
      <c r="S33" s="704"/>
      <c r="T33" s="703"/>
      <c r="U33" s="704"/>
      <c r="V33" s="703"/>
      <c r="W33" s="704"/>
      <c r="X33" s="1350"/>
      <c r="Y33" s="3763"/>
      <c r="Z33" s="1351"/>
      <c r="AA33" s="1348">
        <v>1</v>
      </c>
      <c r="AB33" s="1348">
        <v>1</v>
      </c>
      <c r="AC33" s="1348">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63"/>
      <c r="Q34" s="1347" t="str">
        <f t="shared" si="8"/>
        <v>土地级别</v>
      </c>
      <c r="R34" s="703" t="s">
        <v>14</v>
      </c>
      <c r="S34" s="704">
        <f t="shared" si="10"/>
        <v>100</v>
      </c>
      <c r="T34" s="703" t="s">
        <v>14</v>
      </c>
      <c r="U34" s="704">
        <f t="shared" si="11"/>
        <v>100</v>
      </c>
      <c r="V34" s="703" t="s">
        <v>14</v>
      </c>
      <c r="W34" s="704">
        <f t="shared" si="12"/>
        <v>100</v>
      </c>
      <c r="X34" s="1350"/>
      <c r="Y34" s="3763"/>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63"/>
      <c r="Q35" s="1347">
        <f t="shared" si="8"/>
        <v>111</v>
      </c>
      <c r="R35" s="703" t="s">
        <v>14</v>
      </c>
      <c r="S35" s="704">
        <f t="shared" si="10"/>
        <v>100</v>
      </c>
      <c r="T35" s="703" t="s">
        <v>14</v>
      </c>
      <c r="U35" s="704">
        <f t="shared" si="11"/>
        <v>100</v>
      </c>
      <c r="V35" s="703" t="s">
        <v>14</v>
      </c>
      <c r="W35" s="704">
        <f t="shared" si="12"/>
        <v>100</v>
      </c>
      <c r="X35" s="1350"/>
      <c r="Y35" s="3763"/>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86" t="s">
        <v>1695</v>
      </c>
      <c r="Q36" s="1347">
        <f t="shared" si="8"/>
        <v>111</v>
      </c>
      <c r="R36" s="703" t="s">
        <v>14</v>
      </c>
      <c r="S36" s="704">
        <f t="shared" si="10"/>
        <v>100</v>
      </c>
      <c r="T36" s="703" t="s">
        <v>14</v>
      </c>
      <c r="U36" s="704">
        <f t="shared" si="11"/>
        <v>100</v>
      </c>
      <c r="V36" s="703" t="s">
        <v>14</v>
      </c>
      <c r="W36" s="704">
        <f t="shared" si="12"/>
        <v>100</v>
      </c>
      <c r="X36" s="1350"/>
      <c r="Y36" s="3767" t="s">
        <v>1695</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67"/>
      <c r="Q37" s="1347">
        <f t="shared" si="8"/>
        <v>111</v>
      </c>
      <c r="R37" s="706" t="s">
        <v>14</v>
      </c>
      <c r="S37" s="707">
        <f t="shared" si="10"/>
        <v>100</v>
      </c>
      <c r="T37" s="706" t="s">
        <v>14</v>
      </c>
      <c r="U37" s="707">
        <f t="shared" si="11"/>
        <v>100</v>
      </c>
      <c r="V37" s="706" t="s">
        <v>14</v>
      </c>
      <c r="W37" s="707">
        <f t="shared" si="12"/>
        <v>100</v>
      </c>
      <c r="X37" s="708"/>
      <c r="Y37" s="3767"/>
      <c r="Z37" s="709">
        <f t="shared" si="13"/>
        <v>111</v>
      </c>
      <c r="AA37" s="1348">
        <f t="shared" si="3"/>
        <v>1</v>
      </c>
      <c r="AB37" s="1348">
        <f t="shared" si="4"/>
        <v>1</v>
      </c>
      <c r="AC37" s="1348">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67"/>
      <c r="Q38" s="1347" t="str">
        <f>B38</f>
        <v>宗地面积</v>
      </c>
      <c r="R38" s="703" t="s">
        <v>14</v>
      </c>
      <c r="S38" s="704" t="e">
        <f t="shared" si="10"/>
        <v>#N/A</v>
      </c>
      <c r="T38" s="703" t="s">
        <v>14</v>
      </c>
      <c r="U38" s="704" t="e">
        <f t="shared" si="11"/>
        <v>#N/A</v>
      </c>
      <c r="V38" s="703" t="s">
        <v>14</v>
      </c>
      <c r="W38" s="704" t="e">
        <f t="shared" si="12"/>
        <v>#N/A</v>
      </c>
      <c r="X38" s="1350"/>
      <c r="Y38" s="3767"/>
      <c r="Z38" s="1351" t="str">
        <f t="shared" si="13"/>
        <v>宗地面积</v>
      </c>
      <c r="AA38" s="1348" t="e">
        <f t="shared" si="3"/>
        <v>#N/A</v>
      </c>
      <c r="AB38" s="1348" t="e">
        <f t="shared" si="4"/>
        <v>#N/A</v>
      </c>
      <c r="AC38" s="1348" t="e">
        <f t="shared" si="5"/>
        <v>#N/A</v>
      </c>
    </row>
    <row r="39" spans="1:29" ht="15">
      <c r="A39" s="423"/>
      <c r="B39" s="375" t="s">
        <v>1874</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61"/>
      <c r="L39" s="2715"/>
      <c r="M39" s="2709"/>
      <c r="N39" s="2709"/>
      <c r="O39" s="2767"/>
      <c r="P39" s="3767"/>
      <c r="Q39" s="1347" t="str">
        <f t="shared" ref="Q39:Q45" si="14">B39</f>
        <v>宗地形状</v>
      </c>
      <c r="R39" s="703" t="s">
        <v>14</v>
      </c>
      <c r="S39" s="704">
        <f t="shared" si="10"/>
        <v>100</v>
      </c>
      <c r="T39" s="703" t="s">
        <v>14</v>
      </c>
      <c r="U39" s="704">
        <f t="shared" si="11"/>
        <v>100</v>
      </c>
      <c r="V39" s="703" t="s">
        <v>14</v>
      </c>
      <c r="W39" s="704">
        <f t="shared" si="12"/>
        <v>100</v>
      </c>
      <c r="X39" s="1350"/>
      <c r="Y39" s="3767"/>
      <c r="Z39" s="1351" t="str">
        <f t="shared" si="13"/>
        <v>宗地形状</v>
      </c>
      <c r="AA39" s="1348">
        <f t="shared" si="3"/>
        <v>1</v>
      </c>
      <c r="AB39" s="1348">
        <f t="shared" si="4"/>
        <v>1</v>
      </c>
      <c r="AC39" s="1348">
        <f t="shared" si="5"/>
        <v>1</v>
      </c>
    </row>
    <row r="40" spans="1:29" ht="15">
      <c r="A40" s="423"/>
      <c r="B40" s="375" t="s">
        <v>1875</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c r="L40" s="2715"/>
      <c r="M40" s="2709"/>
      <c r="N40" s="2709"/>
      <c r="O40" s="2767"/>
      <c r="P40" s="3767"/>
      <c r="Q40" s="1347" t="str">
        <f t="shared" si="14"/>
        <v>临街宽度及深度</v>
      </c>
      <c r="R40" s="703" t="s">
        <v>14</v>
      </c>
      <c r="S40" s="704">
        <f t="shared" si="10"/>
        <v>100</v>
      </c>
      <c r="T40" s="703" t="s">
        <v>14</v>
      </c>
      <c r="U40" s="704">
        <f t="shared" si="11"/>
        <v>100</v>
      </c>
      <c r="V40" s="703" t="s">
        <v>14</v>
      </c>
      <c r="W40" s="704">
        <f t="shared" si="12"/>
        <v>100</v>
      </c>
      <c r="X40" s="1350"/>
      <c r="Y40" s="3767"/>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61"/>
      <c r="L41" s="2710"/>
      <c r="M41" s="2711"/>
      <c r="N41" s="2711"/>
      <c r="O41" s="2765"/>
      <c r="P41" s="3767"/>
      <c r="Q41" s="1347" t="str">
        <f t="shared" si="14"/>
        <v>宗地开发程度</v>
      </c>
      <c r="R41" s="699" t="s">
        <v>14</v>
      </c>
      <c r="S41" s="700">
        <f t="shared" si="10"/>
        <v>100</v>
      </c>
      <c r="T41" s="699" t="s">
        <v>14</v>
      </c>
      <c r="U41" s="700">
        <f t="shared" si="11"/>
        <v>100</v>
      </c>
      <c r="V41" s="699" t="s">
        <v>14</v>
      </c>
      <c r="W41" s="700">
        <f t="shared" si="12"/>
        <v>100</v>
      </c>
      <c r="X41" s="701"/>
      <c r="Y41" s="3767"/>
      <c r="Z41" s="52" t="str">
        <f t="shared" si="13"/>
        <v>宗地开发程度</v>
      </c>
      <c r="AA41" s="702">
        <f t="shared" si="3"/>
        <v>1</v>
      </c>
      <c r="AB41" s="702">
        <f t="shared" si="4"/>
        <v>1</v>
      </c>
      <c r="AC41" s="702">
        <f t="shared" si="5"/>
        <v>1</v>
      </c>
    </row>
    <row r="42" spans="1:29" ht="15">
      <c r="A42" s="423"/>
      <c r="B42" s="375" t="s">
        <v>1877</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61"/>
      <c r="L42" s="2715"/>
      <c r="M42" s="2709"/>
      <c r="N42" s="2709"/>
      <c r="O42" s="2767"/>
      <c r="P42" s="3767" t="s">
        <v>1695</v>
      </c>
      <c r="Q42" s="1347" t="str">
        <f t="shared" si="14"/>
        <v>工程地质条件</v>
      </c>
      <c r="R42" s="703" t="s">
        <v>14</v>
      </c>
      <c r="S42" s="704">
        <f t="shared" si="10"/>
        <v>100</v>
      </c>
      <c r="T42" s="703" t="s">
        <v>14</v>
      </c>
      <c r="U42" s="704">
        <f t="shared" si="11"/>
        <v>100</v>
      </c>
      <c r="V42" s="703" t="s">
        <v>14</v>
      </c>
      <c r="W42" s="704">
        <f t="shared" si="12"/>
        <v>100</v>
      </c>
      <c r="X42" s="1350"/>
      <c r="Y42" s="3767" t="s">
        <v>1695</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67"/>
      <c r="Q43" s="1347">
        <f t="shared" si="14"/>
        <v>111</v>
      </c>
      <c r="R43" s="703" t="s">
        <v>14</v>
      </c>
      <c r="S43" s="704">
        <f t="shared" si="10"/>
        <v>100</v>
      </c>
      <c r="T43" s="703" t="s">
        <v>14</v>
      </c>
      <c r="U43" s="704">
        <f t="shared" si="11"/>
        <v>100</v>
      </c>
      <c r="V43" s="703" t="s">
        <v>14</v>
      </c>
      <c r="W43" s="704">
        <f t="shared" si="12"/>
        <v>100</v>
      </c>
      <c r="X43" s="1350"/>
      <c r="Y43" s="3767"/>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67"/>
      <c r="Q44" s="1347">
        <f t="shared" si="14"/>
        <v>111</v>
      </c>
      <c r="R44" s="703" t="s">
        <v>14</v>
      </c>
      <c r="S44" s="704">
        <f t="shared" si="10"/>
        <v>100</v>
      </c>
      <c r="T44" s="703" t="s">
        <v>14</v>
      </c>
      <c r="U44" s="704">
        <f t="shared" si="11"/>
        <v>100</v>
      </c>
      <c r="V44" s="703" t="s">
        <v>14</v>
      </c>
      <c r="W44" s="704">
        <f t="shared" si="12"/>
        <v>100</v>
      </c>
      <c r="X44" s="1350"/>
      <c r="Y44" s="3767"/>
      <c r="Z44" s="1351">
        <f t="shared" si="13"/>
        <v>111</v>
      </c>
      <c r="AA44" s="1348">
        <f t="shared" si="3"/>
        <v>1</v>
      </c>
      <c r="AB44" s="1348">
        <f t="shared" si="4"/>
        <v>1</v>
      </c>
      <c r="AC44" s="1348">
        <f t="shared" si="5"/>
        <v>1</v>
      </c>
    </row>
    <row r="45" spans="1:29" s="422" customFormat="1" ht="15.75" thickBot="1">
      <c r="A45" s="419"/>
      <c r="B45" s="1129">
        <v>111</v>
      </c>
      <c r="C45" s="1975"/>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67"/>
      <c r="Q45" s="1347">
        <f t="shared" si="14"/>
        <v>111</v>
      </c>
      <c r="R45" s="706" t="s">
        <v>14</v>
      </c>
      <c r="S45" s="707">
        <f t="shared" si="10"/>
        <v>100</v>
      </c>
      <c r="T45" s="706" t="s">
        <v>14</v>
      </c>
      <c r="U45" s="707">
        <f t="shared" si="11"/>
        <v>100</v>
      </c>
      <c r="V45" s="706" t="s">
        <v>14</v>
      </c>
      <c r="W45" s="707">
        <f t="shared" si="12"/>
        <v>100</v>
      </c>
      <c r="X45" s="708"/>
      <c r="Y45" s="3767"/>
      <c r="Z45" s="709">
        <f t="shared" si="13"/>
        <v>111</v>
      </c>
      <c r="AA45" s="1348">
        <f t="shared" si="3"/>
        <v>1</v>
      </c>
      <c r="AB45" s="1348">
        <f t="shared" si="4"/>
        <v>1</v>
      </c>
      <c r="AC45" s="1348">
        <f t="shared" si="5"/>
        <v>1</v>
      </c>
    </row>
    <row r="46" spans="1:29" ht="15">
      <c r="A46" s="430" t="s">
        <v>1843</v>
      </c>
      <c r="B46" s="1976" t="s">
        <v>1878</v>
      </c>
      <c r="C46" s="630" t="s">
        <v>0</v>
      </c>
      <c r="D46" s="432"/>
      <c r="E46" s="433"/>
      <c r="F46" s="434"/>
      <c r="G46" s="435"/>
      <c r="H46" s="436"/>
      <c r="I46" s="433"/>
      <c r="J46" s="436"/>
      <c r="K46" s="712"/>
      <c r="L46" s="2717"/>
      <c r="M46" s="2718"/>
      <c r="N46" s="2709"/>
      <c r="O46" s="2718"/>
      <c r="P46" s="3760" t="str">
        <f>A46</f>
        <v>成交单价</v>
      </c>
      <c r="Q46" s="3760"/>
      <c r="R46" s="3755">
        <f>E46</f>
        <v>0</v>
      </c>
      <c r="S46" s="3755"/>
      <c r="T46" s="3755">
        <f>G46</f>
        <v>0</v>
      </c>
      <c r="U46" s="3755"/>
      <c r="V46" s="3755">
        <f>I46</f>
        <v>0</v>
      </c>
      <c r="W46" s="3755"/>
      <c r="X46" s="688"/>
      <c r="Y46" s="710"/>
      <c r="Z46" s="688"/>
      <c r="AA46" s="688"/>
      <c r="AB46" s="688"/>
      <c r="AC46" s="688"/>
    </row>
    <row r="47" spans="1:29" ht="15.75" thickBot="1">
      <c r="A47" s="437" t="s">
        <v>1792</v>
      </c>
      <c r="B47" s="631"/>
      <c r="C47" s="440" t="e">
        <f>R48</f>
        <v>#DIV/0!</v>
      </c>
      <c r="D47" s="2311" t="s">
        <v>2136</v>
      </c>
      <c r="E47" s="440" t="e">
        <f>R47</f>
        <v>#DIV/0!</v>
      </c>
      <c r="F47" s="2312"/>
      <c r="G47" s="439" t="e">
        <f>T47</f>
        <v>#DIV/0!</v>
      </c>
      <c r="H47" s="2312"/>
      <c r="I47" s="440" t="e">
        <f>V47</f>
        <v>#DIV/0!</v>
      </c>
      <c r="J47" s="2312"/>
      <c r="K47" s="2314">
        <f>F47+H47+J47</f>
        <v>0</v>
      </c>
      <c r="L47" s="2717"/>
      <c r="M47" s="2718"/>
      <c r="N47" s="2718"/>
      <c r="O47" s="2718"/>
      <c r="P47" s="3760" t="str">
        <f>A47</f>
        <v>比较价值（元/平方米）</v>
      </c>
      <c r="Q47" s="3760"/>
      <c r="R47" s="3788" t="e">
        <f>ROUND(PRODUCT(R46,AA7:AA45),0)</f>
        <v>#DIV/0!</v>
      </c>
      <c r="S47" s="3788"/>
      <c r="T47" s="3788" t="e">
        <f>ROUND(PRODUCT(T46,AB7:AB45),0)</f>
        <v>#DIV/0!</v>
      </c>
      <c r="U47" s="3788"/>
      <c r="V47" s="3788" t="e">
        <f>ROUND(PRODUCT(V46,AC7:AC45),0)</f>
        <v>#DIV/0!</v>
      </c>
      <c r="W47" s="3788"/>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17"/>
      <c r="M48" s="2718"/>
      <c r="N48" s="2718"/>
      <c r="O48" s="2718"/>
      <c r="P48" s="3757" t="str">
        <f>A48</f>
        <v>估价对象XX用房的比较价值（楼面单价，元/平方米）</v>
      </c>
      <c r="Q48" s="3758"/>
      <c r="R48" s="3789" t="e">
        <f>ROUND(IF(D47="简单平均",AVERAGE(R47:W47),R47*F47+T47*H47+V47*J47),0)</f>
        <v>#DIV/0!</v>
      </c>
      <c r="S48" s="3789"/>
      <c r="T48" s="3789"/>
      <c r="U48" s="3789"/>
      <c r="V48" s="3789"/>
      <c r="W48" s="3789"/>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1880</v>
      </c>
      <c r="B55" s="633" t="s">
        <v>1881</v>
      </c>
      <c r="C55" s="1977" t="s">
        <v>1882</v>
      </c>
      <c r="D55" s="1978" t="s">
        <v>1883</v>
      </c>
      <c r="E55" s="634" t="s">
        <v>1884</v>
      </c>
      <c r="F55" s="885" t="s">
        <v>1885</v>
      </c>
      <c r="G55" s="3743" t="s">
        <v>1886</v>
      </c>
      <c r="H55" s="3790"/>
      <c r="I55" s="135" t="s">
        <v>1887</v>
      </c>
      <c r="J55" s="1979">
        <f>项目基本情况!F35</f>
        <v>0</v>
      </c>
      <c r="K55" s="1980" t="s">
        <v>1888</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1889</v>
      </c>
      <c r="B56" s="637" t="e">
        <f>C48</f>
        <v>#DIV/0!</v>
      </c>
      <c r="C56" s="638">
        <v>1</v>
      </c>
      <c r="D56" s="939">
        <v>1</v>
      </c>
      <c r="E56" s="638">
        <f>'数据-汇总表'!E8+'数据-汇总表'!E9</f>
        <v>116204.73999999999</v>
      </c>
      <c r="F56" s="881" t="e">
        <f t="shared" ref="F56:F64" si="15">ROUND(B56*E56/10000,0)</f>
        <v>#DIV/0!</v>
      </c>
      <c r="G56" s="3742"/>
      <c r="H56" s="3760"/>
      <c r="I56" s="886">
        <v>1</v>
      </c>
      <c r="J56" s="889">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1890</v>
      </c>
      <c r="B57" s="218" t="e">
        <f>ROUND($C$48*C57*D57,0)</f>
        <v>#DIV/0!</v>
      </c>
      <c r="C57" s="171">
        <f t="shared" ref="C57:C64" si="16">IF($C$55="北京市系数",I57,J57)</f>
        <v>0</v>
      </c>
      <c r="D57" s="940">
        <v>0.25</v>
      </c>
      <c r="E57" s="642"/>
      <c r="F57" s="881" t="e">
        <f t="shared" si="15"/>
        <v>#DIV/0!</v>
      </c>
      <c r="G57" s="2999" t="s">
        <v>1891</v>
      </c>
      <c r="H57" s="882">
        <f>项目基本情况!B37</f>
        <v>0</v>
      </c>
      <c r="I57" s="886">
        <f>SUMIF(修正!A57:A68,H57,修正!B57:B68)</f>
        <v>0</v>
      </c>
      <c r="J57" s="890"/>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1892</v>
      </c>
      <c r="B58" s="218" t="e">
        <f t="shared" ref="B58:B64" si="17">ROUND($C$48*C58*D58,0)</f>
        <v>#DIV/0!</v>
      </c>
      <c r="C58" s="171">
        <f t="shared" si="16"/>
        <v>0</v>
      </c>
      <c r="D58" s="940">
        <v>0.25</v>
      </c>
      <c r="E58" s="642"/>
      <c r="F58" s="881" t="e">
        <f t="shared" si="15"/>
        <v>#DIV/0!</v>
      </c>
      <c r="G58" s="3000"/>
      <c r="H58" s="882">
        <f>项目基本情况!B37</f>
        <v>0</v>
      </c>
      <c r="I58" s="886">
        <f>SUMIF(修正!A57:A68,H58,修正!C57:C68)</f>
        <v>0</v>
      </c>
      <c r="J58" s="890"/>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1893</v>
      </c>
      <c r="B59" s="218" t="e">
        <f t="shared" si="17"/>
        <v>#DIV/0!</v>
      </c>
      <c r="C59" s="171">
        <f t="shared" si="16"/>
        <v>0</v>
      </c>
      <c r="D59" s="940">
        <v>0.25</v>
      </c>
      <c r="E59" s="642"/>
      <c r="F59" s="881" t="e">
        <f t="shared" si="15"/>
        <v>#DIV/0!</v>
      </c>
      <c r="G59" s="3000"/>
      <c r="H59" s="882">
        <f>项目基本情况!B37</f>
        <v>0</v>
      </c>
      <c r="I59" s="886">
        <f>SUMIF(修正!A57:A68,H59,修正!D57:D68)</f>
        <v>0</v>
      </c>
      <c r="J59" s="890"/>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1894</v>
      </c>
      <c r="B60" s="218" t="e">
        <f t="shared" si="17"/>
        <v>#DIV/0!</v>
      </c>
      <c r="C60" s="171">
        <f t="shared" si="16"/>
        <v>0</v>
      </c>
      <c r="D60" s="940">
        <v>0.25</v>
      </c>
      <c r="E60" s="217">
        <f>'数据-汇总表'!E11</f>
        <v>0</v>
      </c>
      <c r="F60" s="881" t="e">
        <f t="shared" si="15"/>
        <v>#DIV/0!</v>
      </c>
      <c r="G60" s="1981" t="s">
        <v>1895</v>
      </c>
      <c r="H60" s="882">
        <f>项目基本情况!C37</f>
        <v>0</v>
      </c>
      <c r="I60" s="886">
        <f>SUMIF(修正!A57:A68,H60,修正!E57:E68)</f>
        <v>0</v>
      </c>
      <c r="J60" s="890"/>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1896</v>
      </c>
      <c r="B61" s="218" t="e">
        <f t="shared" si="17"/>
        <v>#DIV/0!</v>
      </c>
      <c r="C61" s="171">
        <f t="shared" si="16"/>
        <v>0</v>
      </c>
      <c r="D61" s="940">
        <v>0.25</v>
      </c>
      <c r="E61" s="217">
        <f>'数据-汇总表'!E12</f>
        <v>0</v>
      </c>
      <c r="F61" s="881" t="e">
        <f t="shared" si="15"/>
        <v>#DIV/0!</v>
      </c>
      <c r="G61" s="887" t="s">
        <v>1897</v>
      </c>
      <c r="H61" s="882">
        <f>IF(G61="商业",项目基本情况!B37,IF(G61="办公",项目基本情况!C37,IF(G61="住宅",项目基本情况!D37,项目基本情况!E37)))</f>
        <v>0</v>
      </c>
      <c r="I61" s="886">
        <f>SUMIF(修正!A57:A68,H61,修正!F57:F68)</f>
        <v>0</v>
      </c>
      <c r="J61" s="890"/>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1898</v>
      </c>
      <c r="B62" s="218" t="e">
        <f t="shared" si="17"/>
        <v>#DIV/0!</v>
      </c>
      <c r="C62" s="171">
        <f t="shared" si="16"/>
        <v>0</v>
      </c>
      <c r="D62" s="940">
        <v>0.25</v>
      </c>
      <c r="E62" s="217">
        <f>'数据-汇总表'!E13</f>
        <v>0</v>
      </c>
      <c r="F62" s="881" t="e">
        <f t="shared" si="15"/>
        <v>#DIV/0!</v>
      </c>
      <c r="G62" s="887" t="s">
        <v>1899</v>
      </c>
      <c r="H62" s="882">
        <f>IF(G62="商业",项目基本情况!B37,IF(G62="办公",项目基本情况!C37,IF(G62="住宅",项目基本情况!D37,项目基本情况!E37)))</f>
        <v>0</v>
      </c>
      <c r="I62" s="886">
        <f>SUMIF(修正!A57:A68,H62,修正!G57:G68)</f>
        <v>0</v>
      </c>
      <c r="J62" s="890"/>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1900</v>
      </c>
      <c r="B63" s="218" t="e">
        <f t="shared" si="17"/>
        <v>#DIV/0!</v>
      </c>
      <c r="C63" s="171">
        <f t="shared" si="16"/>
        <v>0</v>
      </c>
      <c r="D63" s="940">
        <v>0.25</v>
      </c>
      <c r="E63" s="217">
        <f>'数据-汇总表'!E14</f>
        <v>0</v>
      </c>
      <c r="F63" s="881" t="e">
        <f t="shared" si="15"/>
        <v>#DIV/0!</v>
      </c>
      <c r="G63" s="1981" t="s">
        <v>1891</v>
      </c>
      <c r="H63" s="882">
        <f>项目基本情况!B37</f>
        <v>0</v>
      </c>
      <c r="I63" s="886">
        <f>SUMIF(修正!A57:A68,H63,修正!G57:G68)</f>
        <v>0</v>
      </c>
      <c r="J63" s="890"/>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1901</v>
      </c>
      <c r="B64" s="218" t="e">
        <f t="shared" si="17"/>
        <v>#DIV/0!</v>
      </c>
      <c r="C64" s="171">
        <f t="shared" si="16"/>
        <v>0</v>
      </c>
      <c r="D64" s="940">
        <v>0.25</v>
      </c>
      <c r="E64" s="217">
        <f>'数据-汇总表'!E15</f>
        <v>0</v>
      </c>
      <c r="F64" s="881" t="e">
        <f t="shared" si="15"/>
        <v>#DIV/0!</v>
      </c>
      <c r="G64" s="1982" t="s">
        <v>1895</v>
      </c>
      <c r="H64" s="892">
        <f>项目基本情况!C37</f>
        <v>0</v>
      </c>
      <c r="I64" s="888">
        <f>SUMIF(修正!A57:A68,H64,修正!G57:G68)</f>
        <v>0</v>
      </c>
      <c r="J64" s="891"/>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1902</v>
      </c>
      <c r="B65" s="644" t="s">
        <v>22</v>
      </c>
      <c r="C65" s="644" t="s">
        <v>23</v>
      </c>
      <c r="D65" s="644" t="s">
        <v>392</v>
      </c>
      <c r="E65" s="644">
        <f>IF(B46="楼面地价",SUM(E56:E64),'数据-汇总表'!D3)</f>
        <v>116204.73999999999</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2"/>
      <c r="K66" s="883"/>
      <c r="L66" s="884"/>
      <c r="M66" s="922"/>
      <c r="N66" s="922"/>
      <c r="O66" s="922"/>
      <c r="P66" s="2718"/>
      <c r="Q66" s="2718"/>
      <c r="R66" s="2718"/>
      <c r="S66" s="2718"/>
      <c r="T66" s="2718"/>
      <c r="U66" s="2718"/>
      <c r="V66" s="2718"/>
      <c r="W66" s="2718"/>
      <c r="X66" s="2718"/>
      <c r="Y66" s="2718"/>
      <c r="Z66" s="2718"/>
      <c r="AA66" s="2718"/>
      <c r="AB66" s="2718"/>
      <c r="AC66" s="271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8"/>
      <c r="Q67" s="2718"/>
      <c r="R67" s="2718"/>
      <c r="S67" s="2718"/>
      <c r="T67" s="2718"/>
      <c r="U67" s="2718"/>
      <c r="V67" s="2718"/>
      <c r="W67" s="2718"/>
      <c r="X67" s="2718"/>
      <c r="Y67" s="2718"/>
      <c r="Z67" s="2718"/>
      <c r="AA67" s="2718"/>
      <c r="AB67" s="2718"/>
      <c r="AC67" s="2718"/>
    </row>
    <row r="68" spans="1:29" ht="21.75" thickBot="1">
      <c r="A68" s="692" t="s">
        <v>1797</v>
      </c>
      <c r="B68" s="688"/>
      <c r="C68" s="693"/>
      <c r="D68" s="693"/>
      <c r="E68" s="693"/>
      <c r="F68" s="694"/>
      <c r="G68" s="694"/>
      <c r="H68" s="693"/>
      <c r="I68" s="693"/>
      <c r="J68" s="935"/>
      <c r="K68" s="936"/>
      <c r="L68" s="937"/>
      <c r="M68" s="935"/>
      <c r="N68" s="2762"/>
      <c r="O68" s="2762"/>
      <c r="P68" s="2762"/>
      <c r="Q68" s="2732"/>
      <c r="R68" s="2718"/>
      <c r="S68" s="2718"/>
      <c r="T68" s="2718"/>
      <c r="U68" s="2718"/>
      <c r="V68" s="2718"/>
      <c r="W68" s="2718"/>
      <c r="X68" s="2718"/>
      <c r="Y68" s="2718"/>
      <c r="Z68" s="2718"/>
      <c r="AA68" s="2718"/>
      <c r="AB68" s="2718"/>
      <c r="AC68" s="2718"/>
    </row>
    <row r="69" spans="1:29" s="457" customFormat="1" ht="15">
      <c r="A69" s="1983" t="s">
        <v>1903</v>
      </c>
      <c r="B69" s="1104"/>
      <c r="C69" s="1177" t="str">
        <f>YEAR(C67)&amp;"-"&amp;ROUNDUP(MONTH(C67)/3,0)</f>
        <v>2024-2</v>
      </c>
      <c r="D69" s="1177" t="str">
        <f>YEAR(D67)&amp;"-"&amp;ROUNDUP(MONTH(D67)/3,0)</f>
        <v>2024-1</v>
      </c>
      <c r="E69" s="1177" t="str">
        <f t="shared" ref="E69:O69" si="19">YEAR(E67)&amp;"-"&amp;ROUNDUP(MONTH(E67)/3,0)</f>
        <v>2023-4</v>
      </c>
      <c r="F69" s="1177" t="str">
        <f t="shared" si="19"/>
        <v>2023-3</v>
      </c>
      <c r="G69" s="1177" t="str">
        <f t="shared" si="19"/>
        <v>2023-2</v>
      </c>
      <c r="H69" s="1177" t="str">
        <f t="shared" si="19"/>
        <v>2023-1</v>
      </c>
      <c r="I69" s="1177" t="str">
        <f t="shared" si="19"/>
        <v>2022-4</v>
      </c>
      <c r="J69" s="1177" t="str">
        <f t="shared" si="19"/>
        <v>2022-3</v>
      </c>
      <c r="K69" s="1177" t="str">
        <f t="shared" si="19"/>
        <v>2022-2</v>
      </c>
      <c r="L69" s="1177" t="str">
        <f t="shared" si="19"/>
        <v>2022-1</v>
      </c>
      <c r="M69" s="1177" t="str">
        <f t="shared" si="19"/>
        <v>2021-4</v>
      </c>
      <c r="N69" s="1177" t="str">
        <f t="shared" si="19"/>
        <v>2021-3</v>
      </c>
      <c r="O69" s="1177" t="str">
        <f t="shared" si="19"/>
        <v>2021-2</v>
      </c>
      <c r="P69" s="2769"/>
      <c r="Q69" s="2734"/>
      <c r="R69" s="2734"/>
      <c r="S69" s="2734"/>
      <c r="T69" s="2734"/>
      <c r="U69" s="2734"/>
      <c r="V69" s="2734"/>
      <c r="W69" s="2734"/>
      <c r="X69" s="2734"/>
      <c r="Y69" s="2734"/>
      <c r="Z69" s="2734"/>
      <c r="AA69" s="2734"/>
      <c r="AB69" s="2734"/>
      <c r="AC69" s="2734"/>
    </row>
    <row r="70" spans="1:29" s="108" customFormat="1" ht="30" customHeight="1">
      <c r="A70" s="1984"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2"/>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38"/>
      <c r="P71" s="2732"/>
      <c r="Q71" s="2732"/>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7"/>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4" zoomScale="85" zoomScaleNormal="60" zoomScaleSheetLayoutView="85" workbookViewId="0">
      <selection activeCell="O109" sqref="O10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f>F61</f>
        <v>14038</v>
      </c>
      <c r="C2" s="903"/>
      <c r="D2" s="903"/>
      <c r="E2" s="903"/>
      <c r="F2" s="904"/>
      <c r="G2" s="903"/>
      <c r="H2" s="903"/>
      <c r="I2" s="903"/>
      <c r="J2" s="903"/>
      <c r="K2" s="905"/>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1463</v>
      </c>
      <c r="B3" s="558">
        <f>ROUND(IF(D3="",B2*10000/'数据-汇总表'!E3,B2*10000/D3),0)</f>
        <v>1039</v>
      </c>
      <c r="C3" s="203" t="s">
        <v>1868</v>
      </c>
      <c r="D3" s="1188"/>
      <c r="E3" s="903"/>
      <c r="F3" s="904"/>
      <c r="G3" s="903"/>
      <c r="H3" s="903"/>
      <c r="I3" s="903"/>
      <c r="J3" s="903"/>
      <c r="K3" s="905"/>
      <c r="L3" s="2727"/>
      <c r="M3" s="2728"/>
      <c r="N3" s="2728"/>
      <c r="O3" s="2728"/>
      <c r="P3" s="697"/>
      <c r="Q3" s="697"/>
      <c r="R3" s="697"/>
      <c r="S3" s="697"/>
      <c r="T3" s="697"/>
      <c r="U3" s="697"/>
      <c r="V3" s="697"/>
      <c r="W3" s="697"/>
      <c r="X3" s="697"/>
      <c r="Y3" s="697"/>
      <c r="Z3" s="697"/>
      <c r="AA3" s="697"/>
      <c r="AB3" s="714"/>
      <c r="AC3" s="711"/>
    </row>
    <row r="4" spans="1:29" ht="15">
      <c r="A4" s="355" t="s">
        <v>1768</v>
      </c>
      <c r="B4" s="356"/>
      <c r="C4" s="3743" t="s">
        <v>1769</v>
      </c>
      <c r="D4" s="3744"/>
      <c r="E4" s="3745" t="s">
        <v>1770</v>
      </c>
      <c r="F4" s="3746"/>
      <c r="G4" s="3743" t="s">
        <v>1771</v>
      </c>
      <c r="H4" s="3744"/>
      <c r="I4" s="3743" t="s">
        <v>1772</v>
      </c>
      <c r="J4" s="3744"/>
      <c r="K4" s="559" t="s">
        <v>1773</v>
      </c>
      <c r="L4" s="2708"/>
      <c r="M4" s="2709"/>
      <c r="N4" s="2709"/>
      <c r="O4" s="2709"/>
      <c r="P4" s="3747" t="s">
        <v>1774</v>
      </c>
      <c r="Q4" s="3748"/>
      <c r="R4" s="3730" t="s">
        <v>1770</v>
      </c>
      <c r="S4" s="3731"/>
      <c r="T4" s="3730" t="s">
        <v>1771</v>
      </c>
      <c r="U4" s="3731"/>
      <c r="V4" s="3755" t="s">
        <v>1772</v>
      </c>
      <c r="W4" s="3755"/>
      <c r="X4" s="1350"/>
      <c r="Y4" s="3730" t="s">
        <v>1774</v>
      </c>
      <c r="Z4" s="3731"/>
      <c r="AA4" s="3725" t="s">
        <v>1770</v>
      </c>
      <c r="AB4" s="3726" t="s">
        <v>1771</v>
      </c>
      <c r="AC4" s="3725" t="s">
        <v>1772</v>
      </c>
    </row>
    <row r="5" spans="1:29" ht="15">
      <c r="A5" s="358"/>
      <c r="B5" s="359"/>
      <c r="C5" s="3736" t="s">
        <v>1672</v>
      </c>
      <c r="D5" s="3737"/>
      <c r="E5" s="3734" t="str">
        <f>土地案例!A4</f>
        <v>顺义新城3401街区(高丽营镇中关村顺义园三代半产业基地)3-2-4(北区)(3号地A)地块M1工业用地国有建设用地使用权出让</v>
      </c>
      <c r="F5" s="3735"/>
      <c r="G5" s="3736" t="str">
        <f>土地案例!A5</f>
        <v>顺义新城3401街区(高丽营镇中关村顺义园三代半产业基地)3-2-3(3号地B)地块M1工业用地国有建设用地使用权出让</v>
      </c>
      <c r="H5" s="3737"/>
      <c r="I5" s="3736" t="str">
        <f>土地案例!A7</f>
        <v>顺义新城3401街区(高丽营镇中关村科技园区顺义园三代半产业基地)2号地 2-1(东区)地块M1工业用地国有建设用地使用权出让</v>
      </c>
      <c r="J5" s="3737"/>
      <c r="K5" s="559"/>
      <c r="L5" s="2708"/>
      <c r="M5" s="2709"/>
      <c r="N5" s="2709"/>
      <c r="O5" s="2709"/>
      <c r="P5" s="3749"/>
      <c r="Q5" s="3750"/>
      <c r="R5" s="3732"/>
      <c r="S5" s="3733"/>
      <c r="T5" s="3732"/>
      <c r="U5" s="3733"/>
      <c r="V5" s="3755"/>
      <c r="W5" s="3755"/>
      <c r="X5" s="1350"/>
      <c r="Y5" s="3732"/>
      <c r="Z5" s="3733"/>
      <c r="AA5" s="3726"/>
      <c r="AB5" s="3726"/>
      <c r="AC5" s="3726"/>
    </row>
    <row r="6" spans="1:29" ht="15.75" thickBot="1">
      <c r="A6" s="360"/>
      <c r="B6" s="361"/>
      <c r="C6" s="3791" t="s">
        <v>1918</v>
      </c>
      <c r="D6" s="3792"/>
      <c r="E6" s="3793" t="s">
        <v>1918</v>
      </c>
      <c r="F6" s="3794"/>
      <c r="G6" s="3791" t="s">
        <v>1918</v>
      </c>
      <c r="H6" s="3792"/>
      <c r="I6" s="3791" t="s">
        <v>1918</v>
      </c>
      <c r="J6" s="3792"/>
      <c r="K6" s="559" t="s">
        <v>1677</v>
      </c>
      <c r="L6" s="2708"/>
      <c r="M6" s="2709"/>
      <c r="N6" s="2709"/>
      <c r="O6" s="2709"/>
      <c r="P6" s="3751"/>
      <c r="Q6" s="3752"/>
      <c r="R6" s="3732"/>
      <c r="S6" s="3733"/>
      <c r="T6" s="3753"/>
      <c r="U6" s="3754"/>
      <c r="V6" s="3755"/>
      <c r="W6" s="3755"/>
      <c r="X6" s="1350"/>
      <c r="Y6" s="3753"/>
      <c r="Z6" s="3754"/>
      <c r="AA6" s="3727"/>
      <c r="AB6" s="3727"/>
      <c r="AC6" s="3727"/>
    </row>
    <row r="7" spans="1:29" s="108" customFormat="1" ht="15.75" thickBot="1">
      <c r="A7" s="362" t="s">
        <v>1678</v>
      </c>
      <c r="B7" s="363"/>
      <c r="C7" s="364">
        <f>'数据-取费表'!B2</f>
        <v>45392</v>
      </c>
      <c r="D7" s="365">
        <v>100</v>
      </c>
      <c r="E7" s="366">
        <f>土地案例!L4</f>
        <v>44832.0004976852</v>
      </c>
      <c r="F7" s="367">
        <f>SUMIF(65:65,YEAR(E7)&amp;"-"&amp;INT((MONTH(E7)+2)/3),66:66)</f>
        <v>100</v>
      </c>
      <c r="G7" s="1968">
        <f>土地案例!L5</f>
        <v>44760.0004976852</v>
      </c>
      <c r="H7" s="365">
        <f>SUMIF(65:65,YEAR(G7)&amp;"-"&amp;INT((MONTH(G7)+2)/3),66:66)</f>
        <v>100</v>
      </c>
      <c r="I7" s="1968">
        <f>土地案例!L7</f>
        <v>44761.0004976852</v>
      </c>
      <c r="J7" s="365">
        <f>SUMIF(65:65,YEAR(I7)&amp;"-"&amp;INT((MONTH(I7)+2)/3),66:66)</f>
        <v>100</v>
      </c>
      <c r="K7" s="560"/>
      <c r="L7" s="2710"/>
      <c r="M7" s="2711"/>
      <c r="N7" s="2711"/>
      <c r="O7" s="2711"/>
      <c r="P7" s="3728" t="s">
        <v>1679</v>
      </c>
      <c r="Q7" s="3756"/>
      <c r="R7" s="699" t="s">
        <v>14</v>
      </c>
      <c r="S7" s="700">
        <f t="shared" ref="S7:S15" si="0">F7</f>
        <v>100</v>
      </c>
      <c r="T7" s="699" t="s">
        <v>14</v>
      </c>
      <c r="U7" s="700">
        <f t="shared" ref="U7:U15" si="1">H7</f>
        <v>100</v>
      </c>
      <c r="V7" s="699" t="s">
        <v>14</v>
      </c>
      <c r="W7" s="700">
        <f t="shared" ref="W7:W15" si="2">J7</f>
        <v>100</v>
      </c>
      <c r="X7" s="701"/>
      <c r="Y7" s="3728" t="s">
        <v>1679</v>
      </c>
      <c r="Z7" s="3729"/>
      <c r="AA7" s="702">
        <f>D7/F7</f>
        <v>1</v>
      </c>
      <c r="AB7" s="702">
        <f>D7/H7</f>
        <v>1</v>
      </c>
      <c r="AC7" s="702">
        <f>D7/J7</f>
        <v>1</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0"/>
      <c r="M8" s="2711"/>
      <c r="N8" s="2711"/>
      <c r="O8" s="2711"/>
      <c r="P8" s="3728" t="s">
        <v>1682</v>
      </c>
      <c r="Q8" s="3729"/>
      <c r="R8" s="699" t="s">
        <v>14</v>
      </c>
      <c r="S8" s="700">
        <f t="shared" si="0"/>
        <v>100</v>
      </c>
      <c r="T8" s="699" t="s">
        <v>14</v>
      </c>
      <c r="U8" s="700">
        <f t="shared" si="1"/>
        <v>100</v>
      </c>
      <c r="V8" s="699" t="s">
        <v>14</v>
      </c>
      <c r="W8" s="700">
        <f t="shared" si="2"/>
        <v>100</v>
      </c>
      <c r="X8" s="701"/>
      <c r="Y8" s="3728" t="s">
        <v>1682</v>
      </c>
      <c r="Z8" s="3729"/>
      <c r="AA8" s="702">
        <f t="shared" ref="AA8:AA40" si="3">D8/F8</f>
        <v>1</v>
      </c>
      <c r="AB8" s="702">
        <f t="shared" ref="AB8:AB40" si="4">D8/H8</f>
        <v>1</v>
      </c>
      <c r="AC8" s="702">
        <f t="shared" ref="AC8:AC40" si="5">D8/J8</f>
        <v>1</v>
      </c>
    </row>
    <row r="9" spans="1:29" s="108" customFormat="1">
      <c r="A9" s="369" t="s">
        <v>1683</v>
      </c>
      <c r="B9" s="63" t="s">
        <v>1684</v>
      </c>
      <c r="C9" s="1971" t="s">
        <v>3</v>
      </c>
      <c r="D9" s="126">
        <v>100</v>
      </c>
      <c r="E9" s="1971" t="s">
        <v>3</v>
      </c>
      <c r="F9" s="126">
        <f>SUMIF(70:70,E9,71:71)-SUMIF(70:70,C9,71:71)+100</f>
        <v>100</v>
      </c>
      <c r="G9" s="1971" t="s">
        <v>3</v>
      </c>
      <c r="H9" s="126">
        <f>SUMIF(70:70,G9,71:71)-SUMIF(70:70,C9,71:71)+100</f>
        <v>100</v>
      </c>
      <c r="I9" s="1971" t="s">
        <v>3</v>
      </c>
      <c r="J9" s="126">
        <f>SUMIF(70:70,I9,71:71)-SUMIF(70:70,C9,71:71)+100</f>
        <v>100</v>
      </c>
      <c r="K9" s="560"/>
      <c r="L9" s="2710"/>
      <c r="M9" s="2711"/>
      <c r="N9" s="2711"/>
      <c r="O9" s="2765"/>
      <c r="P9" s="3760" t="s">
        <v>1685</v>
      </c>
      <c r="Q9" s="1338" t="str">
        <f t="shared" ref="Q9:Q15" si="6">B9</f>
        <v>用途</v>
      </c>
      <c r="R9" s="699" t="s">
        <v>14</v>
      </c>
      <c r="S9" s="700">
        <f t="shared" si="0"/>
        <v>100</v>
      </c>
      <c r="T9" s="699" t="s">
        <v>14</v>
      </c>
      <c r="U9" s="700">
        <f t="shared" si="1"/>
        <v>100</v>
      </c>
      <c r="V9" s="699" t="s">
        <v>14</v>
      </c>
      <c r="W9" s="700">
        <f t="shared" si="2"/>
        <v>100</v>
      </c>
      <c r="X9" s="701"/>
      <c r="Y9" s="3672" t="s">
        <v>1686</v>
      </c>
      <c r="Z9" s="52" t="str">
        <f t="shared" ref="Z9:Z15" si="7">Q9</f>
        <v>用途</v>
      </c>
      <c r="AA9" s="702">
        <f t="shared" si="3"/>
        <v>1</v>
      </c>
      <c r="AB9" s="702">
        <f t="shared" si="4"/>
        <v>1</v>
      </c>
      <c r="AC9" s="702">
        <f t="shared" si="5"/>
        <v>1</v>
      </c>
    </row>
    <row r="10" spans="1:29" s="378" customFormat="1" ht="27">
      <c r="A10" s="374"/>
      <c r="B10" s="375" t="s">
        <v>1687</v>
      </c>
      <c r="C10" s="383">
        <f>'数据-取费表'!F6</f>
        <v>40.36</v>
      </c>
      <c r="D10" s="127">
        <v>100</v>
      </c>
      <c r="E10" s="383">
        <v>50</v>
      </c>
      <c r="F10" s="127">
        <f>ROUND(100/'数据-取费表'!G16,0)</f>
        <v>107</v>
      </c>
      <c r="G10" s="383">
        <v>50</v>
      </c>
      <c r="H10" s="127">
        <f>ROUND(100/'数据-取费表'!G16,0)</f>
        <v>107</v>
      </c>
      <c r="I10" s="383">
        <v>50</v>
      </c>
      <c r="J10" s="127">
        <f>ROUND(100/'数据-取费表'!G16,0)</f>
        <v>107</v>
      </c>
      <c r="K10" s="620"/>
      <c r="L10" s="2712"/>
      <c r="M10" s="2713"/>
      <c r="N10" s="2713"/>
      <c r="O10" s="2766"/>
      <c r="P10" s="3760"/>
      <c r="Q10" s="1338" t="str">
        <f t="shared" si="6"/>
        <v>土地使用年限（年）</v>
      </c>
      <c r="R10" s="699" t="s">
        <v>14</v>
      </c>
      <c r="S10" s="700">
        <f t="shared" si="0"/>
        <v>107</v>
      </c>
      <c r="T10" s="699" t="s">
        <v>14</v>
      </c>
      <c r="U10" s="700">
        <f t="shared" si="1"/>
        <v>107</v>
      </c>
      <c r="V10" s="699" t="s">
        <v>14</v>
      </c>
      <c r="W10" s="700">
        <f t="shared" si="2"/>
        <v>107</v>
      </c>
      <c r="X10" s="701"/>
      <c r="Y10" s="3672"/>
      <c r="Z10" s="52" t="str">
        <f t="shared" si="7"/>
        <v>土地使用年限（年）</v>
      </c>
      <c r="AA10" s="702">
        <f t="shared" si="3"/>
        <v>0.93457943925233644</v>
      </c>
      <c r="AB10" s="702">
        <f t="shared" si="4"/>
        <v>0.93457943925233644</v>
      </c>
      <c r="AC10" s="702">
        <f t="shared" si="5"/>
        <v>0.93457943925233644</v>
      </c>
    </row>
    <row r="11" spans="1:29" ht="15">
      <c r="A11" s="379"/>
      <c r="B11" s="375" t="s">
        <v>1688</v>
      </c>
      <c r="C11" s="380">
        <f>'数据-汇总表'!I4</f>
        <v>1.98</v>
      </c>
      <c r="D11" s="127">
        <v>100</v>
      </c>
      <c r="E11" s="380">
        <v>1.5</v>
      </c>
      <c r="F11" s="127">
        <f>LOOKUP(E11,75:75,76:76)-LOOKUP(C11,75:75,76:76)+100</f>
        <v>100</v>
      </c>
      <c r="G11" s="381">
        <v>1.5</v>
      </c>
      <c r="H11" s="127">
        <f>LOOKUP(G11,75:75,76:76)-LOOKUP(C11,75:75,76:76)+100</f>
        <v>100</v>
      </c>
      <c r="I11" s="380">
        <v>1.5</v>
      </c>
      <c r="J11" s="127">
        <f>LOOKUP(I11,75:75,76:76)-LOOKUP(C11,75:75,76:76)+100</f>
        <v>100</v>
      </c>
      <c r="K11" s="621">
        <v>2</v>
      </c>
      <c r="L11" s="2714"/>
      <c r="M11" s="2709"/>
      <c r="N11" s="2709"/>
      <c r="O11" s="2767"/>
      <c r="P11" s="3760"/>
      <c r="Q11" s="1338"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60"/>
      <c r="Q12" s="1338">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60"/>
      <c r="Q13" s="1338">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60"/>
      <c r="Q14" s="1338">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1" t="s">
        <v>1689</v>
      </c>
      <c r="B15" s="577" t="s">
        <v>1919</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15"/>
      <c r="M15" s="2709"/>
      <c r="N15" s="2709"/>
      <c r="O15" s="2767"/>
      <c r="P15" s="3762" t="s">
        <v>1690</v>
      </c>
      <c r="Q15" s="1347" t="str">
        <f t="shared" si="6"/>
        <v>产业集聚程度</v>
      </c>
      <c r="R15" s="703" t="s">
        <v>14</v>
      </c>
      <c r="S15" s="704">
        <f t="shared" si="0"/>
        <v>100</v>
      </c>
      <c r="T15" s="703" t="s">
        <v>14</v>
      </c>
      <c r="U15" s="704">
        <f t="shared" si="1"/>
        <v>100</v>
      </c>
      <c r="V15" s="703" t="s">
        <v>14</v>
      </c>
      <c r="W15" s="704">
        <f t="shared" si="2"/>
        <v>100</v>
      </c>
      <c r="X15" s="1350"/>
      <c r="Y15" s="3762" t="s">
        <v>1690</v>
      </c>
      <c r="Z15" s="1351" t="str">
        <f t="shared" si="7"/>
        <v>产业集聚程度</v>
      </c>
      <c r="AA15" s="1348">
        <f t="shared" si="3"/>
        <v>1</v>
      </c>
      <c r="AB15" s="1348">
        <f t="shared" si="4"/>
        <v>1</v>
      </c>
      <c r="AC15" s="1348">
        <f t="shared" si="5"/>
        <v>1</v>
      </c>
    </row>
    <row r="16" spans="1:29" ht="15">
      <c r="A16" s="379"/>
      <c r="B16" s="578"/>
      <c r="C16" s="398" t="s">
        <v>3392</v>
      </c>
      <c r="D16" s="399"/>
      <c r="E16" s="398" t="s">
        <v>3392</v>
      </c>
      <c r="F16" s="399"/>
      <c r="G16" s="398" t="s">
        <v>3392</v>
      </c>
      <c r="H16" s="401"/>
      <c r="I16" s="398" t="s">
        <v>3392</v>
      </c>
      <c r="J16" s="399"/>
      <c r="K16" s="620"/>
      <c r="L16" s="2715"/>
      <c r="M16" s="2709"/>
      <c r="N16" s="2709"/>
      <c r="O16" s="2767"/>
      <c r="P16" s="3763"/>
      <c r="Q16" s="1347"/>
      <c r="R16" s="703"/>
      <c r="S16" s="704"/>
      <c r="T16" s="703"/>
      <c r="U16" s="704"/>
      <c r="V16" s="703"/>
      <c r="W16" s="704"/>
      <c r="X16" s="1350"/>
      <c r="Y16" s="3763"/>
      <c r="Z16" s="1351"/>
      <c r="AA16" s="1348">
        <v>1</v>
      </c>
      <c r="AB16" s="1348">
        <v>1</v>
      </c>
      <c r="AC16" s="1348">
        <v>1</v>
      </c>
    </row>
    <row r="17" spans="1:29" ht="85.5">
      <c r="A17" s="379"/>
      <c r="B17" s="579" t="s">
        <v>1832</v>
      </c>
      <c r="C17" s="1894"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5"/>
      <c r="M17" s="2709"/>
      <c r="N17" s="2709"/>
      <c r="O17" s="2767"/>
      <c r="P17" s="3763"/>
      <c r="Q17" s="1347" t="str">
        <f>B17</f>
        <v>交通便捷度</v>
      </c>
      <c r="R17" s="703" t="s">
        <v>14</v>
      </c>
      <c r="S17" s="704">
        <f>F17</f>
        <v>100</v>
      </c>
      <c r="T17" s="703" t="s">
        <v>14</v>
      </c>
      <c r="U17" s="704">
        <f>H17</f>
        <v>100</v>
      </c>
      <c r="V17" s="703" t="s">
        <v>14</v>
      </c>
      <c r="W17" s="704">
        <f>J17</f>
        <v>100</v>
      </c>
      <c r="X17" s="1350"/>
      <c r="Y17" s="3763"/>
      <c r="Z17" s="1351" t="str">
        <f>Q17</f>
        <v>交通便捷度</v>
      </c>
      <c r="AA17" s="1348">
        <f t="shared" si="3"/>
        <v>1</v>
      </c>
      <c r="AB17" s="1348">
        <f t="shared" si="4"/>
        <v>1</v>
      </c>
      <c r="AC17" s="1348">
        <f t="shared" si="5"/>
        <v>1</v>
      </c>
    </row>
    <row r="18" spans="1:29" ht="15">
      <c r="A18" s="379"/>
      <c r="B18" s="580"/>
      <c r="C18" s="398" t="s">
        <v>3415</v>
      </c>
      <c r="D18" s="399"/>
      <c r="E18" s="398" t="s">
        <v>3415</v>
      </c>
      <c r="F18" s="399"/>
      <c r="G18" s="398" t="s">
        <v>3415</v>
      </c>
      <c r="H18" s="399"/>
      <c r="I18" s="398" t="s">
        <v>3415</v>
      </c>
      <c r="J18" s="399"/>
      <c r="K18" s="620"/>
      <c r="L18" s="2715"/>
      <c r="M18" s="2709"/>
      <c r="N18" s="2709"/>
      <c r="O18" s="2767"/>
      <c r="P18" s="3763"/>
      <c r="Q18" s="1347"/>
      <c r="R18" s="703"/>
      <c r="S18" s="704"/>
      <c r="T18" s="703"/>
      <c r="U18" s="704"/>
      <c r="V18" s="703"/>
      <c r="W18" s="704"/>
      <c r="X18" s="1350"/>
      <c r="Y18" s="3763"/>
      <c r="Z18" s="1351"/>
      <c r="AA18" s="1348">
        <v>1</v>
      </c>
      <c r="AB18" s="1348">
        <v>1</v>
      </c>
      <c r="AC18" s="1348">
        <v>1</v>
      </c>
    </row>
    <row r="19" spans="1:29" ht="15">
      <c r="A19" s="379"/>
      <c r="B19" s="579" t="s">
        <v>1870</v>
      </c>
      <c r="C19" s="1894">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15"/>
      <c r="M19" s="2709"/>
      <c r="N19" s="2709"/>
      <c r="O19" s="2767"/>
      <c r="P19" s="3763"/>
      <c r="Q19" s="1347" t="str">
        <f t="shared" ref="Q19:Q33" si="8">B19</f>
        <v>区域土地利用方向</v>
      </c>
      <c r="R19" s="703" t="s">
        <v>14</v>
      </c>
      <c r="S19" s="704">
        <f>F19</f>
        <v>100</v>
      </c>
      <c r="T19" s="703" t="s">
        <v>14</v>
      </c>
      <c r="U19" s="704">
        <f>H19</f>
        <v>100</v>
      </c>
      <c r="V19" s="703" t="s">
        <v>14</v>
      </c>
      <c r="W19" s="704">
        <f>J19</f>
        <v>100</v>
      </c>
      <c r="X19" s="1350"/>
      <c r="Y19" s="3763"/>
      <c r="Z19" s="1351" t="str">
        <f>Q19</f>
        <v>区域土地利用方向</v>
      </c>
      <c r="AA19" s="1348">
        <f t="shared" si="3"/>
        <v>1</v>
      </c>
      <c r="AB19" s="1348">
        <f t="shared" si="4"/>
        <v>1</v>
      </c>
      <c r="AC19" s="1348">
        <f t="shared" si="5"/>
        <v>1</v>
      </c>
    </row>
    <row r="20" spans="1:29" ht="15">
      <c r="A20" s="358"/>
      <c r="B20" s="580"/>
      <c r="C20" s="398" t="s">
        <v>3392</v>
      </c>
      <c r="D20" s="399"/>
      <c r="E20" s="398" t="s">
        <v>3392</v>
      </c>
      <c r="F20" s="399"/>
      <c r="G20" s="398" t="s">
        <v>3392</v>
      </c>
      <c r="H20" s="399"/>
      <c r="I20" s="398" t="s">
        <v>3392</v>
      </c>
      <c r="J20" s="399"/>
      <c r="K20" s="735"/>
      <c r="L20" s="2715"/>
      <c r="M20" s="2709"/>
      <c r="N20" s="2709"/>
      <c r="O20" s="2767"/>
      <c r="P20" s="3763"/>
      <c r="Q20" s="1347"/>
      <c r="R20" s="703"/>
      <c r="S20" s="704"/>
      <c r="T20" s="703"/>
      <c r="U20" s="704"/>
      <c r="V20" s="703"/>
      <c r="W20" s="704"/>
      <c r="X20" s="1350"/>
      <c r="Y20" s="3763"/>
      <c r="Z20" s="1351"/>
      <c r="AA20" s="1348"/>
      <c r="AB20" s="1348"/>
      <c r="AC20" s="1348"/>
    </row>
    <row r="21" spans="1:29" ht="71.25">
      <c r="A21" s="358"/>
      <c r="B21" s="579" t="s">
        <v>1920</v>
      </c>
      <c r="C21" s="1894"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5"/>
      <c r="M21" s="2709"/>
      <c r="N21" s="2709"/>
      <c r="O21" s="2767"/>
      <c r="P21" s="3763"/>
      <c r="Q21" s="1347" t="str">
        <f t="shared" si="8"/>
        <v>环境状况</v>
      </c>
      <c r="R21" s="703" t="s">
        <v>14</v>
      </c>
      <c r="S21" s="704">
        <f>F21</f>
        <v>100</v>
      </c>
      <c r="T21" s="703" t="s">
        <v>14</v>
      </c>
      <c r="U21" s="704">
        <f>H21</f>
        <v>100</v>
      </c>
      <c r="V21" s="703" t="s">
        <v>14</v>
      </c>
      <c r="W21" s="704">
        <f>J21</f>
        <v>100</v>
      </c>
      <c r="X21" s="1350"/>
      <c r="Y21" s="3763"/>
      <c r="Z21" s="1351" t="str">
        <f>Q21</f>
        <v>环境状况</v>
      </c>
      <c r="AA21" s="1348">
        <f t="shared" si="3"/>
        <v>1</v>
      </c>
      <c r="AB21" s="1348">
        <f t="shared" si="4"/>
        <v>1</v>
      </c>
      <c r="AC21" s="1348">
        <f t="shared" si="5"/>
        <v>1</v>
      </c>
    </row>
    <row r="22" spans="1:29" ht="15">
      <c r="A22" s="358"/>
      <c r="B22" s="580"/>
      <c r="C22" s="398" t="s">
        <v>3392</v>
      </c>
      <c r="D22" s="399"/>
      <c r="E22" s="398" t="s">
        <v>3392</v>
      </c>
      <c r="F22" s="399"/>
      <c r="G22" s="398" t="s">
        <v>3392</v>
      </c>
      <c r="H22" s="399"/>
      <c r="I22" s="398" t="s">
        <v>3392</v>
      </c>
      <c r="J22" s="399"/>
      <c r="K22" s="620"/>
      <c r="L22" s="2715"/>
      <c r="M22" s="2709"/>
      <c r="N22" s="2709"/>
      <c r="O22" s="2767"/>
      <c r="P22" s="3763"/>
      <c r="Q22" s="1347"/>
      <c r="R22" s="703"/>
      <c r="S22" s="704"/>
      <c r="T22" s="703"/>
      <c r="U22" s="704"/>
      <c r="V22" s="703"/>
      <c r="W22" s="704"/>
      <c r="X22" s="1350"/>
      <c r="Y22" s="3763"/>
      <c r="Z22" s="1351"/>
      <c r="AA22" s="1348">
        <v>1</v>
      </c>
      <c r="AB22" s="1348">
        <v>1</v>
      </c>
      <c r="AC22" s="1348">
        <v>1</v>
      </c>
    </row>
    <row r="23" spans="1:29" s="108" customFormat="1" ht="42.75">
      <c r="A23" s="597"/>
      <c r="B23" s="581" t="s">
        <v>1777</v>
      </c>
      <c r="C23" s="1894"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0"/>
      <c r="M23" s="2711"/>
      <c r="N23" s="2711"/>
      <c r="O23" s="2765"/>
      <c r="P23" s="3763"/>
      <c r="Q23" s="1338" t="str">
        <f t="shared" si="8"/>
        <v>公共配套设施</v>
      </c>
      <c r="R23" s="699" t="s">
        <v>14</v>
      </c>
      <c r="S23" s="700">
        <f>F23</f>
        <v>100</v>
      </c>
      <c r="T23" s="699" t="s">
        <v>14</v>
      </c>
      <c r="U23" s="700">
        <f>H23</f>
        <v>100</v>
      </c>
      <c r="V23" s="699" t="s">
        <v>14</v>
      </c>
      <c r="W23" s="700">
        <f>J23</f>
        <v>100</v>
      </c>
      <c r="X23" s="701"/>
      <c r="Y23" s="3763"/>
      <c r="Z23" s="52" t="str">
        <f>Q23</f>
        <v>公共配套设施</v>
      </c>
      <c r="AA23" s="1348">
        <f>D23/F23</f>
        <v>1</v>
      </c>
      <c r="AB23" s="1348">
        <f>D23/H23</f>
        <v>1</v>
      </c>
      <c r="AC23" s="1348">
        <f>D23/J23</f>
        <v>1</v>
      </c>
    </row>
    <row r="24" spans="1:29" s="108" customFormat="1" ht="15">
      <c r="A24" s="597"/>
      <c r="B24" s="580"/>
      <c r="C24" s="1972" t="s">
        <v>3415</v>
      </c>
      <c r="D24" s="399"/>
      <c r="E24" s="1972" t="s">
        <v>3415</v>
      </c>
      <c r="F24" s="399"/>
      <c r="G24" s="1972" t="s">
        <v>3415</v>
      </c>
      <c r="H24" s="399"/>
      <c r="I24" s="1972" t="s">
        <v>3415</v>
      </c>
      <c r="J24" s="399"/>
      <c r="K24" s="620"/>
      <c r="L24" s="2710"/>
      <c r="M24" s="2711"/>
      <c r="N24" s="2711"/>
      <c r="O24" s="2765"/>
      <c r="P24" s="3763"/>
      <c r="Q24" s="1338"/>
      <c r="R24" s="699"/>
      <c r="S24" s="700"/>
      <c r="T24" s="699"/>
      <c r="U24" s="700"/>
      <c r="V24" s="699"/>
      <c r="W24" s="700"/>
      <c r="X24" s="701"/>
      <c r="Y24" s="3763"/>
      <c r="Z24" s="52"/>
      <c r="AA24" s="702">
        <v>1</v>
      </c>
      <c r="AB24" s="702">
        <v>1</v>
      </c>
      <c r="AC24" s="702">
        <v>1</v>
      </c>
    </row>
    <row r="25" spans="1:29" s="108" customFormat="1" ht="28.5">
      <c r="A25" s="597"/>
      <c r="B25" s="581" t="s">
        <v>1778</v>
      </c>
      <c r="C25" s="1894"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0"/>
      <c r="M25" s="2711"/>
      <c r="N25" s="2711"/>
      <c r="O25" s="2765"/>
      <c r="P25" s="3763"/>
      <c r="Q25" s="1338" t="str">
        <f t="shared" ref="Q25" si="9">B25</f>
        <v>基础设施水平</v>
      </c>
      <c r="R25" s="699" t="s">
        <v>14</v>
      </c>
      <c r="S25" s="700">
        <f>F25</f>
        <v>100</v>
      </c>
      <c r="T25" s="699" t="s">
        <v>14</v>
      </c>
      <c r="U25" s="700">
        <f>H25</f>
        <v>100</v>
      </c>
      <c r="V25" s="699" t="s">
        <v>14</v>
      </c>
      <c r="W25" s="700">
        <f>J25</f>
        <v>100</v>
      </c>
      <c r="X25" s="701"/>
      <c r="Y25" s="3763"/>
      <c r="Z25" s="52" t="str">
        <f>Q25</f>
        <v>基础设施水平</v>
      </c>
      <c r="AA25" s="1348">
        <f>D25/F25</f>
        <v>1</v>
      </c>
      <c r="AB25" s="1348">
        <f>D25/H25</f>
        <v>1</v>
      </c>
      <c r="AC25" s="1348">
        <f>D25/J25</f>
        <v>1</v>
      </c>
    </row>
    <row r="26" spans="1:29" s="108" customFormat="1" ht="15">
      <c r="A26" s="597"/>
      <c r="B26" s="580"/>
      <c r="C26" s="1972" t="s">
        <v>3532</v>
      </c>
      <c r="D26" s="399"/>
      <c r="E26" s="1972" t="s">
        <v>3532</v>
      </c>
      <c r="F26" s="399"/>
      <c r="G26" s="1972" t="s">
        <v>3532</v>
      </c>
      <c r="H26" s="399"/>
      <c r="I26" s="1972" t="s">
        <v>3532</v>
      </c>
      <c r="J26" s="399"/>
      <c r="K26" s="620"/>
      <c r="L26" s="2710"/>
      <c r="M26" s="2711"/>
      <c r="N26" s="2711"/>
      <c r="O26" s="2765"/>
      <c r="P26" s="3763"/>
      <c r="Q26" s="1338"/>
      <c r="R26" s="699"/>
      <c r="S26" s="700"/>
      <c r="T26" s="699"/>
      <c r="U26" s="700"/>
      <c r="V26" s="699"/>
      <c r="W26" s="700"/>
      <c r="X26" s="701"/>
      <c r="Y26" s="3763"/>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63"/>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3763"/>
      <c r="Z27" s="1351" t="str">
        <f t="shared" ref="Z27:Z40" si="13">Q27</f>
        <v>临街状况</v>
      </c>
      <c r="AA27" s="1348">
        <f t="shared" si="3"/>
        <v>1</v>
      </c>
      <c r="AB27" s="1348">
        <f t="shared" si="4"/>
        <v>1</v>
      </c>
      <c r="AC27" s="1348">
        <f t="shared" si="5"/>
        <v>1</v>
      </c>
    </row>
    <row r="28" spans="1:29" ht="27">
      <c r="A28" s="379"/>
      <c r="B28" s="581"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63"/>
      <c r="Q28" s="1347" t="str">
        <f t="shared" si="8"/>
        <v>毗邻道路的类型与等级</v>
      </c>
      <c r="R28" s="703" t="s">
        <v>14</v>
      </c>
      <c r="S28" s="704">
        <f t="shared" si="10"/>
        <v>100</v>
      </c>
      <c r="T28" s="703" t="s">
        <v>14</v>
      </c>
      <c r="U28" s="704">
        <f t="shared" si="11"/>
        <v>100</v>
      </c>
      <c r="V28" s="703" t="s">
        <v>14</v>
      </c>
      <c r="W28" s="704">
        <f t="shared" si="12"/>
        <v>100</v>
      </c>
      <c r="X28" s="1350"/>
      <c r="Y28" s="3763"/>
      <c r="Z28" s="1351" t="str">
        <f t="shared" si="13"/>
        <v>毗邻道路的类型与等级</v>
      </c>
      <c r="AA28" s="1348">
        <f t="shared" si="3"/>
        <v>1</v>
      </c>
      <c r="AB28" s="1348">
        <f t="shared" si="4"/>
        <v>1</v>
      </c>
      <c r="AC28" s="1348">
        <f t="shared" si="5"/>
        <v>1</v>
      </c>
    </row>
    <row r="29" spans="1:29" ht="15">
      <c r="A29" s="379"/>
      <c r="B29" s="580"/>
      <c r="C29" s="398"/>
      <c r="D29" s="399"/>
      <c r="E29" s="1898"/>
      <c r="F29" s="399"/>
      <c r="G29" s="1898"/>
      <c r="H29" s="399"/>
      <c r="I29" s="1898"/>
      <c r="J29" s="399"/>
      <c r="K29" s="562"/>
      <c r="L29" s="2715"/>
      <c r="M29" s="2709"/>
      <c r="N29" s="2709"/>
      <c r="O29" s="2767"/>
      <c r="P29" s="3763"/>
      <c r="Q29" s="1347"/>
      <c r="R29" s="703"/>
      <c r="S29" s="704"/>
      <c r="T29" s="703"/>
      <c r="U29" s="704"/>
      <c r="V29" s="703"/>
      <c r="W29" s="704"/>
      <c r="X29" s="1350"/>
      <c r="Y29" s="3763"/>
      <c r="Z29" s="1351"/>
      <c r="AA29" s="1348">
        <v>1</v>
      </c>
      <c r="AB29" s="1348">
        <v>1</v>
      </c>
      <c r="AC29" s="1348">
        <v>1</v>
      </c>
    </row>
    <row r="30" spans="1:29" ht="15">
      <c r="A30" s="379"/>
      <c r="B30" s="602" t="s">
        <v>1872</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63"/>
      <c r="Q30" s="1347" t="str">
        <f t="shared" si="8"/>
        <v>土地级别</v>
      </c>
      <c r="R30" s="703" t="s">
        <v>14</v>
      </c>
      <c r="S30" s="704">
        <f t="shared" si="10"/>
        <v>100</v>
      </c>
      <c r="T30" s="703" t="s">
        <v>14</v>
      </c>
      <c r="U30" s="704">
        <f t="shared" si="11"/>
        <v>100</v>
      </c>
      <c r="V30" s="703" t="s">
        <v>14</v>
      </c>
      <c r="W30" s="704">
        <f t="shared" si="12"/>
        <v>100</v>
      </c>
      <c r="X30" s="1350"/>
      <c r="Y30" s="3763"/>
      <c r="Z30" s="1351" t="str">
        <f t="shared" si="13"/>
        <v>土地级别</v>
      </c>
      <c r="AA30" s="1348">
        <f t="shared" si="3"/>
        <v>1</v>
      </c>
      <c r="AB30" s="1348">
        <f t="shared" si="4"/>
        <v>1</v>
      </c>
      <c r="AC30" s="1348">
        <f t="shared" si="5"/>
        <v>1</v>
      </c>
    </row>
    <row r="31" spans="1:29" ht="15">
      <c r="A31" s="358"/>
      <c r="B31" s="1960">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63"/>
      <c r="Q31" s="1347">
        <f t="shared" si="8"/>
        <v>111</v>
      </c>
      <c r="R31" s="703" t="s">
        <v>14</v>
      </c>
      <c r="S31" s="704">
        <f t="shared" si="10"/>
        <v>100</v>
      </c>
      <c r="T31" s="703" t="s">
        <v>14</v>
      </c>
      <c r="U31" s="704">
        <f t="shared" si="11"/>
        <v>100</v>
      </c>
      <c r="V31" s="703" t="s">
        <v>14</v>
      </c>
      <c r="W31" s="704">
        <f t="shared" si="12"/>
        <v>100</v>
      </c>
      <c r="X31" s="1350"/>
      <c r="Y31" s="3763"/>
      <c r="Z31" s="1351">
        <f t="shared" si="13"/>
        <v>111</v>
      </c>
      <c r="AA31" s="1348">
        <f t="shared" si="3"/>
        <v>1</v>
      </c>
      <c r="AB31" s="1348">
        <f t="shared" si="4"/>
        <v>1</v>
      </c>
      <c r="AC31" s="1348">
        <f t="shared" si="5"/>
        <v>1</v>
      </c>
    </row>
    <row r="32" spans="1:29" ht="15">
      <c r="A32" s="623"/>
      <c r="B32" s="1986">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86" t="s">
        <v>1695</v>
      </c>
      <c r="Q32" s="1347">
        <f t="shared" si="8"/>
        <v>111</v>
      </c>
      <c r="R32" s="703" t="s">
        <v>14</v>
      </c>
      <c r="S32" s="704">
        <f t="shared" si="10"/>
        <v>100</v>
      </c>
      <c r="T32" s="703" t="s">
        <v>14</v>
      </c>
      <c r="U32" s="704">
        <f t="shared" si="11"/>
        <v>100</v>
      </c>
      <c r="V32" s="703" t="s">
        <v>14</v>
      </c>
      <c r="W32" s="704">
        <f t="shared" si="12"/>
        <v>100</v>
      </c>
      <c r="X32" s="1350"/>
      <c r="Y32" s="3767" t="s">
        <v>1695</v>
      </c>
      <c r="Z32" s="1351">
        <f t="shared" si="13"/>
        <v>111</v>
      </c>
      <c r="AA32" s="1348">
        <f t="shared" si="3"/>
        <v>1</v>
      </c>
      <c r="AB32" s="1348">
        <f t="shared" si="4"/>
        <v>1</v>
      </c>
      <c r="AC32" s="1348">
        <f t="shared" si="5"/>
        <v>1</v>
      </c>
    </row>
    <row r="33" spans="1:31" s="422" customFormat="1" ht="15.75" thickBot="1">
      <c r="A33" s="624"/>
      <c r="B33" s="1987">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67"/>
      <c r="Q33" s="1347">
        <f t="shared" si="8"/>
        <v>111</v>
      </c>
      <c r="R33" s="706" t="s">
        <v>14</v>
      </c>
      <c r="S33" s="707">
        <f t="shared" si="10"/>
        <v>100</v>
      </c>
      <c r="T33" s="706" t="s">
        <v>14</v>
      </c>
      <c r="U33" s="707">
        <f t="shared" si="11"/>
        <v>100</v>
      </c>
      <c r="V33" s="706" t="s">
        <v>14</v>
      </c>
      <c r="W33" s="707">
        <f t="shared" si="12"/>
        <v>100</v>
      </c>
      <c r="X33" s="708"/>
      <c r="Y33" s="3767"/>
      <c r="Z33" s="709">
        <f t="shared" si="13"/>
        <v>111</v>
      </c>
      <c r="AA33" s="1348">
        <f t="shared" si="3"/>
        <v>1</v>
      </c>
      <c r="AB33" s="1348">
        <f t="shared" si="4"/>
        <v>1</v>
      </c>
      <c r="AC33" s="1348">
        <f t="shared" si="5"/>
        <v>1</v>
      </c>
    </row>
    <row r="34" spans="1:31" ht="15">
      <c r="A34" s="391" t="s">
        <v>1693</v>
      </c>
      <c r="B34" s="407" t="s">
        <v>1873</v>
      </c>
      <c r="C34" s="627">
        <f>'数据-汇总表'!D3</f>
        <v>58598.03</v>
      </c>
      <c r="D34" s="418">
        <v>100</v>
      </c>
      <c r="E34" s="627">
        <f>土地案例!E4</f>
        <v>40217.370000000003</v>
      </c>
      <c r="F34" s="418">
        <f>LOOKUP(E34,108:108,109:109)-LOOKUP(C34,108:108,109:109)+100</f>
        <v>99</v>
      </c>
      <c r="G34" s="627">
        <f>土地案例!E5</f>
        <v>26650.41</v>
      </c>
      <c r="H34" s="418">
        <f>LOOKUP(G34,108:108,109:109)-LOOKUP(C34,108:108,109:109)+100</f>
        <v>99</v>
      </c>
      <c r="I34" s="479">
        <f>土地案例!E7</f>
        <v>65024.44</v>
      </c>
      <c r="J34" s="418">
        <f>LOOKUP(I34,108:108,109:109)-LOOKUP(C34,108:108,109:109)+100</f>
        <v>100</v>
      </c>
      <c r="K34" s="562"/>
      <c r="L34" s="2715"/>
      <c r="M34" s="2709"/>
      <c r="N34" s="2709"/>
      <c r="O34" s="2767"/>
      <c r="P34" s="3767"/>
      <c r="Q34" s="1347" t="str">
        <f>B34</f>
        <v>宗地面积</v>
      </c>
      <c r="R34" s="703" t="s">
        <v>14</v>
      </c>
      <c r="S34" s="704">
        <f t="shared" si="10"/>
        <v>99</v>
      </c>
      <c r="T34" s="703" t="s">
        <v>14</v>
      </c>
      <c r="U34" s="704">
        <f t="shared" si="11"/>
        <v>99</v>
      </c>
      <c r="V34" s="703" t="s">
        <v>14</v>
      </c>
      <c r="W34" s="704">
        <f t="shared" si="12"/>
        <v>100</v>
      </c>
      <c r="X34" s="1350"/>
      <c r="Y34" s="3767"/>
      <c r="Z34" s="1351" t="str">
        <f t="shared" si="13"/>
        <v>宗地面积</v>
      </c>
      <c r="AA34" s="1348">
        <f t="shared" si="3"/>
        <v>1.0101010101010102</v>
      </c>
      <c r="AB34" s="1348">
        <f t="shared" si="4"/>
        <v>1.0101010101010102</v>
      </c>
      <c r="AC34" s="1348">
        <f t="shared" si="5"/>
        <v>1</v>
      </c>
    </row>
    <row r="35" spans="1:31" ht="15">
      <c r="A35" s="423"/>
      <c r="B35" s="375" t="s">
        <v>1874</v>
      </c>
      <c r="C35" s="1900" t="s">
        <v>3533</v>
      </c>
      <c r="D35" s="386">
        <v>100</v>
      </c>
      <c r="E35" s="1900" t="s">
        <v>3533</v>
      </c>
      <c r="F35" s="386">
        <f>SUMIF(110:110,E35,111:111)-SUMIF(110:110,C35,111:111)+100</f>
        <v>100</v>
      </c>
      <c r="G35" s="1900" t="s">
        <v>3533</v>
      </c>
      <c r="H35" s="386">
        <f>SUMIF(110:110,G35,111:111)-SUMIF(110:110,C35,111:111)+100</f>
        <v>100</v>
      </c>
      <c r="I35" s="1900" t="s">
        <v>3533</v>
      </c>
      <c r="J35" s="386">
        <f>SUMIF(110:110,I35,111:111)-SUMIF(110:110,C35,111:111)+100</f>
        <v>100</v>
      </c>
      <c r="K35" s="561">
        <v>2</v>
      </c>
      <c r="L35" s="2715"/>
      <c r="M35" s="2709"/>
      <c r="N35" s="2709"/>
      <c r="O35" s="2767"/>
      <c r="P35" s="3767"/>
      <c r="Q35" s="1347" t="str">
        <f t="shared" ref="Q35:Q40" si="14">B35</f>
        <v>宗地形状</v>
      </c>
      <c r="R35" s="703" t="s">
        <v>14</v>
      </c>
      <c r="S35" s="704">
        <f t="shared" si="10"/>
        <v>100</v>
      </c>
      <c r="T35" s="703" t="s">
        <v>14</v>
      </c>
      <c r="U35" s="704">
        <f t="shared" si="11"/>
        <v>100</v>
      </c>
      <c r="V35" s="703" t="s">
        <v>14</v>
      </c>
      <c r="W35" s="704">
        <f t="shared" si="12"/>
        <v>100</v>
      </c>
      <c r="X35" s="1350"/>
      <c r="Y35" s="3767"/>
      <c r="Z35" s="1351" t="str">
        <f t="shared" si="13"/>
        <v>宗地形状</v>
      </c>
      <c r="AA35" s="1348">
        <f t="shared" si="3"/>
        <v>1</v>
      </c>
      <c r="AB35" s="1348">
        <f t="shared" si="4"/>
        <v>1</v>
      </c>
      <c r="AC35" s="1348">
        <f t="shared" si="5"/>
        <v>1</v>
      </c>
    </row>
    <row r="36" spans="1:31" s="108" customFormat="1" ht="15">
      <c r="A36" s="424"/>
      <c r="B36" s="375" t="s">
        <v>1876</v>
      </c>
      <c r="C36" s="1974" t="s">
        <v>3536</v>
      </c>
      <c r="D36" s="127">
        <v>100</v>
      </c>
      <c r="E36" s="1974" t="s">
        <v>3479</v>
      </c>
      <c r="F36" s="386">
        <f>SUMIF(112:112,E36,113:113)-SUMIF(112:112,C36,113:113)+100</f>
        <v>97</v>
      </c>
      <c r="G36" s="1974" t="s">
        <v>3479</v>
      </c>
      <c r="H36" s="386">
        <f>SUMIF(112:112,G36,113:113)-SUMIF(112:112,C36,113:113)+100</f>
        <v>97</v>
      </c>
      <c r="I36" s="1974" t="s">
        <v>3479</v>
      </c>
      <c r="J36" s="386">
        <f>SUMIF(112:112,I36,113:113)-SUMIF(112:112,C36,113:113)+100</f>
        <v>97</v>
      </c>
      <c r="K36" s="561">
        <v>1</v>
      </c>
      <c r="L36" s="2710"/>
      <c r="M36" s="2711"/>
      <c r="N36" s="2711"/>
      <c r="O36" s="2765"/>
      <c r="P36" s="3767"/>
      <c r="Q36" s="1347" t="str">
        <f t="shared" si="14"/>
        <v>宗地开发程度</v>
      </c>
      <c r="R36" s="699" t="s">
        <v>14</v>
      </c>
      <c r="S36" s="700">
        <f t="shared" si="10"/>
        <v>97</v>
      </c>
      <c r="T36" s="699" t="s">
        <v>14</v>
      </c>
      <c r="U36" s="700">
        <f t="shared" si="11"/>
        <v>97</v>
      </c>
      <c r="V36" s="699" t="s">
        <v>14</v>
      </c>
      <c r="W36" s="700">
        <f t="shared" si="12"/>
        <v>97</v>
      </c>
      <c r="X36" s="701"/>
      <c r="Y36" s="3767"/>
      <c r="Z36" s="52" t="str">
        <f t="shared" si="13"/>
        <v>宗地开发程度</v>
      </c>
      <c r="AA36" s="702">
        <f t="shared" si="3"/>
        <v>1.0309278350515463</v>
      </c>
      <c r="AB36" s="702">
        <f t="shared" si="4"/>
        <v>1.0309278350515463</v>
      </c>
      <c r="AC36" s="702">
        <f t="shared" si="5"/>
        <v>1.0309278350515463</v>
      </c>
    </row>
    <row r="37" spans="1:31" ht="15">
      <c r="A37" s="423"/>
      <c r="B37" s="375" t="s">
        <v>1877</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15"/>
      <c r="M37" s="2709"/>
      <c r="N37" s="2709"/>
      <c r="O37" s="2767"/>
      <c r="P37" s="3767" t="s">
        <v>1695</v>
      </c>
      <c r="Q37" s="1347" t="str">
        <f t="shared" si="14"/>
        <v>工程地质条件</v>
      </c>
      <c r="R37" s="703" t="s">
        <v>14</v>
      </c>
      <c r="S37" s="704">
        <f t="shared" si="10"/>
        <v>100</v>
      </c>
      <c r="T37" s="703" t="s">
        <v>14</v>
      </c>
      <c r="U37" s="704">
        <f t="shared" si="11"/>
        <v>100</v>
      </c>
      <c r="V37" s="703" t="s">
        <v>14</v>
      </c>
      <c r="W37" s="704">
        <f t="shared" si="12"/>
        <v>100</v>
      </c>
      <c r="X37" s="1350"/>
      <c r="Y37" s="3767" t="s">
        <v>1695</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67"/>
      <c r="Q38" s="1347">
        <f t="shared" si="14"/>
        <v>111</v>
      </c>
      <c r="R38" s="703" t="s">
        <v>14</v>
      </c>
      <c r="S38" s="704">
        <f t="shared" si="10"/>
        <v>100</v>
      </c>
      <c r="T38" s="703" t="s">
        <v>14</v>
      </c>
      <c r="U38" s="704">
        <f t="shared" si="11"/>
        <v>100</v>
      </c>
      <c r="V38" s="703" t="s">
        <v>14</v>
      </c>
      <c r="W38" s="704">
        <f t="shared" si="12"/>
        <v>100</v>
      </c>
      <c r="X38" s="1350"/>
      <c r="Y38" s="3767"/>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67"/>
      <c r="Q39" s="1347">
        <f t="shared" si="14"/>
        <v>111</v>
      </c>
      <c r="R39" s="703" t="s">
        <v>14</v>
      </c>
      <c r="S39" s="704">
        <f t="shared" si="10"/>
        <v>100</v>
      </c>
      <c r="T39" s="703" t="s">
        <v>14</v>
      </c>
      <c r="U39" s="704">
        <f t="shared" si="11"/>
        <v>100</v>
      </c>
      <c r="V39" s="703" t="s">
        <v>14</v>
      </c>
      <c r="W39" s="704">
        <f t="shared" si="12"/>
        <v>100</v>
      </c>
      <c r="X39" s="1350"/>
      <c r="Y39" s="3767"/>
      <c r="Z39" s="1351">
        <f t="shared" si="13"/>
        <v>111</v>
      </c>
      <c r="AA39" s="1348">
        <f t="shared" si="3"/>
        <v>1</v>
      </c>
      <c r="AB39" s="1348">
        <f t="shared" si="4"/>
        <v>1</v>
      </c>
      <c r="AC39" s="1348">
        <f t="shared" si="5"/>
        <v>1</v>
      </c>
    </row>
    <row r="40" spans="1:31" s="422" customFormat="1" ht="15.75" thickBot="1">
      <c r="A40" s="419"/>
      <c r="B40" s="1129">
        <v>111</v>
      </c>
      <c r="C40" s="1975"/>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67"/>
      <c r="Q40" s="1347">
        <f t="shared" si="14"/>
        <v>111</v>
      </c>
      <c r="R40" s="706" t="s">
        <v>14</v>
      </c>
      <c r="S40" s="707">
        <f t="shared" si="10"/>
        <v>100</v>
      </c>
      <c r="T40" s="706" t="s">
        <v>14</v>
      </c>
      <c r="U40" s="707">
        <f t="shared" si="11"/>
        <v>100</v>
      </c>
      <c r="V40" s="706" t="s">
        <v>14</v>
      </c>
      <c r="W40" s="707">
        <f t="shared" si="12"/>
        <v>100</v>
      </c>
      <c r="X40" s="708"/>
      <c r="Y40" s="3767"/>
      <c r="Z40" s="709">
        <f t="shared" si="13"/>
        <v>111</v>
      </c>
      <c r="AA40" s="1348">
        <f t="shared" si="3"/>
        <v>1</v>
      </c>
      <c r="AB40" s="1348">
        <f t="shared" si="4"/>
        <v>1</v>
      </c>
      <c r="AC40" s="1348">
        <f t="shared" si="5"/>
        <v>1</v>
      </c>
    </row>
    <row r="41" spans="1:31" ht="15">
      <c r="A41" s="430" t="s">
        <v>1843</v>
      </c>
      <c r="B41" s="1976" t="s">
        <v>3530</v>
      </c>
      <c r="C41" s="630" t="s">
        <v>0</v>
      </c>
      <c r="D41" s="432"/>
      <c r="E41" s="433">
        <f>土地案例!W4</f>
        <v>1250</v>
      </c>
      <c r="F41" s="434"/>
      <c r="G41" s="435">
        <f>土地案例!W5</f>
        <v>1238</v>
      </c>
      <c r="H41" s="436"/>
      <c r="I41" s="433">
        <f>土地案例!W7</f>
        <v>1249</v>
      </c>
      <c r="J41" s="436"/>
      <c r="K41" s="712"/>
      <c r="L41" s="2717"/>
      <c r="M41" s="2709"/>
      <c r="N41" s="2709"/>
      <c r="O41" s="2718"/>
      <c r="P41" s="3760" t="str">
        <f>A41</f>
        <v>成交单价</v>
      </c>
      <c r="Q41" s="3760"/>
      <c r="R41" s="3755">
        <f>E41</f>
        <v>1250</v>
      </c>
      <c r="S41" s="3755"/>
      <c r="T41" s="3755">
        <f>G41</f>
        <v>1238</v>
      </c>
      <c r="U41" s="3755"/>
      <c r="V41" s="3755">
        <f>I41</f>
        <v>1249</v>
      </c>
      <c r="W41" s="3755"/>
      <c r="X41" s="688"/>
      <c r="Y41" s="710"/>
      <c r="Z41" s="688"/>
      <c r="AA41" s="688"/>
      <c r="AB41" s="688"/>
      <c r="AC41" s="688"/>
    </row>
    <row r="42" spans="1:31" ht="15.75" thickBot="1">
      <c r="A42" s="437" t="s">
        <v>1792</v>
      </c>
      <c r="B42" s="631"/>
      <c r="C42" s="440">
        <f>R43</f>
        <v>1208</v>
      </c>
      <c r="D42" s="2311" t="s">
        <v>2136</v>
      </c>
      <c r="E42" s="440">
        <f>R42</f>
        <v>1217</v>
      </c>
      <c r="F42" s="2312"/>
      <c r="G42" s="439">
        <f>T42</f>
        <v>1205</v>
      </c>
      <c r="H42" s="2312"/>
      <c r="I42" s="440">
        <f>V42</f>
        <v>1203</v>
      </c>
      <c r="J42" s="2312"/>
      <c r="K42" s="2314">
        <f>F42+H42+J42</f>
        <v>0</v>
      </c>
      <c r="L42" s="2717"/>
      <c r="M42" s="2709"/>
      <c r="N42" s="2709"/>
      <c r="O42" s="2718"/>
      <c r="P42" s="3760" t="str">
        <f>A42</f>
        <v>比较价值（元/平方米）</v>
      </c>
      <c r="Q42" s="3760"/>
      <c r="R42" s="3788">
        <f>ROUND(PRODUCT(R41,AA7:AA40),0)</f>
        <v>1217</v>
      </c>
      <c r="S42" s="3788"/>
      <c r="T42" s="3788">
        <f>ROUND(PRODUCT(T41,AB7:AB40),0)</f>
        <v>1205</v>
      </c>
      <c r="U42" s="3788"/>
      <c r="V42" s="3788">
        <f>ROUND(PRODUCT(V41,AC7:AC40),0)</f>
        <v>1203</v>
      </c>
      <c r="W42" s="3788"/>
      <c r="X42" s="688"/>
      <c r="Y42" s="688"/>
      <c r="Z42" s="688"/>
      <c r="AA42" s="688"/>
      <c r="AB42" s="688"/>
      <c r="AC42" s="688"/>
    </row>
    <row r="43" spans="1:31" ht="15.75" thickBot="1">
      <c r="A43" s="441" t="s">
        <v>1793</v>
      </c>
      <c r="B43" s="442"/>
      <c r="C43" s="443">
        <f>R43</f>
        <v>1208</v>
      </c>
      <c r="D43" s="443"/>
      <c r="E43" s="443"/>
      <c r="F43" s="443"/>
      <c r="G43" s="443"/>
      <c r="H43" s="443"/>
      <c r="I43" s="443"/>
      <c r="J43" s="443"/>
      <c r="K43" s="713"/>
      <c r="L43" s="2717"/>
      <c r="M43" s="2709"/>
      <c r="N43" s="2709"/>
      <c r="O43" s="2718"/>
      <c r="P43" s="3757" t="str">
        <f>A43</f>
        <v>估价对象XX用房的比较价值（楼面单价，元/平方米）</v>
      </c>
      <c r="Q43" s="3758"/>
      <c r="R43" s="3789">
        <f>ROUND(IF(D42="简单平均",AVERAGE(R42:W42),R42*F42+T42*H42+V42*J42),0)</f>
        <v>1208</v>
      </c>
      <c r="S43" s="3789"/>
      <c r="T43" s="3789"/>
      <c r="U43" s="3789"/>
      <c r="V43" s="3789"/>
      <c r="W43" s="3789"/>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f>IF(E41&lt;E42,E42/E41-1,E41/E42-1)</f>
        <v>2.7115858668857795E-2</v>
      </c>
      <c r="F46" s="449" t="str">
        <f>IF(OR(E46&gt;=0.3,E46&lt;=-0.3),"超过30%","")</f>
        <v/>
      </c>
      <c r="G46" s="448">
        <f>IF(G41&lt;G42,G42/G41-1,G41/G42-1)</f>
        <v>2.7385892116182475E-2</v>
      </c>
      <c r="H46" s="449" t="str">
        <f>IF(OR(G46&gt;=0.3,G46&lt;=-0.3),"超过30%","")</f>
        <v/>
      </c>
      <c r="I46" s="448">
        <f>IF(I41&lt;I42,I42/I41-1,I41/I42-1)</f>
        <v>3.8237738985868575E-2</v>
      </c>
      <c r="J46" s="449" t="str">
        <f>IF(OR(I46&gt;=0.3,I46&lt;=-0.3),"超过30%","")</f>
        <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f>IF(E42&lt;G42,G42/E42-1,E42/G42-1)</f>
        <v>9.9585062240663547E-3</v>
      </c>
      <c r="F47" s="449" t="str">
        <f>IF(OR(E47&gt;=0.2,E47&lt;=-0.2),"超过20%","")</f>
        <v/>
      </c>
      <c r="G47" s="448">
        <f>IF(G42&lt;I42,I42/G42-1,G42/I42-1)</f>
        <v>1.6625103906899863E-3</v>
      </c>
      <c r="H47" s="449" t="str">
        <f>IF(OR(G47&gt;=0.2,G47&lt;=-0.2),"超过20%","")</f>
        <v/>
      </c>
      <c r="I47" s="448">
        <f>IF(I42&lt;E42,E42/I42-1,I42/E42-1)</f>
        <v>1.1637572734829682E-2</v>
      </c>
      <c r="J47" s="449" t="str">
        <f>IF(OR(I47&gt;=0.2,I47&lt;=-0.2),"超过20%","")</f>
        <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f>IF(E41&lt;G41,G41/E41-1,E41/G41-1)</f>
        <v>9.6930533117931539E-3</v>
      </c>
      <c r="F48" s="449" t="str">
        <f>IF(OR(E48&gt;=0.3,E48&lt;=-0.3),"超过30%","")</f>
        <v/>
      </c>
      <c r="G48" s="448">
        <f>IF(G41&lt;I41,I41/G41-1,G41/I41-1)</f>
        <v>8.8852988691436874E-3</v>
      </c>
      <c r="H48" s="449" t="str">
        <f>IF(OR(G48&gt;=0.3,G48&lt;=-0.3),"超过30%","")</f>
        <v/>
      </c>
      <c r="I48" s="448">
        <f>IF(I41&lt;E41,E41/I41-1,I41/E41-1)</f>
        <v>8.0064051240991141E-4</v>
      </c>
      <c r="J48" s="449" t="str">
        <f>IF(OR(I48&gt;=0.3,I48&lt;=-0.3),"超过30%","")</f>
        <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1880</v>
      </c>
      <c r="B50" s="633" t="s">
        <v>1881</v>
      </c>
      <c r="C50" s="1977" t="s">
        <v>1882</v>
      </c>
      <c r="D50" s="1978" t="s">
        <v>1883</v>
      </c>
      <c r="E50" s="634" t="s">
        <v>1884</v>
      </c>
      <c r="F50" s="635" t="s">
        <v>1885</v>
      </c>
      <c r="G50" s="3743" t="s">
        <v>1886</v>
      </c>
      <c r="H50" s="3790"/>
      <c r="I50" s="1351" t="s">
        <v>1921</v>
      </c>
      <c r="J50" s="1351">
        <f>项目基本情况!F35</f>
        <v>0</v>
      </c>
      <c r="K50" s="1980"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1889</v>
      </c>
      <c r="B51" s="637">
        <f>C43</f>
        <v>1208</v>
      </c>
      <c r="C51" s="638">
        <v>1</v>
      </c>
      <c r="D51" s="939">
        <v>1</v>
      </c>
      <c r="E51" s="638">
        <f>'数据-汇总表'!E8+'数据-汇总表'!E9</f>
        <v>116204.73999999999</v>
      </c>
      <c r="F51" s="639">
        <f t="shared" ref="F51:F60" si="15">ROUND(B51*E51/10000,0)</f>
        <v>14038</v>
      </c>
      <c r="G51" s="3742"/>
      <c r="H51" s="3760"/>
      <c r="I51" s="768">
        <v>1</v>
      </c>
      <c r="J51" s="768">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1890</v>
      </c>
      <c r="B52" s="218">
        <f>ROUND($C$43*C52*D52,0)</f>
        <v>0</v>
      </c>
      <c r="C52" s="171">
        <f t="shared" ref="C52:C60" si="16">IF($C$50="北京市系数",I52,J52)</f>
        <v>0</v>
      </c>
      <c r="D52" s="940">
        <v>0.25</v>
      </c>
      <c r="E52" s="642"/>
      <c r="F52" s="639">
        <f t="shared" si="15"/>
        <v>0</v>
      </c>
      <c r="G52" s="2999" t="s">
        <v>1891</v>
      </c>
      <c r="H52" s="882">
        <f>项目基本情况!B37</f>
        <v>0</v>
      </c>
      <c r="I52" s="768">
        <f>SUMIF(修正!A57:A68,H52,修正!B57:B68)</f>
        <v>0</v>
      </c>
      <c r="J52" s="769"/>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1892</v>
      </c>
      <c r="B53" s="218">
        <f t="shared" ref="B53:B60" si="17">ROUND($C$43*C53*D53,0)</f>
        <v>0</v>
      </c>
      <c r="C53" s="171">
        <f t="shared" si="16"/>
        <v>0</v>
      </c>
      <c r="D53" s="940">
        <v>0.25</v>
      </c>
      <c r="E53" s="642"/>
      <c r="F53" s="639">
        <f t="shared" si="15"/>
        <v>0</v>
      </c>
      <c r="G53" s="3000"/>
      <c r="H53" s="882">
        <f>项目基本情况!B37</f>
        <v>0</v>
      </c>
      <c r="I53" s="768">
        <f>SUMIF(修正!A57:A68,H53,修正!C57:C68)</f>
        <v>0</v>
      </c>
      <c r="J53" s="769"/>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1893</v>
      </c>
      <c r="B54" s="218">
        <f t="shared" si="17"/>
        <v>0</v>
      </c>
      <c r="C54" s="171">
        <f t="shared" si="16"/>
        <v>0</v>
      </c>
      <c r="D54" s="940">
        <v>0.25</v>
      </c>
      <c r="E54" s="642"/>
      <c r="F54" s="639">
        <f t="shared" si="15"/>
        <v>0</v>
      </c>
      <c r="G54" s="3000"/>
      <c r="H54" s="882">
        <f>项目基本情况!B37</f>
        <v>0</v>
      </c>
      <c r="I54" s="768">
        <f>SUMIF(修正!A57:A68,H54,修正!D57:D68)</f>
        <v>0</v>
      </c>
      <c r="J54" s="769"/>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0"/>
      <c r="E55" s="642"/>
      <c r="F55" s="639"/>
      <c r="G55" s="3001"/>
      <c r="H55" s="882"/>
      <c r="I55" s="768"/>
      <c r="J55" s="769"/>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1894</v>
      </c>
      <c r="B56" s="218">
        <f t="shared" si="17"/>
        <v>0</v>
      </c>
      <c r="C56" s="171">
        <f t="shared" si="16"/>
        <v>0</v>
      </c>
      <c r="D56" s="940">
        <v>0.25</v>
      </c>
      <c r="E56" s="217">
        <f>'数据-汇总表'!E11</f>
        <v>0</v>
      </c>
      <c r="F56" s="639">
        <f t="shared" si="15"/>
        <v>0</v>
      </c>
      <c r="G56" s="1981" t="s">
        <v>1895</v>
      </c>
      <c r="H56" s="882">
        <f>项目基本情况!C37</f>
        <v>0</v>
      </c>
      <c r="I56" s="768">
        <f>SUMIF(修正!A57:A68,H56,修正!E57:E68)</f>
        <v>0</v>
      </c>
      <c r="J56" s="769"/>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1896</v>
      </c>
      <c r="B57" s="218">
        <f t="shared" si="17"/>
        <v>0</v>
      </c>
      <c r="C57" s="171">
        <f t="shared" si="16"/>
        <v>0</v>
      </c>
      <c r="D57" s="940">
        <v>0.25</v>
      </c>
      <c r="E57" s="217">
        <f>'数据-汇总表'!E12</f>
        <v>0</v>
      </c>
      <c r="F57" s="639">
        <f t="shared" si="15"/>
        <v>0</v>
      </c>
      <c r="G57" s="887" t="s">
        <v>1897</v>
      </c>
      <c r="H57" s="882">
        <f>IF(G57="商业",项目基本情况!B37,IF(G57="办公",项目基本情况!C37,IF(G57="住宅",项目基本情况!D37,项目基本情况!E37)))</f>
        <v>0</v>
      </c>
      <c r="I57" s="768">
        <f>SUMIF(修正!A57:A68,H57,修正!F57:F68)</f>
        <v>0</v>
      </c>
      <c r="J57" s="769"/>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1898</v>
      </c>
      <c r="B58" s="218">
        <f t="shared" si="17"/>
        <v>0</v>
      </c>
      <c r="C58" s="171">
        <f t="shared" si="16"/>
        <v>0</v>
      </c>
      <c r="D58" s="940">
        <v>0.25</v>
      </c>
      <c r="E58" s="217">
        <f>'数据-汇总表'!E13</f>
        <v>0</v>
      </c>
      <c r="F58" s="639">
        <f t="shared" si="15"/>
        <v>0</v>
      </c>
      <c r="G58" s="887" t="s">
        <v>1899</v>
      </c>
      <c r="H58" s="882">
        <f>IF(G58="商业",项目基本情况!B37,IF(G58="办公",项目基本情况!C37,IF(G58="住宅",项目基本情况!D37,项目基本情况!E37)))</f>
        <v>0</v>
      </c>
      <c r="I58" s="768">
        <f>SUMIF(修正!A57:A68,H58,修正!G57:G68)</f>
        <v>0</v>
      </c>
      <c r="J58" s="769"/>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1900</v>
      </c>
      <c r="B59" s="218">
        <f t="shared" si="17"/>
        <v>0</v>
      </c>
      <c r="C59" s="171">
        <f t="shared" si="16"/>
        <v>0</v>
      </c>
      <c r="D59" s="940">
        <v>0.25</v>
      </c>
      <c r="E59" s="217">
        <f>'数据-汇总表'!E14</f>
        <v>0</v>
      </c>
      <c r="F59" s="639">
        <f t="shared" si="15"/>
        <v>0</v>
      </c>
      <c r="G59" s="1981" t="s">
        <v>1891</v>
      </c>
      <c r="H59" s="882">
        <f>项目基本情况!B37</f>
        <v>0</v>
      </c>
      <c r="I59" s="768">
        <f>SUMIF(修正!A57:A68,H59,修正!G57:G68)</f>
        <v>0</v>
      </c>
      <c r="J59" s="769"/>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1901</v>
      </c>
      <c r="B60" s="218">
        <f t="shared" si="17"/>
        <v>0</v>
      </c>
      <c r="C60" s="171">
        <f t="shared" si="16"/>
        <v>0</v>
      </c>
      <c r="D60" s="940">
        <v>0.25</v>
      </c>
      <c r="E60" s="217">
        <f>'数据-汇总表'!E15</f>
        <v>0</v>
      </c>
      <c r="F60" s="639">
        <f t="shared" si="15"/>
        <v>0</v>
      </c>
      <c r="G60" s="1982" t="s">
        <v>1895</v>
      </c>
      <c r="H60" s="892">
        <f>项目基本情况!C37</f>
        <v>0</v>
      </c>
      <c r="I60" s="768">
        <f>SUMIF(修正!A57:A68,H60,修正!G57:G68)</f>
        <v>0</v>
      </c>
      <c r="J60" s="769"/>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1902</v>
      </c>
      <c r="B61" s="644" t="s">
        <v>22</v>
      </c>
      <c r="C61" s="644" t="s">
        <v>23</v>
      </c>
      <c r="D61" s="644" t="s">
        <v>392</v>
      </c>
      <c r="E61" s="644">
        <f>IF(B41="楼面地价",SUM(E51:E60),'数据-汇总表'!D3)</f>
        <v>116204.73999999999</v>
      </c>
      <c r="F61" s="645">
        <f>IF(B41="楼面地价",SUM(F51:F60),ROUND(C43*E61/10000,0))</f>
        <v>14038</v>
      </c>
      <c r="G61" s="934"/>
      <c r="H61" s="934"/>
      <c r="I61" s="934"/>
      <c r="J61" s="934"/>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2"/>
      <c r="B62" s="924"/>
      <c r="C62" s="926"/>
      <c r="D62" s="922"/>
      <c r="E62" s="922"/>
      <c r="F62" s="922"/>
      <c r="G62" s="922"/>
      <c r="H62" s="922"/>
      <c r="I62" s="922"/>
      <c r="J62" s="922"/>
      <c r="K62" s="883"/>
      <c r="L62" s="884"/>
      <c r="M62" s="922"/>
      <c r="N62" s="922"/>
      <c r="O62" s="922"/>
      <c r="P62" s="2718"/>
      <c r="Q62" s="2718"/>
      <c r="R62" s="2718"/>
      <c r="S62" s="2718"/>
      <c r="T62" s="2718"/>
      <c r="U62" s="2718"/>
      <c r="V62" s="2718"/>
      <c r="W62" s="2718"/>
      <c r="X62" s="2718"/>
      <c r="Y62" s="2718"/>
      <c r="Z62" s="2718"/>
      <c r="AA62" s="2718"/>
      <c r="AB62" s="2718"/>
      <c r="AC62" s="2718"/>
      <c r="AD62" s="2718"/>
      <c r="AE62" s="2718"/>
    </row>
    <row r="63" spans="1:31">
      <c r="A63" s="922"/>
      <c r="B63" s="924"/>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2" t="s">
        <v>1797</v>
      </c>
      <c r="B64" s="688"/>
      <c r="C64" s="693"/>
      <c r="D64" s="693"/>
      <c r="E64" s="693"/>
      <c r="F64" s="694"/>
      <c r="G64" s="694"/>
      <c r="H64" s="693"/>
      <c r="I64" s="693"/>
      <c r="J64" s="693"/>
      <c r="K64" s="695"/>
      <c r="L64" s="696"/>
      <c r="M64" s="693"/>
      <c r="N64" s="693"/>
      <c r="O64" s="935"/>
      <c r="P64" s="2762"/>
      <c r="Q64" s="2732"/>
      <c r="R64" s="2718"/>
      <c r="S64" s="2718"/>
      <c r="T64" s="2718"/>
      <c r="U64" s="2718"/>
      <c r="V64" s="2718"/>
      <c r="W64" s="2718"/>
      <c r="X64" s="2718"/>
      <c r="Y64" s="2718"/>
      <c r="Z64" s="2718"/>
      <c r="AA64" s="2718"/>
      <c r="AB64" s="2718"/>
      <c r="AC64" s="2718"/>
      <c r="AD64" s="2718"/>
      <c r="AE64" s="2718"/>
    </row>
    <row r="65" spans="1:31" s="457" customFormat="1" ht="15">
      <c r="A65" s="1983" t="s">
        <v>1903</v>
      </c>
      <c r="B65" s="1104"/>
      <c r="C65" s="1177" t="str">
        <f>YEAR(C63)&amp;"-"&amp;ROUNDUP(MONTH(C63)/3,0)</f>
        <v>2024-2</v>
      </c>
      <c r="D65" s="1177" t="str">
        <f t="shared" ref="D65:O65" si="19">YEAR(D63)&amp;"-"&amp;ROUNDUP(MONTH(D63)/3,0)</f>
        <v>2024-1</v>
      </c>
      <c r="E65" s="1177" t="str">
        <f t="shared" si="19"/>
        <v>2023-4</v>
      </c>
      <c r="F65" s="1177" t="str">
        <f t="shared" si="19"/>
        <v>2023-3</v>
      </c>
      <c r="G65" s="1177" t="str">
        <f t="shared" si="19"/>
        <v>2023-2</v>
      </c>
      <c r="H65" s="1177" t="str">
        <f t="shared" si="19"/>
        <v>2023-1</v>
      </c>
      <c r="I65" s="1177" t="str">
        <f t="shared" si="19"/>
        <v>2022-4</v>
      </c>
      <c r="J65" s="1177" t="str">
        <f t="shared" si="19"/>
        <v>2022-3</v>
      </c>
      <c r="K65" s="1177" t="str">
        <f t="shared" si="19"/>
        <v>2022-2</v>
      </c>
      <c r="L65" s="1177" t="str">
        <f t="shared" si="19"/>
        <v>2022-1</v>
      </c>
      <c r="M65" s="1177" t="str">
        <f t="shared" si="19"/>
        <v>2021-4</v>
      </c>
      <c r="N65" s="1177" t="str">
        <f t="shared" si="19"/>
        <v>2021-3</v>
      </c>
      <c r="O65" s="1177" t="str">
        <f t="shared" si="19"/>
        <v>2021-2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8" t="s">
        <v>1922</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1173"/>
      <c r="O66" s="1175"/>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1718</v>
      </c>
      <c r="B70" s="477" t="s">
        <v>1684</v>
      </c>
      <c r="C70" s="3503" t="s">
        <v>3531</v>
      </c>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0（含）-1</v>
      </c>
      <c r="D74" s="496" t="str">
        <f t="shared" ref="D74:L74" si="20">D75&amp;"（含）"&amp;"-"&amp;E75</f>
        <v>1（含）-2</v>
      </c>
      <c r="E74" s="496" t="str">
        <f t="shared" si="20"/>
        <v>2（含）-3</v>
      </c>
      <c r="F74" s="496" t="str">
        <f t="shared" si="20"/>
        <v>3（含）-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v>0</v>
      </c>
      <c r="D75" s="498">
        <v>1</v>
      </c>
      <c r="E75" s="498">
        <v>2</v>
      </c>
      <c r="F75" s="498">
        <v>3</v>
      </c>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98</v>
      </c>
      <c r="E76" s="493">
        <f t="shared" ref="E76:M76" si="21">IF($B$41="单位面积地价",D76+$K11,D76-$K11)</f>
        <v>96</v>
      </c>
      <c r="F76" s="493">
        <f t="shared" si="21"/>
        <v>94</v>
      </c>
      <c r="G76" s="493">
        <f t="shared" si="21"/>
        <v>92</v>
      </c>
      <c r="H76" s="493">
        <f t="shared" si="21"/>
        <v>90</v>
      </c>
      <c r="I76" s="493">
        <f t="shared" si="21"/>
        <v>88</v>
      </c>
      <c r="J76" s="493">
        <f t="shared" si="21"/>
        <v>86</v>
      </c>
      <c r="K76" s="493">
        <f t="shared" si="21"/>
        <v>84</v>
      </c>
      <c r="L76" s="493">
        <f t="shared" si="21"/>
        <v>82</v>
      </c>
      <c r="M76" s="493">
        <f t="shared" si="21"/>
        <v>80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97</v>
      </c>
      <c r="E84" s="493">
        <f>D84-$K15</f>
        <v>94</v>
      </c>
      <c r="F84" s="493">
        <f>E84-$K15</f>
        <v>91</v>
      </c>
      <c r="G84" s="493">
        <f>F84-$K15</f>
        <v>88</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98</v>
      </c>
      <c r="E86" s="493">
        <f>D86-$K17</f>
        <v>96</v>
      </c>
      <c r="F86" s="493">
        <f>E86-$K17</f>
        <v>94</v>
      </c>
      <c r="G86" s="493">
        <f>F86-$K17</f>
        <v>92</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7"/>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ht="28.5">
      <c r="A107" s="476" t="s">
        <v>1693</v>
      </c>
      <c r="B107" s="477" t="s">
        <v>1912</v>
      </c>
      <c r="C107" s="478" t="str">
        <f t="shared" ref="C107:L107" si="25">C108&amp;"(含)"&amp;"-"&amp;D108</f>
        <v>0(含)-50000</v>
      </c>
      <c r="D107" s="478" t="str">
        <f t="shared" si="25"/>
        <v>50000(含)-100000</v>
      </c>
      <c r="E107" s="478" t="str">
        <f t="shared" si="25"/>
        <v>100000(含)-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v>0</v>
      </c>
      <c r="D108" s="544">
        <v>50000</v>
      </c>
      <c r="E108" s="544">
        <v>100000</v>
      </c>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v>100</v>
      </c>
      <c r="D109" s="540">
        <v>101</v>
      </c>
      <c r="E109" s="540">
        <v>102</v>
      </c>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3504" t="s">
        <v>3534</v>
      </c>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3511" t="s">
        <v>3535</v>
      </c>
      <c r="D112" s="3511" t="s">
        <v>3537</v>
      </c>
      <c r="E112" s="3511" t="s">
        <v>3538</v>
      </c>
      <c r="F112" s="3511" t="s">
        <v>3539</v>
      </c>
      <c r="G112" s="3511" t="s">
        <v>3540</v>
      </c>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W26" sqref="W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8" t="s">
        <v>2081</v>
      </c>
      <c r="C1" s="3798" t="s">
        <v>2082</v>
      </c>
      <c r="D1" s="3799"/>
      <c r="E1" s="3799"/>
      <c r="F1" s="3799"/>
      <c r="G1" s="3799"/>
      <c r="H1" s="3799"/>
      <c r="I1" s="3799"/>
      <c r="J1" s="3799"/>
      <c r="K1" s="3799"/>
      <c r="L1" s="3799"/>
      <c r="M1" s="3799"/>
      <c r="N1" s="3799"/>
      <c r="O1" s="3799"/>
      <c r="P1" s="3799"/>
      <c r="Q1" s="3799"/>
      <c r="R1" s="3799"/>
      <c r="S1" s="3800"/>
      <c r="T1" s="978" t="s">
        <v>2083</v>
      </c>
    </row>
    <row r="2" spans="1:45" s="655" customFormat="1" ht="38.25">
      <c r="A2" s="979"/>
      <c r="B2" s="651" t="s">
        <v>2084</v>
      </c>
      <c r="C2" s="652" t="str">
        <f t="shared" ref="C2:L2" si="0">C3&amp;"(含)"&amp;"-"&amp;D3</f>
        <v>0(含)-200</v>
      </c>
      <c r="D2" s="653" t="str">
        <f t="shared" si="0"/>
        <v>200(含)-400</v>
      </c>
      <c r="E2" s="653" t="str">
        <f t="shared" si="0"/>
        <v>400(含)-600</v>
      </c>
      <c r="F2" s="653" t="str">
        <f t="shared" si="0"/>
        <v>600(含)-800</v>
      </c>
      <c r="G2" s="653" t="str">
        <f t="shared" si="0"/>
        <v>800(含)-1000</v>
      </c>
      <c r="H2" s="653" t="str">
        <f t="shared" si="0"/>
        <v>1000(含)-1500</v>
      </c>
      <c r="I2" s="653" t="str">
        <f t="shared" si="0"/>
        <v>1500(含)-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1"/>
      <c r="B3" s="656"/>
      <c r="C3" s="6">
        <v>0</v>
      </c>
      <c r="D3" s="6">
        <v>200</v>
      </c>
      <c r="E3" s="6">
        <v>400</v>
      </c>
      <c r="F3" s="6">
        <v>600</v>
      </c>
      <c r="G3" s="6">
        <v>800</v>
      </c>
      <c r="H3" s="6">
        <v>1000</v>
      </c>
      <c r="I3" s="6">
        <v>1500</v>
      </c>
      <c r="J3" s="1300"/>
      <c r="K3" s="1300"/>
      <c r="L3" s="1301"/>
      <c r="M3" s="1302"/>
      <c r="N3" s="1302"/>
      <c r="O3" s="1300"/>
      <c r="P3" s="1300"/>
      <c r="Q3" s="1300"/>
      <c r="R3" s="1300"/>
      <c r="S3" s="1303"/>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2"/>
      <c r="B4" s="983"/>
      <c r="C4" s="3494">
        <v>100</v>
      </c>
      <c r="D4" s="3495">
        <f>C4-$N$104</f>
        <v>100</v>
      </c>
      <c r="E4" s="3495">
        <f t="shared" ref="E4:H4" si="7">D4-$N$104</f>
        <v>100</v>
      </c>
      <c r="F4" s="3495">
        <f t="shared" si="7"/>
        <v>100</v>
      </c>
      <c r="G4" s="3495">
        <f t="shared" si="7"/>
        <v>100</v>
      </c>
      <c r="H4" s="3495">
        <f t="shared" si="7"/>
        <v>100</v>
      </c>
      <c r="I4" s="3495">
        <v>94</v>
      </c>
      <c r="J4" s="1304"/>
      <c r="K4" s="1304"/>
      <c r="L4" s="1304"/>
      <c r="M4" s="1305"/>
      <c r="N4" s="1305"/>
      <c r="O4" s="1304"/>
      <c r="P4" s="1304"/>
      <c r="Q4" s="1304"/>
      <c r="R4" s="1304"/>
      <c r="S4" s="1306"/>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89"/>
      <c r="B5" s="1331" t="s">
        <v>2085</v>
      </c>
      <c r="C5" s="990"/>
      <c r="D5" s="991"/>
      <c r="E5" s="991"/>
      <c r="F5" s="1307"/>
      <c r="G5" s="1307"/>
      <c r="H5" s="1307"/>
      <c r="I5" s="1307"/>
      <c r="J5" s="1307"/>
      <c r="K5" s="1307"/>
      <c r="L5" s="1308"/>
      <c r="M5" s="1309"/>
      <c r="N5" s="1309"/>
      <c r="O5" s="1307"/>
      <c r="P5" s="1307"/>
      <c r="Q5" s="1307"/>
      <c r="R5" s="1307"/>
      <c r="S5" s="1310"/>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89"/>
      <c r="B6" s="894"/>
      <c r="C6" s="900">
        <v>100</v>
      </c>
      <c r="D6" s="897">
        <f>C6-$T5</f>
        <v>100</v>
      </c>
      <c r="E6" s="897">
        <f t="shared" ref="E6:S6" si="8">D6-$T5</f>
        <v>100</v>
      </c>
      <c r="F6" s="1311">
        <f t="shared" si="8"/>
        <v>100</v>
      </c>
      <c r="G6" s="1311">
        <f t="shared" si="8"/>
        <v>100</v>
      </c>
      <c r="H6" s="1311">
        <f t="shared" si="8"/>
        <v>100</v>
      </c>
      <c r="I6" s="1311">
        <f t="shared" si="8"/>
        <v>100</v>
      </c>
      <c r="J6" s="1311">
        <f t="shared" si="8"/>
        <v>100</v>
      </c>
      <c r="K6" s="1311">
        <f t="shared" si="8"/>
        <v>100</v>
      </c>
      <c r="L6" s="1311">
        <f t="shared" si="8"/>
        <v>100</v>
      </c>
      <c r="M6" s="1311">
        <f t="shared" si="8"/>
        <v>100</v>
      </c>
      <c r="N6" s="1311">
        <f t="shared" si="8"/>
        <v>100</v>
      </c>
      <c r="O6" s="1311">
        <f t="shared" si="8"/>
        <v>100</v>
      </c>
      <c r="P6" s="1311">
        <f t="shared" si="8"/>
        <v>100</v>
      </c>
      <c r="Q6" s="1311">
        <f t="shared" si="8"/>
        <v>100</v>
      </c>
      <c r="R6" s="1311">
        <f t="shared" si="8"/>
        <v>100</v>
      </c>
      <c r="S6" s="1311">
        <f t="shared" si="8"/>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89"/>
      <c r="B7" s="1332" t="s">
        <v>2086</v>
      </c>
      <c r="C7" s="899"/>
      <c r="D7" s="893"/>
      <c r="E7" s="893"/>
      <c r="F7" s="1312"/>
      <c r="G7" s="1312"/>
      <c r="H7" s="1312"/>
      <c r="I7" s="1312"/>
      <c r="J7" s="1312"/>
      <c r="K7" s="1312"/>
      <c r="L7" s="1312"/>
      <c r="M7" s="1313"/>
      <c r="N7" s="1314"/>
      <c r="O7" s="1315"/>
      <c r="P7" s="1316"/>
      <c r="Q7" s="1317"/>
      <c r="R7" s="1318"/>
      <c r="S7" s="1319"/>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89"/>
      <c r="B8" s="894"/>
      <c r="C8" s="900">
        <v>100</v>
      </c>
      <c r="D8" s="897">
        <f>C8-$T7</f>
        <v>100</v>
      </c>
      <c r="E8" s="897">
        <f t="shared" ref="E8:S8" si="9">D8-$T7</f>
        <v>100</v>
      </c>
      <c r="F8" s="1311">
        <f t="shared" si="9"/>
        <v>100</v>
      </c>
      <c r="G8" s="1311">
        <f t="shared" si="9"/>
        <v>100</v>
      </c>
      <c r="H8" s="1311">
        <f t="shared" si="9"/>
        <v>100</v>
      </c>
      <c r="I8" s="1311">
        <f t="shared" si="9"/>
        <v>100</v>
      </c>
      <c r="J8" s="1311">
        <f t="shared" si="9"/>
        <v>100</v>
      </c>
      <c r="K8" s="1311">
        <f t="shared" si="9"/>
        <v>100</v>
      </c>
      <c r="L8" s="1311">
        <f t="shared" si="9"/>
        <v>100</v>
      </c>
      <c r="M8" s="1311">
        <f t="shared" si="9"/>
        <v>100</v>
      </c>
      <c r="N8" s="1311">
        <f t="shared" si="9"/>
        <v>100</v>
      </c>
      <c r="O8" s="1311">
        <f t="shared" si="9"/>
        <v>100</v>
      </c>
      <c r="P8" s="1311">
        <f t="shared" si="9"/>
        <v>100</v>
      </c>
      <c r="Q8" s="1311">
        <f t="shared" si="9"/>
        <v>100</v>
      </c>
      <c r="R8" s="1311">
        <f t="shared" si="9"/>
        <v>100</v>
      </c>
      <c r="S8" s="1311">
        <f t="shared" si="9"/>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89"/>
      <c r="B9" s="1332" t="s">
        <v>2087</v>
      </c>
      <c r="C9" s="899"/>
      <c r="D9" s="893"/>
      <c r="E9" s="893"/>
      <c r="F9" s="1312"/>
      <c r="G9" s="1312"/>
      <c r="H9" s="1312"/>
      <c r="I9" s="1312"/>
      <c r="J9" s="1312"/>
      <c r="K9" s="1312"/>
      <c r="L9" s="1320"/>
      <c r="M9" s="1313"/>
      <c r="N9" s="1314"/>
      <c r="O9" s="1315"/>
      <c r="P9" s="1316"/>
      <c r="Q9" s="1317"/>
      <c r="R9" s="1318"/>
      <c r="S9" s="1319"/>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89"/>
      <c r="B10" s="983"/>
      <c r="C10" s="994">
        <v>100</v>
      </c>
      <c r="D10" s="995">
        <f>C10-$T9</f>
        <v>100</v>
      </c>
      <c r="E10" s="995">
        <f t="shared" ref="E10:S10" si="10">D10-$T9</f>
        <v>100</v>
      </c>
      <c r="F10" s="1321">
        <f t="shared" si="10"/>
        <v>100</v>
      </c>
      <c r="G10" s="1321">
        <f t="shared" si="10"/>
        <v>100</v>
      </c>
      <c r="H10" s="1321">
        <f t="shared" si="10"/>
        <v>100</v>
      </c>
      <c r="I10" s="1321">
        <f t="shared" si="10"/>
        <v>100</v>
      </c>
      <c r="J10" s="1321">
        <f t="shared" si="10"/>
        <v>100</v>
      </c>
      <c r="K10" s="1321">
        <f t="shared" si="10"/>
        <v>100</v>
      </c>
      <c r="L10" s="1321">
        <f t="shared" si="10"/>
        <v>100</v>
      </c>
      <c r="M10" s="1321">
        <f t="shared" si="10"/>
        <v>100</v>
      </c>
      <c r="N10" s="1321">
        <f t="shared" si="10"/>
        <v>100</v>
      </c>
      <c r="O10" s="1321">
        <f t="shared" si="10"/>
        <v>100</v>
      </c>
      <c r="P10" s="1321">
        <f t="shared" si="10"/>
        <v>100</v>
      </c>
      <c r="Q10" s="1321">
        <f t="shared" si="10"/>
        <v>100</v>
      </c>
      <c r="R10" s="1321">
        <f t="shared" si="10"/>
        <v>100</v>
      </c>
      <c r="S10" s="1321">
        <f t="shared" si="10"/>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89"/>
      <c r="B11" s="1331" t="s">
        <v>2088</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89"/>
      <c r="B12" s="894"/>
      <c r="C12" s="900">
        <v>100</v>
      </c>
      <c r="D12" s="897">
        <f>C12-$T11</f>
        <v>100</v>
      </c>
      <c r="E12" s="897">
        <f t="shared" ref="E12:S12" si="11">D12-$T11</f>
        <v>100</v>
      </c>
      <c r="F12" s="897">
        <f t="shared" si="11"/>
        <v>100</v>
      </c>
      <c r="G12" s="897">
        <f t="shared" si="11"/>
        <v>100</v>
      </c>
      <c r="H12" s="897">
        <f t="shared" si="11"/>
        <v>100</v>
      </c>
      <c r="I12" s="897">
        <f t="shared" si="11"/>
        <v>100</v>
      </c>
      <c r="J12" s="897">
        <f t="shared" si="11"/>
        <v>100</v>
      </c>
      <c r="K12" s="897">
        <f t="shared" si="11"/>
        <v>100</v>
      </c>
      <c r="L12" s="897">
        <f t="shared" si="11"/>
        <v>100</v>
      </c>
      <c r="M12" s="897">
        <f t="shared" si="11"/>
        <v>100</v>
      </c>
      <c r="N12" s="897">
        <f t="shared" si="11"/>
        <v>100</v>
      </c>
      <c r="O12" s="897">
        <f t="shared" si="11"/>
        <v>100</v>
      </c>
      <c r="P12" s="897">
        <f t="shared" si="11"/>
        <v>100</v>
      </c>
      <c r="Q12" s="897">
        <f t="shared" si="11"/>
        <v>100</v>
      </c>
      <c r="R12" s="897">
        <f>Q12-$T11</f>
        <v>100</v>
      </c>
      <c r="S12" s="897">
        <f t="shared" si="11"/>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89"/>
      <c r="B13" s="1331" t="s">
        <v>2089</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89"/>
      <c r="B15" s="1331" t="s">
        <v>2090</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2" t="s">
        <v>2091</v>
      </c>
      <c r="B17" s="2143" t="s">
        <v>2092</v>
      </c>
      <c r="C17" s="1005">
        <v>1</v>
      </c>
      <c r="D17" s="1006">
        <v>2</v>
      </c>
      <c r="E17" s="1006">
        <v>3</v>
      </c>
      <c r="F17" s="1006">
        <v>4</v>
      </c>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5" customFormat="1" ht="13.5" thickBot="1">
      <c r="A18" s="1015"/>
      <c r="B18" s="1016"/>
      <c r="C18" s="1017">
        <v>100</v>
      </c>
      <c r="D18" s="1018">
        <v>70</v>
      </c>
      <c r="E18" s="1018">
        <v>60</v>
      </c>
      <c r="F18" s="1018">
        <v>50</v>
      </c>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9"/>
      <c r="B19" s="159"/>
      <c r="C19" s="159"/>
      <c r="D19" s="2144" t="s">
        <v>2093</v>
      </c>
      <c r="E19" s="1335"/>
      <c r="F19" s="1335"/>
      <c r="G19" s="1335"/>
      <c r="H19" s="1054"/>
      <c r="I19" s="159"/>
      <c r="J19" s="159"/>
      <c r="K19" s="159"/>
      <c r="L19" s="159"/>
      <c r="M19" s="159"/>
      <c r="N19" s="159"/>
      <c r="O19" s="159"/>
      <c r="P19" s="159"/>
      <c r="Q19" s="159"/>
      <c r="R19" s="716"/>
      <c r="S19" s="129"/>
    </row>
    <row r="20" spans="1:45" ht="16.5" thickBot="1">
      <c r="A20" s="660" t="s">
        <v>2094</v>
      </c>
      <c r="B20" s="294" t="e">
        <f ca="1">IF(D20="——",S22,S22-F20)</f>
        <v>#REF!</v>
      </c>
      <c r="C20" s="159"/>
      <c r="D20" s="2145" t="s">
        <v>3424</v>
      </c>
      <c r="E20" s="1336"/>
      <c r="F20" s="978" t="e">
        <f ca="1">SUMIF(INDIRECT("'"&amp;H20&amp;"'"&amp;"!A:A"),"承租人权益价值",INDIRECT("'"&amp;H20&amp;"'"&amp;"!c:c"))</f>
        <v>#REF!</v>
      </c>
      <c r="G20" s="978" t="s">
        <v>2095</v>
      </c>
      <c r="H20" s="2146" t="s">
        <v>3420</v>
      </c>
      <c r="I20" s="159"/>
      <c r="J20" s="159"/>
      <c r="K20" s="159"/>
      <c r="L20" s="159"/>
      <c r="M20" s="159"/>
      <c r="N20" s="159"/>
      <c r="O20" s="159"/>
      <c r="P20" s="159"/>
      <c r="Q20" s="159"/>
      <c r="R20" s="716"/>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0</v>
      </c>
      <c r="C22" s="3795" t="s">
        <v>27</v>
      </c>
      <c r="D22" s="3796"/>
      <c r="E22" s="3796"/>
      <c r="F22" s="3796"/>
      <c r="G22" s="3796"/>
      <c r="H22" s="3796"/>
      <c r="I22" s="3796"/>
      <c r="J22" s="3796"/>
      <c r="K22" s="3796"/>
      <c r="L22" s="3796"/>
      <c r="M22" s="3796"/>
      <c r="N22" s="3796"/>
      <c r="O22" s="3796"/>
      <c r="P22" s="3796"/>
      <c r="Q22" s="3797"/>
      <c r="R22" s="66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2103</v>
      </c>
      <c r="B24" s="663">
        <f>'基准地价修正 (3)'!U2</f>
        <v>0</v>
      </c>
      <c r="C24" s="2803">
        <v>1</v>
      </c>
      <c r="D24" s="2804"/>
      <c r="E24" s="2803">
        <v>1</v>
      </c>
      <c r="F24" s="2804"/>
      <c r="G24" s="2803">
        <v>1</v>
      </c>
      <c r="H24" s="2804"/>
      <c r="I24" s="2803">
        <v>1</v>
      </c>
      <c r="J24" s="2804"/>
      <c r="K24" s="2803">
        <v>1</v>
      </c>
      <c r="L24" s="2804"/>
      <c r="M24" s="2803">
        <v>1</v>
      </c>
      <c r="N24" s="2804"/>
      <c r="O24" s="2803">
        <v>1</v>
      </c>
      <c r="P24" s="2804">
        <v>1</v>
      </c>
      <c r="Q24" s="2803">
        <v>1</v>
      </c>
      <c r="R24" s="666">
        <v>20000</v>
      </c>
      <c r="S24" s="664">
        <f t="shared" ref="S24:S54" si="12">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663">
        <f>'基准地价修正 (3)'!U3</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v>2</v>
      </c>
      <c r="Q25" s="21">
        <f>(SUMIF($17:$17,P25,$18:$18)-SUMIF($17:$17,$P$24,$18:$18)+100)/100</f>
        <v>0.7</v>
      </c>
      <c r="R25" s="661">
        <f>IF(B25="",0,ROUND($R$24*C25*E25*G25*I25*K25*M25*O25*Q25,0))</f>
        <v>14000</v>
      </c>
      <c r="S25" s="316">
        <f t="shared" si="12"/>
        <v>0</v>
      </c>
    </row>
    <row r="26" spans="1:45">
      <c r="A26" s="150"/>
      <c r="B26" s="663">
        <f>'基准地价修正 (3)'!U4</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v>3</v>
      </c>
      <c r="Q26" s="21">
        <f t="shared" ref="Q26:Q89" si="20">(SUMIF($17:$17,P26,$18:$18)-SUMIF($17:$17,$P$24,$18:$18)+100)/100</f>
        <v>0.6</v>
      </c>
      <c r="R26" s="661">
        <f t="shared" ref="R26:R89" si="21">IF(B26="",0,ROUND($R$24*C26*E26*G26*I26*K26*M26*O26*Q26,0))</f>
        <v>12000</v>
      </c>
      <c r="S26" s="316">
        <f t="shared" si="12"/>
        <v>0</v>
      </c>
    </row>
    <row r="27" spans="1:45">
      <c r="A27" s="150"/>
      <c r="B27" s="663">
        <f>'基准地价修正 (3)'!U5</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v>4</v>
      </c>
      <c r="Q27" s="21">
        <f t="shared" si="20"/>
        <v>0.5</v>
      </c>
      <c r="R27" s="661">
        <f t="shared" si="21"/>
        <v>10000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0</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1" t="s">
        <v>2079</v>
      </c>
      <c r="B1" s="2141"/>
      <c r="C1" s="2141"/>
      <c r="D1" s="2141"/>
      <c r="E1" s="2141"/>
      <c r="F1" s="2786"/>
      <c r="G1" s="2786"/>
      <c r="H1" s="2786"/>
      <c r="I1" s="2786"/>
      <c r="J1" s="2786"/>
      <c r="K1" s="2786"/>
      <c r="L1" s="2786"/>
      <c r="M1" s="2786"/>
      <c r="N1" s="2786"/>
      <c r="O1" s="2786"/>
      <c r="P1" s="2786"/>
    </row>
    <row r="2" spans="1:16" ht="15.75">
      <c r="A2" s="2139" t="s">
        <v>2071</v>
      </c>
      <c r="B2" s="2596" t="e">
        <f ca="1">SUMIF(B6:B13,"&lt;&gt;#ref!",B6:B13)</f>
        <v>#DIV/0!</v>
      </c>
      <c r="C2" s="2139" t="s">
        <v>2072</v>
      </c>
      <c r="D2" s="2139" t="s">
        <v>2073</v>
      </c>
      <c r="E2" s="2606">
        <f ca="1">SUMIF(E6:E13,"&lt;&gt;#ref!",E6:E13)</f>
        <v>0</v>
      </c>
      <c r="F2" s="2786"/>
      <c r="G2" s="2786"/>
      <c r="H2" s="2786"/>
      <c r="I2" s="2786"/>
      <c r="J2" s="2786"/>
      <c r="K2" s="2786"/>
      <c r="L2" s="2786"/>
      <c r="M2" s="2786"/>
      <c r="N2" s="2786"/>
      <c r="O2" s="2786"/>
      <c r="P2" s="2786"/>
    </row>
    <row r="3" spans="1:16" ht="15.75">
      <c r="A3" s="2139" t="s">
        <v>2074</v>
      </c>
      <c r="B3" s="2596" t="e">
        <f ca="1">ROUND(B2*10000/E2,0)</f>
        <v>#DIV/0!</v>
      </c>
      <c r="C3" s="2139"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0"/>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39"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39"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39"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39"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39"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39"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39"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39"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L40" sqref="L4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6" t="s">
        <v>1924</v>
      </c>
      <c r="B1" s="197"/>
      <c r="C1" s="201" t="s">
        <v>1925</v>
      </c>
      <c r="D1" s="342">
        <f>SUM(D33:D34,D37:D42)</f>
        <v>116204.73999999999</v>
      </c>
      <c r="E1" s="1989"/>
      <c r="F1" s="1989"/>
      <c r="G1" s="1989"/>
      <c r="H1" s="1989"/>
      <c r="I1" s="1989"/>
      <c r="J1" s="1989"/>
      <c r="K1" s="1114"/>
      <c r="L1" s="1990" t="s">
        <v>1926</v>
      </c>
      <c r="M1" s="858">
        <f>SUMPRODUCT((区片价!B5:B9=I2)*(区片价!C3:G3=E2)*(区片价!C5:G9))</f>
        <v>0</v>
      </c>
      <c r="N1" s="861">
        <f>SUMPRODUCT((因素修正幅度!B5:B9=I2)*(因素修正幅度!C3:G3=E2)*(因素修正幅度!C5:G9))</f>
        <v>0</v>
      </c>
      <c r="O1" s="1991"/>
      <c r="P1" s="1991"/>
      <c r="Q1" s="1114"/>
      <c r="R1" s="1207" t="s">
        <v>1927</v>
      </c>
      <c r="S1" s="1207" t="s">
        <v>1928</v>
      </c>
      <c r="T1" s="1207" t="s">
        <v>1929</v>
      </c>
      <c r="U1" s="1207" t="s">
        <v>1930</v>
      </c>
      <c r="V1" s="1207" t="s">
        <v>1931</v>
      </c>
      <c r="W1" s="1211"/>
      <c r="X1" s="1211"/>
      <c r="Y1" s="1211"/>
      <c r="Z1" s="1211"/>
      <c r="AA1" s="1211"/>
      <c r="AB1" s="1211"/>
      <c r="AC1" s="1212"/>
      <c r="AD1" s="1213"/>
      <c r="AE1" s="1213"/>
      <c r="AF1" s="1213"/>
      <c r="AG1" s="1213"/>
      <c r="AH1" s="1213"/>
      <c r="AI1" s="1213"/>
      <c r="AJ1" s="1214"/>
    </row>
    <row r="2" spans="1:36" ht="15.75">
      <c r="A2" s="201" t="s">
        <v>1932</v>
      </c>
      <c r="B2" s="204">
        <f>C30</f>
        <v>8901</v>
      </c>
      <c r="C2" s="1993" t="s">
        <v>1933</v>
      </c>
      <c r="D2" s="1994" t="s">
        <v>1934</v>
      </c>
      <c r="E2" s="3415" t="s">
        <v>3</v>
      </c>
      <c r="F2" s="1994" t="s">
        <v>1935</v>
      </c>
      <c r="G2" s="1995" t="str">
        <f>IF(E2="商业",项目基本情况!B37,IF(E2="办公",项目基本情况!C37,IF(E2="住宅",项目基本情况!D37,IF(E2="工业",项目基本情况!E37,项目基本情况!F37))))</f>
        <v>九级</v>
      </c>
      <c r="H2" s="1994" t="s">
        <v>1936</v>
      </c>
      <c r="I2" s="1995" t="str">
        <f>IF(E2="商业",项目基本情况!B38,IF(E2="办公",项目基本情况!C38,IF(E2="住宅",项目基本情况!D38,IF(E2="工业",项目基本情况!E38,项目基本情况!F38))))</f>
        <v>Ⅸ-顺5</v>
      </c>
      <c r="J2" s="1996"/>
      <c r="K2" s="1114"/>
      <c r="L2" s="1997" t="s">
        <v>1937</v>
      </c>
      <c r="M2" s="859">
        <f>SUMPRODUCT((区片价!B10:B29=I2)*(区片价!C3:G3=E2)*(区片价!C10:G29))</f>
        <v>0</v>
      </c>
      <c r="N2" s="861">
        <f>SUMPRODUCT((因素修正幅度!B10:B29=I2)*(因素修正幅度!C3:G3=E2)*(因素修正幅度!C10:G29))</f>
        <v>0</v>
      </c>
      <c r="O2" s="1114"/>
      <c r="P2" s="1114"/>
      <c r="Q2" s="1114"/>
      <c r="R2" s="1207">
        <v>1</v>
      </c>
      <c r="S2" s="3354">
        <f>ROUND(SUMPRODUCT((B106:B110=R2)*(C105:N105=G2)*(C106:N110)),4)</f>
        <v>1.5418000000000001</v>
      </c>
      <c r="T2" s="3354">
        <f t="shared" ref="T2:T16" si="0">ROUND($C$5*$C$22*$C$23*$C$24*S2*$C$28,0)</f>
        <v>1561</v>
      </c>
      <c r="U2" s="1208">
        <f>'数据-取费表'!U19</f>
        <v>0</v>
      </c>
      <c r="V2" s="3354">
        <f>ROUND(T2*U2/10000,0)</f>
        <v>0</v>
      </c>
      <c r="W2" s="1211"/>
      <c r="X2" s="1211"/>
      <c r="Y2" s="1211"/>
      <c r="Z2" s="1211"/>
      <c r="AA2" s="1211"/>
      <c r="AB2" s="1211"/>
      <c r="AC2" s="1212"/>
      <c r="AD2" s="1213"/>
      <c r="AE2" s="1213"/>
      <c r="AF2" s="1213"/>
      <c r="AG2" s="1213"/>
      <c r="AH2" s="1213"/>
      <c r="AI2" s="1213"/>
      <c r="AJ2" s="1214"/>
    </row>
    <row r="3" spans="1:36" ht="15.75">
      <c r="A3" s="203" t="s">
        <v>1938</v>
      </c>
      <c r="B3" s="204">
        <f>ROUND(B2*10000/D1,0)</f>
        <v>766</v>
      </c>
      <c r="C3" s="1993" t="s">
        <v>1939</v>
      </c>
      <c r="D3" s="1994" t="s">
        <v>1940</v>
      </c>
      <c r="E3" s="3413" t="s">
        <v>2481</v>
      </c>
      <c r="F3" s="1998" t="s">
        <v>3423</v>
      </c>
      <c r="G3" s="747">
        <f>IF(F3="宗地容积率",'数据-汇总表'!I4,IF(F3="估价对象容积率",'数据-汇总表'!I6,'数据-汇总表'!I7))</f>
        <v>1.98</v>
      </c>
      <c r="H3" s="170" t="s">
        <v>1941</v>
      </c>
      <c r="I3" s="770">
        <v>1</v>
      </c>
      <c r="J3" s="1996" t="s">
        <v>1942</v>
      </c>
      <c r="K3" s="1114"/>
      <c r="L3" s="1997" t="s">
        <v>1943</v>
      </c>
      <c r="M3" s="859">
        <f>SUMPRODUCT((区片价!B30:B54=I2)*(区片价!C3:G3=E2)*(区片价!C30:G54))</f>
        <v>0</v>
      </c>
      <c r="N3" s="861">
        <f>SUMPRODUCT((因素修正幅度!B30:B54=I2)*(因素修正幅度!C3:G3=E2)*(因素修正幅度!C30:G54))</f>
        <v>0</v>
      </c>
      <c r="O3" s="1114"/>
      <c r="P3" s="1114"/>
      <c r="Q3" s="1114"/>
      <c r="R3" s="1207">
        <v>2</v>
      </c>
      <c r="S3" s="3354">
        <f>ROUND(SUMPRODUCT((B106:B110=R3)*(C105:N105=G2)*(C106:N110)),4)</f>
        <v>1.1883999999999999</v>
      </c>
      <c r="T3" s="3354">
        <f t="shared" si="0"/>
        <v>1203</v>
      </c>
      <c r="U3" s="1208">
        <f>'数据-取费表'!U20</f>
        <v>0</v>
      </c>
      <c r="V3" s="3354">
        <f t="shared" ref="V3:V16" si="1">ROUND(T3*U3/10000,0)</f>
        <v>0</v>
      </c>
      <c r="W3" s="1211"/>
      <c r="X3" s="1211"/>
      <c r="Y3" s="1211"/>
      <c r="Z3" s="1211"/>
      <c r="AA3" s="1211"/>
      <c r="AB3" s="1211"/>
      <c r="AC3" s="1212"/>
      <c r="AD3" s="1213"/>
      <c r="AE3" s="1213"/>
      <c r="AF3" s="1213"/>
      <c r="AG3" s="1213"/>
      <c r="AH3" s="1213"/>
      <c r="AI3" s="1213"/>
      <c r="AJ3" s="1214"/>
    </row>
    <row r="4" spans="1:36" ht="15.75">
      <c r="A4" s="3809"/>
      <c r="B4" s="3810"/>
      <c r="C4" s="3810"/>
      <c r="D4" s="3811"/>
      <c r="E4" s="3811"/>
      <c r="F4" s="3811"/>
      <c r="G4" s="3811"/>
      <c r="H4" s="3811"/>
      <c r="I4" s="3811"/>
      <c r="J4" s="3812"/>
      <c r="K4" s="1114"/>
      <c r="L4" s="1997" t="s">
        <v>1944</v>
      </c>
      <c r="M4" s="859">
        <f>SUMPRODUCT((区片价!B55:B86=I2)*(区片价!C3:G3=E2)*(区片价!C55:G86))</f>
        <v>0</v>
      </c>
      <c r="N4" s="861">
        <f>SUMPRODUCT((因素修正幅度!B55:B86=I2)*(因素修正幅度!C3:G3=E2)*(因素修正幅度!C55:G86))</f>
        <v>0</v>
      </c>
      <c r="O4" s="1114"/>
      <c r="P4" s="1114"/>
      <c r="Q4" s="1114"/>
      <c r="R4" s="1207">
        <v>3</v>
      </c>
      <c r="S4" s="3354">
        <f>ROUND(SUMPRODUCT((B106:B110=R4)*(C105:N105=G2)*(C106:N110)),4)</f>
        <v>0.96940000000000004</v>
      </c>
      <c r="T4" s="3354">
        <f t="shared" si="0"/>
        <v>982</v>
      </c>
      <c r="U4" s="1208">
        <f>'数据-取费表'!U21</f>
        <v>0</v>
      </c>
      <c r="V4" s="3354">
        <f t="shared" si="1"/>
        <v>0</v>
      </c>
      <c r="W4" s="1211"/>
      <c r="X4" s="1211"/>
      <c r="Y4" s="1211"/>
      <c r="Z4" s="1211"/>
      <c r="AA4" s="1211"/>
      <c r="AB4" s="1211"/>
      <c r="AC4" s="1212"/>
      <c r="AD4" s="1213"/>
      <c r="AE4" s="1213"/>
      <c r="AF4" s="1213"/>
      <c r="AG4" s="1213"/>
      <c r="AH4" s="1213"/>
      <c r="AI4" s="1213"/>
      <c r="AJ4" s="1214"/>
    </row>
    <row r="5" spans="1:36" s="2008" customFormat="1" ht="15.75" thickBot="1">
      <c r="A5" s="1999" t="s">
        <v>362</v>
      </c>
      <c r="B5" s="2000" t="s">
        <v>1945</v>
      </c>
      <c r="C5" s="748">
        <f>ROUND(IF(E2="商业",C6*C7*C17+C20,(IF(E2="住宅",C6*C13*C17+C20,IF(E2="办公",C6*C12*C17+C20,C6+C20)))),0)</f>
        <v>990</v>
      </c>
      <c r="D5" s="1334">
        <f>ROUND(C6*C17+C20,0)</f>
        <v>990</v>
      </c>
      <c r="E5" s="1334"/>
      <c r="F5" s="2001"/>
      <c r="G5" s="2002"/>
      <c r="H5" s="2002"/>
      <c r="I5" s="2002"/>
      <c r="J5" s="2003"/>
      <c r="K5" s="2004"/>
      <c r="L5" s="1997" t="s">
        <v>1946</v>
      </c>
      <c r="M5" s="859">
        <f>SUMPRODUCT((区片价!B87:B126=I2)*(区片价!C3:G3=E2)*(区片价!C87:G126))</f>
        <v>0</v>
      </c>
      <c r="N5" s="861">
        <f>SUMPRODUCT((因素修正幅度!B87:B126=I2)*(因素修正幅度!C3:G3=E2)*(因素修正幅度!C87:G126))</f>
        <v>0</v>
      </c>
      <c r="O5" s="1114"/>
      <c r="P5" s="1114"/>
      <c r="Q5" s="1114"/>
      <c r="R5" s="1207">
        <v>4</v>
      </c>
      <c r="S5" s="3354">
        <f>ROUND(SUMPRODUCT((B106:B110=R5)*(C105:N105=G2)*(C106:N110)),4)</f>
        <v>0.82299999999999995</v>
      </c>
      <c r="T5" s="3354">
        <f t="shared" si="0"/>
        <v>833</v>
      </c>
      <c r="U5" s="1208">
        <f>'数据-取费表'!U22</f>
        <v>0</v>
      </c>
      <c r="V5" s="3354">
        <f t="shared" si="1"/>
        <v>0</v>
      </c>
      <c r="W5" s="1211"/>
      <c r="X5" s="1211"/>
      <c r="Y5" s="1211"/>
      <c r="Z5" s="1211"/>
      <c r="AA5" s="1211"/>
      <c r="AB5" s="1211"/>
      <c r="AC5" s="2005"/>
      <c r="AD5" s="2006"/>
      <c r="AE5" s="2006"/>
      <c r="AF5" s="2006"/>
      <c r="AG5" s="2006"/>
      <c r="AH5" s="2006"/>
      <c r="AI5" s="2006"/>
      <c r="AJ5" s="2007"/>
    </row>
    <row r="6" spans="1:36" ht="15.75" thickBot="1">
      <c r="A6" s="2009" t="s">
        <v>1947</v>
      </c>
      <c r="B6" s="2010" t="s">
        <v>1948</v>
      </c>
      <c r="C6" s="749">
        <f>SUMIF(L1:L12,G2,M1:M12)</f>
        <v>990</v>
      </c>
      <c r="D6" s="2011"/>
      <c r="E6" s="2012"/>
      <c r="F6" s="2012"/>
      <c r="G6" s="2013"/>
      <c r="H6" s="2013"/>
      <c r="I6" s="2013"/>
      <c r="J6" s="2014"/>
      <c r="K6" s="1379"/>
      <c r="L6" s="1997" t="s">
        <v>1949</v>
      </c>
      <c r="M6" s="859">
        <f>SUMPRODUCT((区片价!B127:B189=I2)*(区片价!C3:G3=E2)*(区片价!C127:G189))</f>
        <v>0</v>
      </c>
      <c r="N6" s="861">
        <f>SUMPRODUCT((因素修正幅度!B127:B189=I2)*(因素修正幅度!C3:G3=E2)*(因素修正幅度!C127:G189))</f>
        <v>0</v>
      </c>
      <c r="O6" s="1114"/>
      <c r="P6" s="1114"/>
      <c r="Q6" s="1114"/>
      <c r="R6" s="1207">
        <v>5</v>
      </c>
      <c r="S6" s="3354">
        <f>ROUND(SUMPRODUCT((B106:B110=R6)*(C105:N105=G2)*(C106:N110)),4)</f>
        <v>0.74980000000000002</v>
      </c>
      <c r="T6" s="3354">
        <f t="shared" si="0"/>
        <v>759</v>
      </c>
      <c r="U6" s="1208"/>
      <c r="V6" s="3354">
        <f t="shared" si="1"/>
        <v>0</v>
      </c>
      <c r="W6" s="1211"/>
      <c r="X6" s="1211"/>
      <c r="Y6" s="1211"/>
      <c r="Z6" s="1211"/>
      <c r="AA6" s="1211"/>
      <c r="AB6" s="1211"/>
      <c r="AC6" s="2005"/>
      <c r="AD6" s="2006"/>
      <c r="AE6" s="2006"/>
      <c r="AF6" s="2006"/>
      <c r="AG6" s="2006"/>
      <c r="AH6" s="2006"/>
      <c r="AI6" s="2006"/>
      <c r="AJ6" s="2007"/>
    </row>
    <row r="7" spans="1:36" ht="24.75" thickBot="1">
      <c r="A7" s="3297" t="s">
        <v>3239</v>
      </c>
      <c r="B7" s="3478" t="s">
        <v>1950</v>
      </c>
      <c r="C7" s="750">
        <f>IF(C8="不临65条商业街",1,ROUND(1+(1.6*E8+1.2*E9+0.8*E10+0.4*E11)*C9,4))</f>
        <v>1</v>
      </c>
      <c r="D7" s="2016" t="s">
        <v>1951</v>
      </c>
      <c r="E7" s="771"/>
      <c r="F7" s="2017"/>
      <c r="G7" s="2018"/>
      <c r="H7" s="2018"/>
      <c r="I7" s="2018"/>
      <c r="J7" s="2019"/>
      <c r="K7" s="1379"/>
      <c r="L7" s="1997" t="s">
        <v>1952</v>
      </c>
      <c r="M7" s="859">
        <f>SUMPRODUCT((区片价!B190:B233=I2)*(区片价!C3:G3=E2)*(区片价!C190:G233))</f>
        <v>0</v>
      </c>
      <c r="N7" s="861">
        <f>SUMPRODUCT((因素修正幅度!B190:B233=I2)*(因素修正幅度!C3:G3=E2)*(因素修正幅度!C190:G233))</f>
        <v>0</v>
      </c>
      <c r="O7" s="1114"/>
      <c r="P7" s="1114"/>
      <c r="Q7" s="1114"/>
      <c r="R7" s="1207">
        <v>6</v>
      </c>
      <c r="S7" s="3412"/>
      <c r="T7" s="3354">
        <f t="shared" si="0"/>
        <v>0</v>
      </c>
      <c r="U7" s="1208"/>
      <c r="V7" s="3354">
        <f t="shared" si="1"/>
        <v>0</v>
      </c>
      <c r="W7" s="3491" t="s">
        <v>1953</v>
      </c>
      <c r="X7" s="1209" t="str">
        <f>G2</f>
        <v>九级</v>
      </c>
      <c r="Y7" s="1209" t="s">
        <v>1954</v>
      </c>
      <c r="Z7" s="1210">
        <f>G3</f>
        <v>1.98</v>
      </c>
      <c r="AA7" s="1211"/>
      <c r="AB7" s="1211"/>
      <c r="AC7" s="1212"/>
      <c r="AD7" s="1213"/>
      <c r="AE7" s="1213"/>
      <c r="AF7" s="1213"/>
      <c r="AG7" s="1213"/>
      <c r="AH7" s="1213"/>
      <c r="AI7" s="1213"/>
      <c r="AJ7" s="1214"/>
    </row>
    <row r="8" spans="1:36" ht="25.5">
      <c r="A8" s="3292"/>
      <c r="B8" s="170" t="s">
        <v>1955</v>
      </c>
      <c r="C8" s="2020" t="s">
        <v>3385</v>
      </c>
      <c r="D8" s="751" t="s">
        <v>112</v>
      </c>
      <c r="E8" s="752" t="e">
        <f>ROUND(C11/E7,4)</f>
        <v>#DIV/0!</v>
      </c>
      <c r="F8" s="2021" t="s">
        <v>1956</v>
      </c>
      <c r="G8" s="2022"/>
      <c r="H8" s="2022"/>
      <c r="I8" s="2022"/>
      <c r="J8" s="2023"/>
      <c r="K8" s="1114"/>
      <c r="L8" s="1997" t="s">
        <v>1957</v>
      </c>
      <c r="M8" s="859">
        <f>SUMPRODUCT((区片价!B234:B276=I2)*(区片价!C3:G3=E2)*(区片价!C234:G276))</f>
        <v>0</v>
      </c>
      <c r="N8" s="861">
        <f>SUMPRODUCT((因素修正幅度!B234:B276=I2)*(因素修正幅度!C3:G3=E2)*(因素修正幅度!C234:G276))</f>
        <v>0</v>
      </c>
      <c r="O8" s="1114"/>
      <c r="P8" s="1114"/>
      <c r="Q8" s="1114"/>
      <c r="R8" s="1207">
        <v>7</v>
      </c>
      <c r="S8" s="1208"/>
      <c r="T8" s="3354">
        <f t="shared" si="0"/>
        <v>0</v>
      </c>
      <c r="U8" s="1208"/>
      <c r="V8" s="3354">
        <f t="shared" si="1"/>
        <v>0</v>
      </c>
      <c r="W8" s="3813" t="s">
        <v>1958</v>
      </c>
      <c r="X8" s="3814"/>
      <c r="Y8" s="1215" t="s">
        <v>1959</v>
      </c>
      <c r="Z8" s="1215" t="s">
        <v>1960</v>
      </c>
      <c r="AA8" s="1215" t="s">
        <v>1961</v>
      </c>
      <c r="AB8" s="1215" t="s">
        <v>1962</v>
      </c>
      <c r="AC8" s="1215" t="s">
        <v>1963</v>
      </c>
      <c r="AD8" s="1215" t="s">
        <v>1964</v>
      </c>
      <c r="AE8" s="1215" t="s">
        <v>1965</v>
      </c>
      <c r="AF8" s="1215" t="s">
        <v>1966</v>
      </c>
      <c r="AG8" s="1215" t="s">
        <v>1967</v>
      </c>
      <c r="AH8" s="1215" t="s">
        <v>1968</v>
      </c>
      <c r="AI8" s="1215" t="s">
        <v>1969</v>
      </c>
      <c r="AJ8" s="1215" t="s">
        <v>1970</v>
      </c>
    </row>
    <row r="9" spans="1:36" ht="15">
      <c r="A9" s="3292"/>
      <c r="B9" s="170" t="s">
        <v>1971</v>
      </c>
      <c r="C9" s="753">
        <f>SUMIF(修正!C71:C138,C8,修正!E71:E138)</f>
        <v>0</v>
      </c>
      <c r="D9" s="171" t="s">
        <v>113</v>
      </c>
      <c r="E9" s="171" t="e">
        <f>ROUND(C11/E7,4)</f>
        <v>#DIV/0!</v>
      </c>
      <c r="F9" s="2021" t="s">
        <v>1972</v>
      </c>
      <c r="G9" s="2022"/>
      <c r="H9" s="2022"/>
      <c r="I9" s="2022"/>
      <c r="J9" s="2023"/>
      <c r="K9" s="1114"/>
      <c r="L9" s="1997" t="s">
        <v>1973</v>
      </c>
      <c r="M9" s="859">
        <f>SUMPRODUCT((区片价!B277:B326=I2)*(区片价!C3:G3=E2)*(区片价!C277:G326))</f>
        <v>990</v>
      </c>
      <c r="N9" s="861">
        <f>SUMPRODUCT((因素修正幅度!B277:B326=I2)*(因素修正幅度!C3:G3=E2)*(因素修正幅度!C277:G326))</f>
        <v>0.14499999999999999</v>
      </c>
      <c r="O9" s="1114"/>
      <c r="P9" s="1114"/>
      <c r="Q9" s="1114"/>
      <c r="R9" s="1207">
        <v>8</v>
      </c>
      <c r="S9" s="1208"/>
      <c r="T9" s="3354">
        <f t="shared" si="0"/>
        <v>0</v>
      </c>
      <c r="U9" s="1208"/>
      <c r="V9" s="3354">
        <f t="shared" si="1"/>
        <v>0</v>
      </c>
      <c r="W9" s="3815"/>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1" t="s">
        <v>1975</v>
      </c>
      <c r="G10" s="2022"/>
      <c r="H10" s="2022"/>
      <c r="I10" s="2022"/>
      <c r="J10" s="2023"/>
      <c r="K10" s="1114"/>
      <c r="L10" s="1997" t="s">
        <v>1976</v>
      </c>
      <c r="M10" s="859">
        <f>SUMPRODUCT((区片价!B327:B357=I2)*(区片价!C3:G3=E2)*(区片价!C327:G357))</f>
        <v>0</v>
      </c>
      <c r="N10" s="861">
        <f>SUMPRODUCT((因素修正幅度!B327:B357=I2)*(因素修正幅度!C3:G3=E2)*(因素修正幅度!C327:G357))</f>
        <v>0</v>
      </c>
      <c r="O10" s="1114"/>
      <c r="P10" s="1114"/>
      <c r="Q10" s="1114"/>
      <c r="R10" s="1207">
        <v>9</v>
      </c>
      <c r="S10" s="1208"/>
      <c r="T10" s="3354">
        <f t="shared" si="0"/>
        <v>0</v>
      </c>
      <c r="U10" s="1208"/>
      <c r="V10" s="3354">
        <f t="shared" si="1"/>
        <v>0</v>
      </c>
      <c r="W10" s="381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1977</v>
      </c>
      <c r="C11" s="754">
        <f>C10/4</f>
        <v>0</v>
      </c>
      <c r="D11" s="754" t="s">
        <v>115</v>
      </c>
      <c r="E11" s="754" t="e">
        <f>ROUND(C11/E7,4)</f>
        <v>#DIV/0!</v>
      </c>
      <c r="F11" s="2025" t="s">
        <v>1978</v>
      </c>
      <c r="G11" s="2026"/>
      <c r="H11" s="2026"/>
      <c r="I11" s="2026"/>
      <c r="J11" s="2027"/>
      <c r="K11" s="1114"/>
      <c r="L11" s="1997" t="s">
        <v>1979</v>
      </c>
      <c r="M11" s="859">
        <f>SUMPRODUCT((区片价!B358:B377=I2)*(区片价!C3:G3=E2)*(区片价!C358:G377))</f>
        <v>0</v>
      </c>
      <c r="N11" s="861">
        <f>SUMPRODUCT((因素修正幅度!B358:B377=I2)*(因素修正幅度!C3:G3=E2)*(因素修正幅度!C358:G377))</f>
        <v>0</v>
      </c>
      <c r="O11" s="1114"/>
      <c r="P11" s="1114"/>
      <c r="Q11" s="1114"/>
      <c r="R11" s="1207">
        <v>10</v>
      </c>
      <c r="S11" s="1208"/>
      <c r="T11" s="3354">
        <f t="shared" si="0"/>
        <v>0</v>
      </c>
      <c r="U11" s="1208"/>
      <c r="V11" s="3354">
        <f t="shared" si="1"/>
        <v>0</v>
      </c>
      <c r="W11" s="1211"/>
      <c r="X11" s="1211"/>
      <c r="Y11" s="1211"/>
      <c r="Z11" s="1211"/>
      <c r="AA11" s="1211"/>
      <c r="AB11" s="1211"/>
      <c r="AC11" s="1212"/>
      <c r="AD11" s="2782"/>
      <c r="AE11" s="2782"/>
      <c r="AF11" s="2782"/>
      <c r="AG11" s="2782"/>
      <c r="AH11" s="2782"/>
      <c r="AI11" s="2782"/>
      <c r="AJ11" s="2783"/>
    </row>
    <row r="12" spans="1:36" ht="25.5" thickBot="1">
      <c r="A12" s="3297" t="s">
        <v>3240</v>
      </c>
      <c r="B12" s="3298" t="s">
        <v>3241</v>
      </c>
      <c r="C12" s="3299">
        <v>1</v>
      </c>
      <c r="D12" s="3300" t="s">
        <v>3242</v>
      </c>
      <c r="E12" s="3301" t="s">
        <v>3243</v>
      </c>
      <c r="F12" s="3302"/>
      <c r="G12" s="3303"/>
      <c r="H12" s="3303"/>
      <c r="I12" s="3303"/>
      <c r="J12" s="3304"/>
      <c r="K12" s="1114"/>
      <c r="L12" s="2033" t="s">
        <v>1982</v>
      </c>
      <c r="M12" s="860">
        <f>SUMPRODUCT((区片价!B378:B384=I2)*(区片价!C3:G3=E2)*(区片价!C378:G384))</f>
        <v>0</v>
      </c>
      <c r="N12" s="861">
        <f>SUMPRODUCT((因素修正幅度!B378:B384=I2)*(因素修正幅度!C3:G3=E2)*(因素修正幅度!C378:G384))</f>
        <v>0</v>
      </c>
      <c r="O12" s="1114"/>
      <c r="P12" s="1114"/>
      <c r="Q12" s="1114"/>
      <c r="R12" s="1207">
        <v>11</v>
      </c>
      <c r="S12" s="1208"/>
      <c r="T12" s="3354">
        <f t="shared" si="0"/>
        <v>0</v>
      </c>
      <c r="U12" s="1208"/>
      <c r="V12" s="3354">
        <f t="shared" si="1"/>
        <v>0</v>
      </c>
      <c r="W12" s="1211"/>
      <c r="X12" s="1211"/>
      <c r="Y12" s="1211"/>
      <c r="Z12" s="1211"/>
      <c r="AA12" s="1211"/>
      <c r="AB12" s="1211"/>
      <c r="AC12" s="1212"/>
      <c r="AD12" s="2782"/>
      <c r="AE12" s="2782"/>
      <c r="AF12" s="2782"/>
      <c r="AG12" s="2782"/>
      <c r="AH12" s="2782"/>
      <c r="AI12" s="2782"/>
      <c r="AJ12" s="2783"/>
    </row>
    <row r="13" spans="1:36" ht="15.75" thickBot="1">
      <c r="A13" s="3297" t="s">
        <v>3244</v>
      </c>
      <c r="B13" s="2028" t="s">
        <v>1980</v>
      </c>
      <c r="C13" s="750">
        <f>ROUND(C16*D16*E16*F16*G16*H16*I16*J16,4)</f>
        <v>0</v>
      </c>
      <c r="D13" s="2029" t="s">
        <v>1981</v>
      </c>
      <c r="E13" s="2030"/>
      <c r="F13" s="2030"/>
      <c r="G13" s="2031"/>
      <c r="H13" s="2031"/>
      <c r="I13" s="2031"/>
      <c r="J13" s="2032"/>
      <c r="K13" s="1114"/>
      <c r="L13" s="3293"/>
      <c r="M13" s="3294"/>
      <c r="N13" s="3295"/>
      <c r="O13" s="1114"/>
      <c r="P13" s="1114"/>
      <c r="Q13" s="1114"/>
      <c r="R13" s="1207">
        <v>12</v>
      </c>
      <c r="S13" s="1208"/>
      <c r="T13" s="3354">
        <f t="shared" si="0"/>
        <v>0</v>
      </c>
      <c r="U13" s="1208"/>
      <c r="V13" s="3354">
        <f t="shared" si="1"/>
        <v>0</v>
      </c>
      <c r="W13" s="1211"/>
      <c r="X13" s="1211"/>
      <c r="Y13" s="1211"/>
      <c r="Z13" s="1211"/>
      <c r="AA13" s="1211"/>
      <c r="AB13" s="1211"/>
      <c r="AC13" s="1212"/>
      <c r="AD13" s="2782"/>
      <c r="AE13" s="2782"/>
      <c r="AF13" s="2782"/>
      <c r="AG13" s="2782"/>
      <c r="AH13" s="2782"/>
      <c r="AI13" s="2782"/>
      <c r="AJ13" s="2783"/>
    </row>
    <row r="14" spans="1:36" ht="15">
      <c r="A14" s="3291"/>
      <c r="B14" s="3476" t="s">
        <v>1983</v>
      </c>
      <c r="C14" s="2035" t="s">
        <v>1984</v>
      </c>
      <c r="D14" s="1345" t="s">
        <v>1985</v>
      </c>
      <c r="E14" s="27" t="s">
        <v>1986</v>
      </c>
      <c r="F14" s="3305" t="s">
        <v>3245</v>
      </c>
      <c r="G14" s="3305" t="s">
        <v>3245</v>
      </c>
      <c r="H14" s="3305" t="s">
        <v>3245</v>
      </c>
      <c r="I14" s="3305" t="s">
        <v>3245</v>
      </c>
      <c r="J14" s="3305" t="s">
        <v>3245</v>
      </c>
      <c r="K14" s="1114"/>
      <c r="L14" s="1114"/>
      <c r="M14" s="1114"/>
      <c r="N14" s="1114"/>
      <c r="O14" s="1114"/>
      <c r="P14" s="1114"/>
      <c r="Q14" s="1114"/>
      <c r="R14" s="1207">
        <v>13</v>
      </c>
      <c r="S14" s="1208"/>
      <c r="T14" s="3354">
        <f t="shared" si="0"/>
        <v>0</v>
      </c>
      <c r="U14" s="1208"/>
      <c r="V14" s="3354">
        <f t="shared" si="1"/>
        <v>0</v>
      </c>
      <c r="W14" s="1211"/>
      <c r="X14" s="1211"/>
      <c r="Y14" s="1211"/>
      <c r="Z14" s="1211"/>
      <c r="AA14" s="1211"/>
      <c r="AB14" s="1211"/>
      <c r="AC14" s="1212"/>
      <c r="AD14" s="2782"/>
      <c r="AE14" s="2782"/>
      <c r="AF14" s="2782"/>
      <c r="AG14" s="2782"/>
      <c r="AH14" s="2782"/>
      <c r="AI14" s="2782"/>
      <c r="AJ14" s="2783"/>
    </row>
    <row r="15" spans="1:36" ht="15">
      <c r="A15" s="3291"/>
      <c r="B15" s="3477"/>
      <c r="C15" s="2037"/>
      <c r="D15" s="2038"/>
      <c r="E15" s="2039"/>
      <c r="F15" s="3306" t="s">
        <v>3246</v>
      </c>
      <c r="G15" s="3307"/>
      <c r="H15" s="3308"/>
      <c r="I15" s="3309"/>
      <c r="J15" s="3310"/>
      <c r="K15" s="1114"/>
      <c r="L15" s="1114"/>
      <c r="M15" s="1114"/>
      <c r="N15" s="1114"/>
      <c r="O15" s="1114"/>
      <c r="P15" s="1114"/>
      <c r="Q15" s="1114"/>
      <c r="R15" s="1207">
        <v>14</v>
      </c>
      <c r="S15" s="1208"/>
      <c r="T15" s="3354">
        <f t="shared" si="0"/>
        <v>0</v>
      </c>
      <c r="U15" s="1208"/>
      <c r="V15" s="3354">
        <f t="shared" si="1"/>
        <v>0</v>
      </c>
      <c r="W15" s="1211"/>
      <c r="X15" s="1211"/>
      <c r="Y15" s="1211"/>
      <c r="Z15" s="1211"/>
      <c r="AA15" s="1211"/>
      <c r="AB15" s="1211"/>
      <c r="AC15" s="1212"/>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4"/>
      <c r="L16" s="1991"/>
      <c r="M16" s="1991"/>
      <c r="N16" s="1991"/>
      <c r="O16" s="1991"/>
      <c r="P16" s="1991"/>
      <c r="Q16" s="1114"/>
      <c r="R16" s="1207">
        <v>15</v>
      </c>
      <c r="S16" s="1208"/>
      <c r="T16" s="3354">
        <f t="shared" si="0"/>
        <v>0</v>
      </c>
      <c r="U16" s="1208"/>
      <c r="V16" s="3354">
        <f t="shared" si="1"/>
        <v>0</v>
      </c>
      <c r="W16" s="1211"/>
      <c r="X16" s="1211"/>
      <c r="Y16" s="1211"/>
      <c r="Z16" s="1211"/>
      <c r="AA16" s="1211"/>
      <c r="AB16" s="1211"/>
      <c r="AC16" s="1212"/>
      <c r="AD16" s="2782"/>
      <c r="AE16" s="2782"/>
      <c r="AF16" s="2782"/>
      <c r="AG16" s="2782"/>
      <c r="AH16" s="2782"/>
      <c r="AI16" s="2782"/>
      <c r="AJ16" s="2783"/>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6"/>
      <c r="B18" s="3475"/>
      <c r="C18" s="3321"/>
      <c r="D18" s="3316" t="s">
        <v>3250</v>
      </c>
      <c r="E18" s="3322"/>
      <c r="F18" s="3317" t="s">
        <v>3253</v>
      </c>
      <c r="G18" s="3321">
        <f>ROUND(1-(1/(POWER(1+G24,E18))),4)</f>
        <v>0</v>
      </c>
      <c r="H18" s="3317" t="s">
        <v>3255</v>
      </c>
      <c r="I18" s="3321">
        <f>ROUND(1-(1/(POWER(1+G24,J24))),4)</f>
        <v>0.91279999999999994</v>
      </c>
      <c r="J18" s="3327"/>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1"/>
    </row>
    <row r="19" spans="1:37" s="2008" customFormat="1" ht="15" thickBot="1">
      <c r="A19" s="3328"/>
      <c r="B19" s="3329"/>
      <c r="C19" s="3330"/>
      <c r="D19" s="3330" t="s">
        <v>3251</v>
      </c>
      <c r="E19" s="3331"/>
      <c r="F19" s="3332" t="s">
        <v>3254</v>
      </c>
      <c r="G19" s="3331"/>
      <c r="H19" s="3330"/>
      <c r="I19" s="3330"/>
      <c r="J19" s="3333"/>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4"/>
      <c r="AH19" s="2135"/>
      <c r="AI19" s="2785"/>
      <c r="AJ19" s="2785"/>
      <c r="AK19" s="2051"/>
    </row>
    <row r="20" spans="1:37" s="2008" customFormat="1" ht="14.25">
      <c r="A20" s="3816" t="s">
        <v>3256</v>
      </c>
      <c r="B20" s="167" t="s">
        <v>1992</v>
      </c>
      <c r="C20" s="3318">
        <f>ROUND(IF(F21="与级别开发程度一致",0,(G21-E21)/C21),0)</f>
        <v>0</v>
      </c>
      <c r="D20" s="3334" t="s">
        <v>1996</v>
      </c>
      <c r="E20" s="3335"/>
      <c r="F20" s="3818" t="s">
        <v>1993</v>
      </c>
      <c r="G20" s="3819"/>
      <c r="H20" s="3319" t="s">
        <v>3386</v>
      </c>
      <c r="I20" s="3319" t="s">
        <v>3387</v>
      </c>
      <c r="J20" s="3320" t="s">
        <v>3388</v>
      </c>
      <c r="K20" s="2041" t="s">
        <v>3389</v>
      </c>
      <c r="L20" s="2041" t="s">
        <v>3390</v>
      </c>
      <c r="M20" s="2041" t="s">
        <v>3391</v>
      </c>
      <c r="N20" s="2041"/>
      <c r="O20" s="2042"/>
      <c r="P20" s="1991"/>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8" customFormat="1" ht="26.25" thickBot="1">
      <c r="A21" s="3817"/>
      <c r="B21" s="2158" t="s">
        <v>1995</v>
      </c>
      <c r="C21" s="2159">
        <f>IF(E3="M4科研用地",SUMPRODUCT((修正!A2:A7=E3)*(修正!B1:M1=G2)*(修正!B2:M7)),SUMPRODUCT((修正!A2:A7=E2)*(修正!B1:M1=G2)*(修正!B2:M7)))</f>
        <v>1</v>
      </c>
      <c r="D21" s="187" t="str">
        <f>IF(OR(G2="八级",G2="九级",G2="十级",G2="十一级",G2="十二级"),"五通一平","七通一平")</f>
        <v>五通一平</v>
      </c>
      <c r="E21" s="2149">
        <f>SUMPRODUCT((修正!B1:M1=G2)*(修正!B17:M17))</f>
        <v>185</v>
      </c>
      <c r="F21" s="2150" t="s">
        <v>3435</v>
      </c>
      <c r="G21" s="2151">
        <f>SUM(H21:O21)</f>
        <v>185</v>
      </c>
      <c r="H21" s="2159">
        <f>SUMPRODUCT((七通一平=H20)*(修正!B1:M1=G2)*(修正!B8:M16))</f>
        <v>60</v>
      </c>
      <c r="I21" s="2159">
        <f>SUMPRODUCT((七通一平=I20)*(修正!B1:M1=G2)*(修正!B8:M16))</f>
        <v>50</v>
      </c>
      <c r="J21" s="2160">
        <f>SUMPRODUCT((七通一平=J20)*(修正!B1:M1=G2)*(修正!B8:M16))</f>
        <v>10</v>
      </c>
      <c r="K21" s="2159">
        <f>SUMPRODUCT((七通一平=K20)*(修正!B1:M1=G2)*(修正!B8:M16))</f>
        <v>20</v>
      </c>
      <c r="L21" s="2159">
        <f>SUMPRODUCT((七通一平=L20)*(修正!B1:M1=G2)*(修正!B8:M16))</f>
        <v>35</v>
      </c>
      <c r="M21" s="2159">
        <f>SUMPRODUCT((七通一平=M20)*(修正!B1:M1=G2)*(修正!B8:M16))</f>
        <v>10</v>
      </c>
      <c r="N21" s="2159">
        <f>SUMPRODUCT((七通一平=N20)*(修正!B1:M1=G2)*(修正!B8:M16))</f>
        <v>0</v>
      </c>
      <c r="O21" s="2161">
        <f>SUMPRODUCT((七通一平=O20)*(修正!B1:M1=G2)*(修正!B8:M16))</f>
        <v>0</v>
      </c>
      <c r="P21" s="1991"/>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8" customFormat="1" ht="15.75" thickBot="1">
      <c r="A22" s="2152" t="s">
        <v>363</v>
      </c>
      <c r="B22" s="2153" t="s">
        <v>1998</v>
      </c>
      <c r="C22" s="2154">
        <f>SUMIF(修正!C20:C51,E3,修正!E20:E51)</f>
        <v>1</v>
      </c>
      <c r="D22" s="2155"/>
      <c r="E22" s="2156"/>
      <c r="F22" s="2156"/>
      <c r="G22" s="2156"/>
      <c r="H22" s="2156"/>
      <c r="I22" s="2156"/>
      <c r="J22" s="2157"/>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4" t="s">
        <v>364</v>
      </c>
      <c r="B23" s="2045" t="s">
        <v>1999</v>
      </c>
      <c r="C23" s="7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8" t="s">
        <v>2000</v>
      </c>
      <c r="E23" s="756">
        <v>44197</v>
      </c>
      <c r="F23" s="2048" t="s">
        <v>2001</v>
      </c>
      <c r="G23" s="757">
        <f>'数据-取费表'!B2</f>
        <v>45392</v>
      </c>
      <c r="H23" s="3336" t="s">
        <v>3257</v>
      </c>
      <c r="I23" s="3337" t="str">
        <f>IF(H23="季度增幅（自定义）",SUMIF(N25:N28,E2,O25:O28),"")</f>
        <v/>
      </c>
      <c r="J23" s="3439" t="s">
        <v>3407</v>
      </c>
      <c r="K23" s="1120"/>
      <c r="L23" s="2049" t="s">
        <v>2002</v>
      </c>
      <c r="M23" s="1323">
        <f>ROUND(SUMIF(地价!B2:G2,E2,地价!B16:G16),0)</f>
        <v>318</v>
      </c>
      <c r="N23" s="2050" t="s">
        <v>2003</v>
      </c>
      <c r="O23" s="758">
        <f>ROUNDDOWN(DATEDIF(E23,G23,"M")/3,0)</f>
        <v>13</v>
      </c>
      <c r="P23" s="1117"/>
      <c r="Q23" s="2781"/>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2004</v>
      </c>
      <c r="C24" s="759">
        <f>ROUND(POWER(1+G24,J24-I24)*(POWER(1+G24,I24)-1)/(POWER(1+G24,J24)-1),4)</f>
        <v>0.94259999999999999</v>
      </c>
      <c r="D24" s="2054" t="s">
        <v>2005</v>
      </c>
      <c r="E24" s="1330">
        <f>存贷款利率!E24/100</f>
        <v>4.3499999999999997E-2</v>
      </c>
      <c r="F24" s="2054" t="s">
        <v>1997</v>
      </c>
      <c r="G24" s="763">
        <f>SUMIF(M30:Q30,E2,M33:Q33)</f>
        <v>0.05</v>
      </c>
      <c r="H24" s="2054" t="s">
        <v>2006</v>
      </c>
      <c r="I24" s="764">
        <f>SUMIF('数据-取费表'!C6:C15,E2,'数据-取费表'!F6:F15)/COUNTIF('数据-取费表'!C6:C15,E2)</f>
        <v>40.36</v>
      </c>
      <c r="J24" s="765">
        <f>IF(E2="住宅",70,IF(E2="商业",40,50))</f>
        <v>50</v>
      </c>
      <c r="K24" s="1120"/>
      <c r="L24" s="2055" t="s">
        <v>2007</v>
      </c>
      <c r="M24" s="1324">
        <f>ROUND(SUMPRODUCT((地价!A4:A16=YEAR(G23)&amp;"-"&amp;ROUNDUP(MONTH(G23)/3,0))*(地价!B2:G2=E2)*(地价!B4:G16)),0)</f>
        <v>0</v>
      </c>
      <c r="N24" s="2056" t="s">
        <v>2008</v>
      </c>
      <c r="O24" s="2057" t="s">
        <v>2009</v>
      </c>
      <c r="P24" s="2058" t="s">
        <v>2010</v>
      </c>
      <c r="Q24" s="1991"/>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59" t="s">
        <v>366</v>
      </c>
      <c r="B25" s="2060" t="s">
        <v>3400</v>
      </c>
      <c r="C25" s="3484">
        <f>IF(B25="容积率修正",IF(G3&lt;10,D26,J26),C27)</f>
        <v>0.75649999999999995</v>
      </c>
      <c r="D25" s="2061"/>
      <c r="E25" s="2061"/>
      <c r="F25" s="2061"/>
      <c r="G25" s="2061"/>
      <c r="H25" s="2061"/>
      <c r="I25" s="2061"/>
      <c r="J25" s="2062"/>
      <c r="K25" s="1120"/>
      <c r="L25" s="2781"/>
      <c r="M25" s="2781"/>
      <c r="N25" s="2063" t="s">
        <v>2011</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2012</v>
      </c>
      <c r="B26" s="2064" t="s">
        <v>2013</v>
      </c>
      <c r="C26" s="3338" t="s">
        <v>3258</v>
      </c>
      <c r="D26" s="3483">
        <f>IF(E26=G26,F26,IF(G3&lt;10,ROUND(F26+(H26-F26)*(G3-E26)/(G26-E26),4),"——"))</f>
        <v>0.75649999999999995</v>
      </c>
      <c r="E26" s="747">
        <f>ROUNDDOWN(G3,1)</f>
        <v>1.9</v>
      </c>
      <c r="F26" s="34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47">
        <f>ROUNDUP(G3,1)</f>
        <v>2</v>
      </c>
      <c r="H26" s="34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38" t="s">
        <v>3259</v>
      </c>
      <c r="J26" s="767" t="str">
        <f>IF(G3&gt;=10,D115,"——")</f>
        <v>——</v>
      </c>
      <c r="K26" s="1120"/>
      <c r="L26" s="2781"/>
      <c r="M26" s="2781"/>
      <c r="N26" s="2063" t="s">
        <v>2014</v>
      </c>
      <c r="O26" s="1168"/>
      <c r="P26" s="1169">
        <f>SUMPRODUCT((地价!A3:A40=YEAR(G23)&amp;"-"&amp;ROUNDUP(MONTH(G23)/3,0))*(地价!AD2:AH2=N26)*(地价!AD3:AH40))</f>
        <v>0</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2015</v>
      </c>
      <c r="B27" s="2065" t="s">
        <v>2016</v>
      </c>
      <c r="C27" s="836">
        <f>ROUND(IF(I3&lt;6,SUMPRODUCT((B106:B110=I3)*(C105:N105=G2)*(C106:N110)),SUMIF(C105:N105,G2,C112:N112)),4)</f>
        <v>1.5418000000000001</v>
      </c>
      <c r="D27" s="2040"/>
      <c r="E27" s="2040"/>
      <c r="F27" s="2066"/>
      <c r="G27" s="2067"/>
      <c r="H27" s="2068"/>
      <c r="I27" s="2069"/>
      <c r="J27" s="2070"/>
      <c r="K27" s="1114"/>
      <c r="L27" s="1991"/>
      <c r="M27" s="1991"/>
      <c r="N27" s="2063" t="s">
        <v>2017</v>
      </c>
      <c r="O27" s="1168"/>
      <c r="P27" s="1169">
        <f>SUMPRODUCT((地价!A3:A40=YEAR(G23)&amp;"-"&amp;ROUNDUP(MONTH(G23)/3,0))*(地价!AD2:AH2=N27)*(地价!AD3:AH40))</f>
        <v>0</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2018</v>
      </c>
      <c r="C28" s="755">
        <f>SUMIF(A47:A101,E2,B47:B101)</f>
        <v>1.0165999999999999</v>
      </c>
      <c r="D28" s="2046"/>
      <c r="E28" s="2071"/>
      <c r="F28" s="2071"/>
      <c r="G28" s="2071"/>
      <c r="H28" s="2071"/>
      <c r="I28" s="2071"/>
      <c r="J28" s="2072"/>
      <c r="K28" s="1120"/>
      <c r="L28" s="2781"/>
      <c r="M28" s="2781"/>
      <c r="N28" s="2073" t="s">
        <v>2019</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2020</v>
      </c>
      <c r="C29" s="760"/>
      <c r="D29" s="2018"/>
      <c r="E29" s="2018"/>
      <c r="F29" s="2075"/>
      <c r="G29" s="2018"/>
      <c r="H29" s="2018"/>
      <c r="I29" s="2018"/>
      <c r="J29" s="2019"/>
      <c r="K29" s="1114"/>
      <c r="L29" s="1991"/>
      <c r="M29" s="1991"/>
      <c r="N29" s="2778" t="s">
        <v>2021</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2022</v>
      </c>
      <c r="C30" s="2315">
        <f>IF(B25="容积率修正",E33+SUM(E37:E42),SUM(V2:V16)+SUM(E37:E42))</f>
        <v>8901</v>
      </c>
      <c r="D30" s="2077"/>
      <c r="E30" s="2040"/>
      <c r="F30" s="2078"/>
      <c r="G30" s="2040"/>
      <c r="H30" s="2040"/>
      <c r="I30" s="2040"/>
      <c r="J30" s="2079"/>
      <c r="K30" s="1114"/>
      <c r="L30" s="3344" t="s">
        <v>1934</v>
      </c>
      <c r="M30" s="3345" t="s">
        <v>1988</v>
      </c>
      <c r="N30" s="3345" t="s">
        <v>1989</v>
      </c>
      <c r="O30" s="3345" t="s">
        <v>1990</v>
      </c>
      <c r="P30" s="3345" t="s">
        <v>1991</v>
      </c>
      <c r="Q30" s="3348" t="s">
        <v>3263</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2023</v>
      </c>
      <c r="C31" s="761">
        <f>E34+SUM(I37:I42)</f>
        <v>0</v>
      </c>
      <c r="D31" s="2081"/>
      <c r="E31" s="2082"/>
      <c r="F31" s="2083"/>
      <c r="G31" s="2082"/>
      <c r="H31" s="2082"/>
      <c r="I31" s="2082"/>
      <c r="J31" s="2084"/>
      <c r="K31" s="1114"/>
      <c r="L31" s="3346" t="s">
        <v>1994</v>
      </c>
      <c r="M31" s="1994">
        <v>0.25</v>
      </c>
      <c r="N31" s="1994">
        <v>0.2</v>
      </c>
      <c r="O31" s="1994">
        <v>0.15</v>
      </c>
      <c r="P31" s="1994">
        <v>0.1</v>
      </c>
      <c r="Q31" s="3341">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2024</v>
      </c>
      <c r="C32" s="2087" t="s">
        <v>2025</v>
      </c>
      <c r="D32" s="2087" t="s">
        <v>2026</v>
      </c>
      <c r="E32" s="2088" t="s">
        <v>2027</v>
      </c>
      <c r="F32" s="2089"/>
      <c r="G32" s="2031"/>
      <c r="H32" s="2031"/>
      <c r="I32" s="2031"/>
      <c r="J32" s="2032"/>
      <c r="K32" s="1114"/>
      <c r="L32" s="3347" t="s">
        <v>1997</v>
      </c>
      <c r="M32" s="2564">
        <f>ROUND($E$24*(1+M31),3)</f>
        <v>5.3999999999999999E-2</v>
      </c>
      <c r="N32" s="2564">
        <f>ROUND($E$24*(1+N31),3)</f>
        <v>5.1999999999999998E-2</v>
      </c>
      <c r="O32" s="2564">
        <f>ROUND($E$24*(1+O31),3)</f>
        <v>0.05</v>
      </c>
      <c r="P32" s="2564">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2028</v>
      </c>
      <c r="C33" s="175">
        <f>ROUND(C5*C22*C23*C24*C25*C28,0)</f>
        <v>766</v>
      </c>
      <c r="D33" s="2092">
        <f>'数据-汇总表'!F19</f>
        <v>116204.73999999999</v>
      </c>
      <c r="E33" s="768">
        <f>ROUND(C33*D33/10000,0)</f>
        <v>8901</v>
      </c>
      <c r="F33" s="3339" t="s">
        <v>3261</v>
      </c>
      <c r="G33" s="2093"/>
      <c r="H33" s="2093"/>
      <c r="I33" s="2093"/>
      <c r="J33" s="2094"/>
      <c r="K33" s="1114"/>
      <c r="L33" s="3342" t="s">
        <v>3264</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2029</v>
      </c>
      <c r="C34" s="187">
        <f>ROUND(IF(E2="工业",C33*M42,IF(B25="楼层修正",SUM(V2:V16)*M41*10000/D34,C33*M41)),0)</f>
        <v>115</v>
      </c>
      <c r="D34" s="2097"/>
      <c r="E34" s="768">
        <f>ROUND(IF(B25="楼层修正",SUM(V2:V16)*M40,C34*D34/10000),0)</f>
        <v>0</v>
      </c>
      <c r="F34" s="2098" t="s">
        <v>2030</v>
      </c>
      <c r="G34" s="2099"/>
      <c r="H34" s="2099"/>
      <c r="I34" s="2099"/>
      <c r="J34" s="2100"/>
      <c r="K34" s="1114"/>
      <c r="L34" s="3342" t="s">
        <v>3265</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2031</v>
      </c>
      <c r="C35" s="3340" t="s">
        <v>3262</v>
      </c>
      <c r="D35" s="2031"/>
      <c r="E35" s="2103"/>
      <c r="F35" s="2103"/>
      <c r="G35" s="2029" t="s">
        <v>2032</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50" t="s">
        <v>2025</v>
      </c>
      <c r="D36" s="447" t="s">
        <v>2026</v>
      </c>
      <c r="E36" s="447" t="s">
        <v>2027</v>
      </c>
      <c r="F36" s="342" t="s">
        <v>2033</v>
      </c>
      <c r="G36" s="2106" t="s">
        <v>2025</v>
      </c>
      <c r="H36" s="2106" t="s">
        <v>2026</v>
      </c>
      <c r="I36" s="2106" t="s">
        <v>2027</v>
      </c>
      <c r="J36" s="243"/>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807"/>
      <c r="B37" s="2107" t="s">
        <v>2034</v>
      </c>
      <c r="C37" s="175">
        <f>ROUND(D5*C22*C23*C24*C28*F37,0)</f>
        <v>506</v>
      </c>
      <c r="D37" s="2092"/>
      <c r="E37" s="171">
        <f>ROUND(C37*D37/10000,0)</f>
        <v>0</v>
      </c>
      <c r="F37" s="171">
        <f>SUMIF(修正!A57:A68,G2,修正!B57:B68)</f>
        <v>0.5</v>
      </c>
      <c r="G37" s="171">
        <f>ROUND(IF(E2="工业",C37*$M$42,C37*$M$41),0)</f>
        <v>76</v>
      </c>
      <c r="H37" s="171">
        <f>D37</f>
        <v>0</v>
      </c>
      <c r="I37" s="171">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808"/>
      <c r="B38" s="2035" t="s">
        <v>2035</v>
      </c>
      <c r="C38" s="175">
        <f>ROUND(D5*C22*C23*C24*C28*F38,0)</f>
        <v>203</v>
      </c>
      <c r="D38" s="2092"/>
      <c r="E38" s="171">
        <f t="shared" ref="E38:E42" si="4">ROUND(C38*D38/10000,0)</f>
        <v>0</v>
      </c>
      <c r="F38" s="171">
        <f>SUMIF(修正!A57:A68,G2,修正!C57:C68)</f>
        <v>0.2</v>
      </c>
      <c r="G38" s="171">
        <f>ROUND(IF(E2="工业",C38*$M$42,C38*$M$41),0)</f>
        <v>30</v>
      </c>
      <c r="H38" s="171">
        <f t="shared" ref="H38:H42" si="5">D38</f>
        <v>0</v>
      </c>
      <c r="I38" s="171">
        <f t="shared" ref="I38:I42" si="6">ROUND(G38*H38/10000,0)</f>
        <v>0</v>
      </c>
      <c r="J38" s="3490"/>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08"/>
      <c r="B39" s="2035" t="s">
        <v>3260</v>
      </c>
      <c r="C39" s="175">
        <f>ROUND(D5*C22*C23*C24*C28*F39,0)</f>
        <v>203</v>
      </c>
      <c r="D39" s="2092"/>
      <c r="E39" s="171">
        <f t="shared" si="4"/>
        <v>0</v>
      </c>
      <c r="F39" s="171">
        <f>SUMIF(修正!A57:A68,G2,修正!D57:D68)</f>
        <v>0.2</v>
      </c>
      <c r="G39" s="171">
        <f>ROUND(IF(E2="工业",C39*$M$42,C39*$M$41),0)</f>
        <v>30</v>
      </c>
      <c r="H39" s="171">
        <f t="shared" si="5"/>
        <v>0</v>
      </c>
      <c r="I39" s="171">
        <f t="shared" si="6"/>
        <v>0</v>
      </c>
      <c r="J39" s="3490"/>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2036</v>
      </c>
      <c r="C40" s="171">
        <f>ROUND(D5*C22*C23*C24*C28*F40,0)</f>
        <v>203</v>
      </c>
      <c r="D40" s="2092"/>
      <c r="E40" s="171">
        <f t="shared" si="4"/>
        <v>0</v>
      </c>
      <c r="F40" s="175">
        <f>SUMIF(修正!A57:A68,G2,修正!E57:E68)</f>
        <v>0.2</v>
      </c>
      <c r="G40" s="171">
        <f>ROUND(IF(E2="工业",C40*$M$42,C40*$M$41),0)</f>
        <v>30</v>
      </c>
      <c r="H40" s="171">
        <f t="shared" si="5"/>
        <v>0</v>
      </c>
      <c r="I40" s="171">
        <f t="shared" si="6"/>
        <v>0</v>
      </c>
      <c r="J40" s="2108"/>
      <c r="L40" s="2110" t="s">
        <v>2037</v>
      </c>
      <c r="M40" s="2111"/>
      <c r="Z40" s="1115"/>
      <c r="AA40" s="1115"/>
      <c r="AB40" s="1115"/>
      <c r="AC40" s="1115"/>
      <c r="AD40" s="1115"/>
      <c r="AE40" s="1115"/>
      <c r="AF40" s="1115"/>
      <c r="AG40" s="1115"/>
      <c r="AH40" s="1115"/>
      <c r="AI40" s="1115"/>
      <c r="AJ40" s="1115"/>
    </row>
    <row r="41" spans="1:37" s="1114" customFormat="1">
      <c r="A41" s="2109"/>
      <c r="B41" s="2035" t="s">
        <v>2038</v>
      </c>
      <c r="C41" s="171">
        <f>ROUND(D5*C22*C23*C44*C28*F41,0)</f>
        <v>0</v>
      </c>
      <c r="D41" s="2092"/>
      <c r="E41" s="171">
        <f t="shared" si="4"/>
        <v>0</v>
      </c>
      <c r="F41" s="175">
        <f>SUMIF(修正!A57:A68,G2,修正!F57:F68)</f>
        <v>0.2</v>
      </c>
      <c r="G41" s="171">
        <f>ROUND(IF(E2="工业",C41*$M$42,C41*$M$41),0)</f>
        <v>0</v>
      </c>
      <c r="H41" s="171">
        <f t="shared" si="5"/>
        <v>0</v>
      </c>
      <c r="I41" s="171">
        <f t="shared" si="6"/>
        <v>0</v>
      </c>
      <c r="J41" s="2108"/>
      <c r="L41" s="3353" t="s">
        <v>3268</v>
      </c>
      <c r="M41" s="2112">
        <v>0.25</v>
      </c>
      <c r="Z41" s="1115"/>
      <c r="AA41" s="1115"/>
      <c r="AB41" s="1115"/>
      <c r="AC41" s="1115"/>
      <c r="AD41" s="1115"/>
      <c r="AE41" s="1115"/>
      <c r="AF41" s="1115"/>
      <c r="AG41" s="1115"/>
      <c r="AH41" s="1115"/>
      <c r="AI41" s="1115"/>
      <c r="AJ41" s="1115"/>
    </row>
    <row r="42" spans="1:37" s="1114" customFormat="1" ht="13.5" thickBot="1">
      <c r="A42" s="2095"/>
      <c r="B42" s="2113" t="s">
        <v>2039</v>
      </c>
      <c r="C42" s="187">
        <f>ROUND(D5*C22*C23*C44*C28*F42,0)</f>
        <v>0</v>
      </c>
      <c r="D42" s="2097">
        <f>'数据-汇总表'!G21</f>
        <v>0</v>
      </c>
      <c r="E42" s="187">
        <f t="shared" si="4"/>
        <v>0</v>
      </c>
      <c r="F42" s="762">
        <f>SUMIF(修正!A57:A68,G2,修正!G57:G68)</f>
        <v>0.1</v>
      </c>
      <c r="G42" s="187">
        <f>ROUND(IF(E2="工业",C42*$M$42,C42*$M$41),0)</f>
        <v>0</v>
      </c>
      <c r="H42" s="187">
        <f t="shared" si="5"/>
        <v>0</v>
      </c>
      <c r="I42" s="187">
        <f t="shared" si="6"/>
        <v>0</v>
      </c>
      <c r="J42" s="2114"/>
      <c r="L42" s="2115" t="s">
        <v>1991</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2120</v>
      </c>
      <c r="C44" s="342">
        <f>ROUND(POWER(1+E44,H44-G44)*(POWER(1+E44,G44)-1)/(POWER(1+E44,H44)-1),4)</f>
        <v>0</v>
      </c>
      <c r="D44" s="171" t="s">
        <v>1997</v>
      </c>
      <c r="E44" s="2147">
        <f>G24</f>
        <v>0.05</v>
      </c>
      <c r="F44" s="171" t="s">
        <v>2006</v>
      </c>
      <c r="G44" s="183">
        <f>'数据-取费表'!F8</f>
        <v>0</v>
      </c>
      <c r="H44" s="171">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2040</v>
      </c>
      <c r="B47" s="2119"/>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0" t="s">
        <v>2041</v>
      </c>
      <c r="B48" s="2121">
        <f>1+E50</f>
        <v>1.0125</v>
      </c>
      <c r="C48" s="2122"/>
      <c r="D48" s="736"/>
      <c r="E48" s="737"/>
      <c r="F48" s="2123"/>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4" t="s">
        <v>2042</v>
      </c>
      <c r="B49" s="1346" t="s">
        <v>2043</v>
      </c>
      <c r="C49" s="1346" t="s">
        <v>2044</v>
      </c>
      <c r="D49" s="1346" t="s">
        <v>2045</v>
      </c>
      <c r="E49" s="738" t="s">
        <v>2046</v>
      </c>
      <c r="F49" s="2125" t="s">
        <v>2047</v>
      </c>
      <c r="G49" s="1346" t="s">
        <v>310</v>
      </c>
      <c r="H49" s="2126" t="s">
        <v>2048</v>
      </c>
      <c r="I49" s="1346" t="s">
        <v>2049</v>
      </c>
      <c r="J49" s="552" t="s">
        <v>1720</v>
      </c>
      <c r="K49" s="552" t="s">
        <v>1721</v>
      </c>
      <c r="L49" s="552" t="s">
        <v>1722</v>
      </c>
      <c r="M49" s="552" t="s">
        <v>1723</v>
      </c>
      <c r="N49" s="552" t="s">
        <v>1724</v>
      </c>
      <c r="AA49" s="1115"/>
      <c r="AB49" s="1115"/>
      <c r="AC49" s="1115"/>
      <c r="AD49" s="1115"/>
      <c r="AE49" s="1115"/>
      <c r="AF49" s="1115"/>
      <c r="AG49" s="1115"/>
      <c r="AH49" s="1115"/>
      <c r="AI49" s="1115"/>
      <c r="AJ49" s="1115"/>
      <c r="AK49" s="1115"/>
    </row>
    <row r="50" spans="1:37" s="1114" customFormat="1" ht="38.25">
      <c r="A50" s="2124" t="s">
        <v>2050</v>
      </c>
      <c r="B50" s="2127" t="str">
        <f>估价对象房地状况!C4</f>
        <v>估价对象位于XX商圈，周边商业氛围成熟，人流量大，商业繁华度好</v>
      </c>
      <c r="C50" s="2038" t="s">
        <v>3392</v>
      </c>
      <c r="D50" s="1060">
        <f t="shared" ref="D50:D58" si="7">SUMIF($J$49:$N$49,C50,J50:N50)</f>
        <v>0</v>
      </c>
      <c r="E50" s="739">
        <f>ROUND(SUM(D50:D58),4)</f>
        <v>1.2500000000000001E-2</v>
      </c>
      <c r="F50" s="1809" t="str">
        <f>IF(E2="商业",SUMIF(L1:L12,G2,N1:N12),"——")</f>
        <v>——</v>
      </c>
      <c r="G50" s="1058">
        <v>1.4999999999999999E-2</v>
      </c>
      <c r="H50" s="1061" t="str">
        <f t="shared" ref="H50:H58" si="8">IFERROR(ROUNDDOWN($F$50*I50/2,4),"——")</f>
        <v>——</v>
      </c>
      <c r="I50" s="3360">
        <v>0.3</v>
      </c>
      <c r="J50" s="1059">
        <f t="shared" ref="J50:J58" si="9">K50+$G50</f>
        <v>0.03</v>
      </c>
      <c r="K50" s="1059">
        <f t="shared" ref="K50:K58" si="10">$L50+$G50</f>
        <v>1.4999999999999999E-2</v>
      </c>
      <c r="L50" s="1059">
        <v>0</v>
      </c>
      <c r="M50" s="1059">
        <f t="shared" ref="M50:N58" si="11">L50-$G50</f>
        <v>-1.4999999999999999E-2</v>
      </c>
      <c r="N50" s="1059">
        <f t="shared" si="11"/>
        <v>-0.03</v>
      </c>
      <c r="AA50" s="1115"/>
      <c r="AB50" s="1115"/>
      <c r="AC50" s="1115"/>
      <c r="AD50" s="1115"/>
      <c r="AE50" s="1115"/>
      <c r="AF50" s="1115"/>
      <c r="AG50" s="1115"/>
      <c r="AH50" s="1115"/>
      <c r="AI50" s="1115"/>
      <c r="AJ50" s="1115"/>
      <c r="AK50" s="1115"/>
    </row>
    <row r="51" spans="1:37" s="1114" customFormat="1" ht="38.25">
      <c r="A51" s="2124" t="s">
        <v>2051</v>
      </c>
      <c r="B51" s="2128" t="str">
        <f>估价对象房地状况!C18</f>
        <v>估价对象周边道路状况、公共交通通达情况、停车便捷程度，综合评价交通便捷度较好</v>
      </c>
      <c r="C51" s="2038" t="s">
        <v>3392</v>
      </c>
      <c r="D51" s="1060">
        <f t="shared" si="7"/>
        <v>0</v>
      </c>
      <c r="E51" s="740"/>
      <c r="F51" s="1809"/>
      <c r="G51" s="1058">
        <v>1.0999999999999999E-2</v>
      </c>
      <c r="H51" s="1061" t="str">
        <f t="shared" si="8"/>
        <v>——</v>
      </c>
      <c r="I51" s="3360">
        <v>0.22</v>
      </c>
      <c r="J51" s="1059">
        <f t="shared" si="9"/>
        <v>2.1999999999999999E-2</v>
      </c>
      <c r="K51" s="1059">
        <f t="shared" si="10"/>
        <v>1.0999999999999999E-2</v>
      </c>
      <c r="L51" s="1059">
        <v>0</v>
      </c>
      <c r="M51" s="1059">
        <f t="shared" si="11"/>
        <v>-1.0999999999999999E-2</v>
      </c>
      <c r="N51" s="1059">
        <f t="shared" si="11"/>
        <v>-2.1999999999999999E-2</v>
      </c>
      <c r="AA51" s="1115"/>
      <c r="AB51" s="1115"/>
      <c r="AC51" s="1115"/>
      <c r="AD51" s="1115"/>
      <c r="AE51" s="1115"/>
      <c r="AF51" s="1115"/>
      <c r="AG51" s="1115"/>
      <c r="AH51" s="1115"/>
      <c r="AI51" s="1115"/>
      <c r="AJ51" s="1115"/>
      <c r="AK51" s="1115"/>
    </row>
    <row r="52" spans="1:37" s="1114" customFormat="1" ht="36">
      <c r="A52" s="3362" t="s">
        <v>3270</v>
      </c>
      <c r="B52" s="2128">
        <f>估价对象房地状况!C19</f>
        <v>0</v>
      </c>
      <c r="C52" s="2038" t="s">
        <v>3393</v>
      </c>
      <c r="D52" s="1060">
        <f t="shared" si="7"/>
        <v>6.0000000000000001E-3</v>
      </c>
      <c r="E52" s="740"/>
      <c r="F52" s="1809"/>
      <c r="G52" s="1058">
        <v>6.0000000000000001E-3</v>
      </c>
      <c r="H52" s="1061" t="str">
        <f t="shared" si="8"/>
        <v>——</v>
      </c>
      <c r="I52" s="3360">
        <v>0.12</v>
      </c>
      <c r="J52" s="1059">
        <f t="shared" si="9"/>
        <v>1.2E-2</v>
      </c>
      <c r="K52" s="1059">
        <f t="shared" si="10"/>
        <v>6.0000000000000001E-3</v>
      </c>
      <c r="L52" s="1059">
        <v>0</v>
      </c>
      <c r="M52" s="1059">
        <f t="shared" si="11"/>
        <v>-6.0000000000000001E-3</v>
      </c>
      <c r="N52" s="1059">
        <f t="shared" si="11"/>
        <v>-1.2E-2</v>
      </c>
      <c r="AA52" s="1115"/>
      <c r="AB52" s="1115"/>
      <c r="AC52" s="1115"/>
      <c r="AD52" s="1115"/>
      <c r="AE52" s="1115"/>
      <c r="AF52" s="1115"/>
      <c r="AG52" s="1115"/>
      <c r="AH52" s="1115"/>
      <c r="AI52" s="1115"/>
      <c r="AJ52" s="1115"/>
      <c r="AK52" s="1115"/>
    </row>
    <row r="53" spans="1:37" s="1114" customFormat="1" ht="36.75">
      <c r="A53" s="2124" t="s">
        <v>2052</v>
      </c>
      <c r="B53" s="2129" t="s">
        <v>2053</v>
      </c>
      <c r="C53" s="2038" t="s">
        <v>3392</v>
      </c>
      <c r="D53" s="1060">
        <f t="shared" si="7"/>
        <v>0</v>
      </c>
      <c r="E53" s="740"/>
      <c r="F53" s="1809"/>
      <c r="G53" s="1058">
        <v>2.5000000000000001E-3</v>
      </c>
      <c r="H53" s="1061" t="str">
        <f t="shared" si="8"/>
        <v>——</v>
      </c>
      <c r="I53" s="3360">
        <v>0.05</v>
      </c>
      <c r="J53" s="1059">
        <f t="shared" si="9"/>
        <v>5.0000000000000001E-3</v>
      </c>
      <c r="K53" s="1059">
        <f t="shared" si="10"/>
        <v>2.5000000000000001E-3</v>
      </c>
      <c r="L53" s="1059">
        <v>0</v>
      </c>
      <c r="M53" s="1059">
        <f t="shared" si="11"/>
        <v>-2.5000000000000001E-3</v>
      </c>
      <c r="N53" s="1059">
        <f t="shared" si="11"/>
        <v>-5.0000000000000001E-3</v>
      </c>
      <c r="AA53" s="1115"/>
      <c r="AB53" s="1115"/>
      <c r="AC53" s="1115"/>
      <c r="AD53" s="1115"/>
      <c r="AE53" s="1115"/>
      <c r="AF53" s="1115"/>
      <c r="AG53" s="1115"/>
      <c r="AH53" s="1115"/>
      <c r="AI53" s="1115"/>
      <c r="AJ53" s="1115"/>
      <c r="AK53" s="1115"/>
    </row>
    <row r="54" spans="1:37" s="1114" customFormat="1" ht="24">
      <c r="A54" s="2124" t="s">
        <v>2054</v>
      </c>
      <c r="B54" s="2128">
        <f>估价对象房地状况!C24</f>
        <v>0</v>
      </c>
      <c r="C54" s="2038" t="s">
        <v>3415</v>
      </c>
      <c r="D54" s="1060">
        <f t="shared" si="7"/>
        <v>-4.0000000000000001E-3</v>
      </c>
      <c r="E54" s="740"/>
      <c r="F54" s="1809"/>
      <c r="G54" s="1058">
        <v>4.0000000000000001E-3</v>
      </c>
      <c r="H54" s="1061" t="str">
        <f t="shared" si="8"/>
        <v>——</v>
      </c>
      <c r="I54" s="3360">
        <v>0.08</v>
      </c>
      <c r="J54" s="1059">
        <f t="shared" si="9"/>
        <v>8.0000000000000002E-3</v>
      </c>
      <c r="K54" s="1059">
        <f t="shared" si="10"/>
        <v>4.0000000000000001E-3</v>
      </c>
      <c r="L54" s="1059">
        <v>0</v>
      </c>
      <c r="M54" s="1059">
        <f t="shared" si="11"/>
        <v>-4.0000000000000001E-3</v>
      </c>
      <c r="N54" s="1059">
        <f t="shared" si="11"/>
        <v>-8.0000000000000002E-3</v>
      </c>
      <c r="AA54" s="1115"/>
      <c r="AB54" s="1115"/>
      <c r="AC54" s="1115"/>
      <c r="AD54" s="1115"/>
      <c r="AE54" s="1115"/>
      <c r="AF54" s="1115"/>
      <c r="AG54" s="1115"/>
      <c r="AH54" s="1115"/>
      <c r="AI54" s="1115"/>
      <c r="AJ54" s="1115"/>
      <c r="AK54" s="1115"/>
    </row>
    <row r="55" spans="1:37" s="1114" customFormat="1" ht="24">
      <c r="A55" s="2124" t="s">
        <v>2055</v>
      </c>
      <c r="B55" s="2130" t="s">
        <v>2056</v>
      </c>
      <c r="C55" s="2038" t="s">
        <v>3393</v>
      </c>
      <c r="D55" s="1060">
        <f t="shared" si="7"/>
        <v>2.5000000000000001E-3</v>
      </c>
      <c r="E55" s="740"/>
      <c r="F55" s="1809"/>
      <c r="G55" s="1058">
        <v>2.5000000000000001E-3</v>
      </c>
      <c r="H55" s="1061" t="str">
        <f t="shared" si="8"/>
        <v>——</v>
      </c>
      <c r="I55" s="3360">
        <v>0.05</v>
      </c>
      <c r="J55" s="1059">
        <f t="shared" si="9"/>
        <v>5.0000000000000001E-3</v>
      </c>
      <c r="K55" s="1059">
        <f t="shared" si="10"/>
        <v>2.5000000000000001E-3</v>
      </c>
      <c r="L55" s="1059">
        <v>0</v>
      </c>
      <c r="M55" s="1059">
        <f t="shared" si="11"/>
        <v>-2.5000000000000001E-3</v>
      </c>
      <c r="N55" s="1059">
        <f t="shared" si="11"/>
        <v>-5.0000000000000001E-3</v>
      </c>
      <c r="AA55" s="1115"/>
      <c r="AB55" s="1115"/>
      <c r="AC55" s="1115"/>
      <c r="AD55" s="1115"/>
      <c r="AE55" s="1115"/>
      <c r="AF55" s="1115"/>
      <c r="AG55" s="1115"/>
      <c r="AH55" s="1115"/>
      <c r="AI55" s="1115"/>
      <c r="AJ55" s="1115"/>
      <c r="AK55" s="1115"/>
    </row>
    <row r="56" spans="1:37" s="1114" customFormat="1" ht="25.5">
      <c r="A56" s="2131" t="s">
        <v>2057</v>
      </c>
      <c r="B56" s="1321" t="str">
        <f>估价对象房地状况!C21</f>
        <v>估价对象所在区域公共配套设施齐备情况</v>
      </c>
      <c r="C56" s="2038" t="s">
        <v>3392</v>
      </c>
      <c r="D56" s="1060">
        <f t="shared" si="7"/>
        <v>0</v>
      </c>
      <c r="E56" s="740"/>
      <c r="F56" s="1809"/>
      <c r="G56" s="1058">
        <v>2.5000000000000001E-3</v>
      </c>
      <c r="H56" s="1061" t="str">
        <f t="shared" si="8"/>
        <v>——</v>
      </c>
      <c r="I56" s="3360">
        <v>0.05</v>
      </c>
      <c r="J56" s="1059">
        <f t="shared" si="9"/>
        <v>5.0000000000000001E-3</v>
      </c>
      <c r="K56" s="1059">
        <f t="shared" si="10"/>
        <v>2.5000000000000001E-3</v>
      </c>
      <c r="L56" s="1059">
        <v>0</v>
      </c>
      <c r="M56" s="1059">
        <f t="shared" si="11"/>
        <v>-2.5000000000000001E-3</v>
      </c>
      <c r="N56" s="1059">
        <f t="shared" si="11"/>
        <v>-5.0000000000000001E-3</v>
      </c>
      <c r="AA56" s="1115"/>
      <c r="AB56" s="1115"/>
      <c r="AC56" s="1115"/>
      <c r="AD56" s="1115"/>
      <c r="AE56" s="1115"/>
      <c r="AF56" s="1115"/>
      <c r="AG56" s="1115"/>
      <c r="AH56" s="1115"/>
      <c r="AI56" s="1115"/>
      <c r="AJ56" s="1115"/>
      <c r="AK56" s="1115"/>
    </row>
    <row r="57" spans="1:37" s="1114" customFormat="1" ht="25.5">
      <c r="A57" s="2131" t="s">
        <v>2058</v>
      </c>
      <c r="B57" s="2128" t="str">
        <f>估价对象房地状况!C22</f>
        <v>估价对象所在区域基础设施水平</v>
      </c>
      <c r="C57" s="2038" t="s">
        <v>3394</v>
      </c>
      <c r="D57" s="1060">
        <f t="shared" si="7"/>
        <v>8.0000000000000002E-3</v>
      </c>
      <c r="E57" s="740"/>
      <c r="F57" s="1809"/>
      <c r="G57" s="1058">
        <v>4.0000000000000001E-3</v>
      </c>
      <c r="H57" s="1061" t="str">
        <f t="shared" si="8"/>
        <v>——</v>
      </c>
      <c r="I57" s="3360">
        <v>0.08</v>
      </c>
      <c r="J57" s="1059">
        <f t="shared" si="9"/>
        <v>8.0000000000000002E-3</v>
      </c>
      <c r="K57" s="1059">
        <f t="shared" si="10"/>
        <v>4.0000000000000001E-3</v>
      </c>
      <c r="L57" s="1059">
        <v>0</v>
      </c>
      <c r="M57" s="1059">
        <f t="shared" si="11"/>
        <v>-4.0000000000000001E-3</v>
      </c>
      <c r="N57" s="1059">
        <f t="shared" si="11"/>
        <v>-8.0000000000000002E-3</v>
      </c>
      <c r="AA57" s="1115"/>
      <c r="AB57" s="1115"/>
      <c r="AC57" s="1115"/>
      <c r="AD57" s="1115"/>
      <c r="AE57" s="1115"/>
      <c r="AF57" s="1115"/>
      <c r="AG57" s="1115"/>
      <c r="AH57" s="1115"/>
      <c r="AI57" s="1115"/>
      <c r="AJ57" s="1115"/>
      <c r="AK57" s="1115"/>
    </row>
    <row r="58" spans="1:37" s="1114" customFormat="1" ht="26.25" thickBot="1">
      <c r="A58" s="2132" t="s">
        <v>2059</v>
      </c>
      <c r="B58" s="2133" t="str">
        <f>估价对象房地状况!C20</f>
        <v>区域自然环境：；人文环境；综合评价环境状况一般</v>
      </c>
      <c r="C58" s="2038" t="s">
        <v>3392</v>
      </c>
      <c r="D58" s="1060">
        <f t="shared" si="7"/>
        <v>0</v>
      </c>
      <c r="E58" s="741"/>
      <c r="F58" s="1809"/>
      <c r="G58" s="1058">
        <v>2.5000000000000001E-3</v>
      </c>
      <c r="H58" s="1061" t="str">
        <f t="shared" si="8"/>
        <v>——</v>
      </c>
      <c r="I58" s="3361">
        <v>0.05</v>
      </c>
      <c r="J58" s="1059">
        <f t="shared" si="9"/>
        <v>5.0000000000000001E-3</v>
      </c>
      <c r="K58" s="1059">
        <f t="shared" si="10"/>
        <v>2.5000000000000001E-3</v>
      </c>
      <c r="L58" s="1059">
        <v>0</v>
      </c>
      <c r="M58" s="1059">
        <f t="shared" si="11"/>
        <v>-2.5000000000000001E-3</v>
      </c>
      <c r="N58" s="1059">
        <f t="shared" si="11"/>
        <v>-5.0000000000000001E-3</v>
      </c>
      <c r="AA58" s="1115"/>
      <c r="AB58" s="1115"/>
      <c r="AC58" s="1115"/>
      <c r="AD58" s="1115"/>
      <c r="AE58" s="1115"/>
      <c r="AF58" s="1115"/>
      <c r="AG58" s="1115"/>
      <c r="AH58" s="1115"/>
      <c r="AI58" s="1115"/>
      <c r="AJ58" s="1115"/>
      <c r="AK58" s="1115"/>
    </row>
    <row r="59" spans="1:37" s="1114" customFormat="1" ht="15">
      <c r="A59" s="2120" t="s">
        <v>2060</v>
      </c>
      <c r="B59" s="2121">
        <f>1+E61</f>
        <v>1.0248999999999999</v>
      </c>
      <c r="C59" s="736"/>
      <c r="D59" s="736"/>
      <c r="E59" s="737"/>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2042</v>
      </c>
      <c r="B60" s="1346"/>
      <c r="C60" s="1346" t="s">
        <v>2044</v>
      </c>
      <c r="D60" s="1346" t="s">
        <v>2045</v>
      </c>
      <c r="E60" s="738" t="s">
        <v>2046</v>
      </c>
      <c r="F60" s="2125" t="s">
        <v>2061</v>
      </c>
      <c r="G60" s="1346" t="s">
        <v>310</v>
      </c>
      <c r="H60" s="2126" t="s">
        <v>2048</v>
      </c>
      <c r="I60" s="1346" t="s">
        <v>2049</v>
      </c>
      <c r="J60" s="552" t="s">
        <v>1720</v>
      </c>
      <c r="K60" s="552" t="s">
        <v>1721</v>
      </c>
      <c r="L60" s="552" t="s">
        <v>1722</v>
      </c>
      <c r="M60" s="552" t="s">
        <v>1723</v>
      </c>
      <c r="N60" s="552" t="s">
        <v>1724</v>
      </c>
      <c r="AA60" s="1115"/>
      <c r="AB60" s="1115"/>
      <c r="AC60" s="1115"/>
      <c r="AD60" s="1115"/>
      <c r="AE60" s="1115"/>
      <c r="AF60" s="1115"/>
      <c r="AG60" s="1115"/>
      <c r="AH60" s="1115"/>
      <c r="AI60" s="1115"/>
      <c r="AJ60" s="1115"/>
      <c r="AK60" s="1115"/>
    </row>
    <row r="61" spans="1:37" s="1114" customFormat="1" ht="38.25">
      <c r="A61" s="2124" t="s">
        <v>2062</v>
      </c>
      <c r="B61" s="2127" t="str">
        <f>估价对象房地状况!C17</f>
        <v>估价对象位于XX商圈，周边办公楼项目较多，入驻率高，办公集聚程度较好</v>
      </c>
      <c r="C61" s="2038" t="s">
        <v>3392</v>
      </c>
      <c r="D61" s="1060">
        <f t="shared" ref="D61:D69" si="12">SUMIF($J$60:$N$60,C61,J61:N61)</f>
        <v>0</v>
      </c>
      <c r="E61" s="739">
        <f>ROUND(SUM(D61:D69),4)</f>
        <v>2.4899999999999999E-2</v>
      </c>
      <c r="F61" s="1809" t="str">
        <f>IF(E2="办公",SUMIF(L1:L12,G2,N1:N12),"——")</f>
        <v>——</v>
      </c>
      <c r="G61" s="1058">
        <v>1.0800000000000001E-2</v>
      </c>
      <c r="H61" s="1061" t="str">
        <f t="shared" ref="H61:H69" si="13">IFERROR(ROUNDDOWN($F$61*I61/2,4),"——")</f>
        <v>——</v>
      </c>
      <c r="I61" s="3360">
        <v>0.25</v>
      </c>
      <c r="J61" s="1059">
        <f t="shared" ref="J61:J69" si="14">K61+$G61</f>
        <v>2.1600000000000001E-2</v>
      </c>
      <c r="K61" s="1059">
        <f t="shared" ref="K61:K69" si="15">$L61+$G61</f>
        <v>1.0800000000000001E-2</v>
      </c>
      <c r="L61" s="1059">
        <v>0</v>
      </c>
      <c r="M61" s="1059">
        <f t="shared" ref="M61:N69" si="16">L61-$G61</f>
        <v>-1.0800000000000001E-2</v>
      </c>
      <c r="N61" s="1059">
        <f t="shared" si="16"/>
        <v>-2.1600000000000001E-2</v>
      </c>
      <c r="AA61" s="1115"/>
      <c r="AB61" s="1115"/>
      <c r="AC61" s="1115"/>
      <c r="AD61" s="1115"/>
      <c r="AE61" s="1115"/>
      <c r="AF61" s="1115"/>
      <c r="AG61" s="1115"/>
      <c r="AH61" s="1115"/>
      <c r="AI61" s="1115"/>
      <c r="AJ61" s="1115"/>
      <c r="AK61" s="1115"/>
    </row>
    <row r="62" spans="1:37" s="1114" customFormat="1" ht="38.25">
      <c r="A62" s="2124" t="s">
        <v>2051</v>
      </c>
      <c r="B62" s="2128" t="str">
        <f>估价对象房地状况!C18</f>
        <v>估价对象周边道路状况、公共交通通达情况、停车便捷程度，综合评价交通便捷度较好</v>
      </c>
      <c r="C62" s="2038" t="s">
        <v>3392</v>
      </c>
      <c r="D62" s="1060">
        <f t="shared" si="12"/>
        <v>0</v>
      </c>
      <c r="E62" s="740"/>
      <c r="F62" s="1809"/>
      <c r="G62" s="1058">
        <v>1.1299999999999999E-2</v>
      </c>
      <c r="H62" s="1061" t="str">
        <f t="shared" si="13"/>
        <v>——</v>
      </c>
      <c r="I62" s="3360">
        <v>0.26</v>
      </c>
      <c r="J62" s="1059">
        <f t="shared" si="14"/>
        <v>2.2599999999999999E-2</v>
      </c>
      <c r="K62" s="1059">
        <f t="shared" si="15"/>
        <v>1.1299999999999999E-2</v>
      </c>
      <c r="L62" s="1059">
        <v>0</v>
      </c>
      <c r="M62" s="1059">
        <f t="shared" si="16"/>
        <v>-1.1299999999999999E-2</v>
      </c>
      <c r="N62" s="1059">
        <f t="shared" si="16"/>
        <v>-2.2599999999999999E-2</v>
      </c>
      <c r="AA62" s="1115"/>
      <c r="AB62" s="1115"/>
      <c r="AC62" s="1115"/>
      <c r="AD62" s="1115"/>
      <c r="AE62" s="1115"/>
      <c r="AF62" s="1115"/>
      <c r="AG62" s="1115"/>
      <c r="AH62" s="1115"/>
      <c r="AI62" s="1115"/>
      <c r="AJ62" s="1115"/>
      <c r="AK62" s="1115"/>
    </row>
    <row r="63" spans="1:37" s="1114" customFormat="1" ht="36">
      <c r="A63" s="3362" t="s">
        <v>3270</v>
      </c>
      <c r="B63" s="2128">
        <f>估价对象房地状况!C19</f>
        <v>0</v>
      </c>
      <c r="C63" s="2038" t="s">
        <v>3393</v>
      </c>
      <c r="D63" s="1060">
        <f t="shared" si="12"/>
        <v>4.7000000000000002E-3</v>
      </c>
      <c r="E63" s="740"/>
      <c r="F63" s="1809"/>
      <c r="G63" s="1058">
        <v>4.7000000000000002E-3</v>
      </c>
      <c r="H63" s="1061" t="str">
        <f t="shared" si="13"/>
        <v>——</v>
      </c>
      <c r="I63" s="3360">
        <v>0.11</v>
      </c>
      <c r="J63" s="1059">
        <f t="shared" si="14"/>
        <v>9.4000000000000004E-3</v>
      </c>
      <c r="K63" s="1059">
        <f t="shared" si="15"/>
        <v>4.7000000000000002E-3</v>
      </c>
      <c r="L63" s="1059">
        <v>0</v>
      </c>
      <c r="M63" s="1059">
        <f t="shared" si="16"/>
        <v>-4.7000000000000002E-3</v>
      </c>
      <c r="N63" s="1059">
        <f t="shared" si="16"/>
        <v>-9.4000000000000004E-3</v>
      </c>
      <c r="AA63" s="1115"/>
      <c r="AB63" s="1115"/>
      <c r="AC63" s="1115"/>
      <c r="AD63" s="1115"/>
      <c r="AE63" s="1115"/>
      <c r="AF63" s="1115"/>
      <c r="AG63" s="1115"/>
      <c r="AH63" s="1115"/>
      <c r="AI63" s="1115"/>
      <c r="AJ63" s="1115"/>
      <c r="AK63" s="1115"/>
    </row>
    <row r="64" spans="1:37" s="1114" customFormat="1" ht="36.75">
      <c r="A64" s="2124" t="s">
        <v>2052</v>
      </c>
      <c r="B64" s="2129" t="s">
        <v>2053</v>
      </c>
      <c r="C64" s="2038" t="s">
        <v>3393</v>
      </c>
      <c r="D64" s="1060">
        <f t="shared" si="12"/>
        <v>2.0999999999999999E-3</v>
      </c>
      <c r="E64" s="740"/>
      <c r="F64" s="1809"/>
      <c r="G64" s="1058">
        <v>2.0999999999999999E-3</v>
      </c>
      <c r="H64" s="1061" t="str">
        <f t="shared" si="13"/>
        <v>——</v>
      </c>
      <c r="I64" s="3360">
        <v>0.05</v>
      </c>
      <c r="J64" s="1059">
        <f t="shared" si="14"/>
        <v>4.1999999999999997E-3</v>
      </c>
      <c r="K64" s="1059">
        <f t="shared" si="15"/>
        <v>2.0999999999999999E-3</v>
      </c>
      <c r="L64" s="1059">
        <v>0</v>
      </c>
      <c r="M64" s="1059">
        <f t="shared" si="16"/>
        <v>-2.0999999999999999E-3</v>
      </c>
      <c r="N64" s="1059">
        <f t="shared" si="16"/>
        <v>-4.1999999999999997E-3</v>
      </c>
      <c r="AA64" s="1115"/>
      <c r="AB64" s="1115"/>
      <c r="AC64" s="1115"/>
      <c r="AD64" s="1115"/>
      <c r="AE64" s="1115"/>
      <c r="AF64" s="1115"/>
      <c r="AG64" s="1115"/>
      <c r="AH64" s="1115"/>
      <c r="AI64" s="1115"/>
      <c r="AJ64" s="1115"/>
      <c r="AK64" s="1115"/>
    </row>
    <row r="65" spans="1:37" s="1114" customFormat="1" ht="24">
      <c r="A65" s="2124" t="s">
        <v>2054</v>
      </c>
      <c r="B65" s="2128">
        <f>估价对象房地状况!C24</f>
        <v>0</v>
      </c>
      <c r="C65" s="2038" t="s">
        <v>3393</v>
      </c>
      <c r="D65" s="1060">
        <f t="shared" si="12"/>
        <v>2.0999999999999999E-3</v>
      </c>
      <c r="E65" s="740"/>
      <c r="F65" s="1809"/>
      <c r="G65" s="1058">
        <v>2.0999999999999999E-3</v>
      </c>
      <c r="H65" s="1061" t="str">
        <f t="shared" si="13"/>
        <v>——</v>
      </c>
      <c r="I65" s="3360">
        <v>0.05</v>
      </c>
      <c r="J65" s="1059">
        <f t="shared" si="14"/>
        <v>4.1999999999999997E-3</v>
      </c>
      <c r="K65" s="1059">
        <f t="shared" si="15"/>
        <v>2.0999999999999999E-3</v>
      </c>
      <c r="L65" s="1059">
        <v>0</v>
      </c>
      <c r="M65" s="1059">
        <f t="shared" si="16"/>
        <v>-2.0999999999999999E-3</v>
      </c>
      <c r="N65" s="1059">
        <f t="shared" si="16"/>
        <v>-4.1999999999999997E-3</v>
      </c>
      <c r="AA65" s="1115"/>
      <c r="AB65" s="1115"/>
      <c r="AC65" s="1115"/>
      <c r="AD65" s="1115"/>
      <c r="AE65" s="1115"/>
      <c r="AF65" s="1115"/>
      <c r="AG65" s="1115"/>
      <c r="AH65" s="1115"/>
      <c r="AI65" s="1115"/>
      <c r="AJ65" s="1115"/>
      <c r="AK65" s="1115"/>
    </row>
    <row r="66" spans="1:37" s="1114" customFormat="1" ht="24">
      <c r="A66" s="2124" t="s">
        <v>2055</v>
      </c>
      <c r="B66" s="2130" t="s">
        <v>2056</v>
      </c>
      <c r="C66" s="2038" t="s">
        <v>3393</v>
      </c>
      <c r="D66" s="1060">
        <f t="shared" si="12"/>
        <v>2.5999999999999999E-3</v>
      </c>
      <c r="E66" s="740"/>
      <c r="F66" s="1809"/>
      <c r="G66" s="1058">
        <v>2.5999999999999999E-3</v>
      </c>
      <c r="H66" s="1061" t="str">
        <f t="shared" si="13"/>
        <v>——</v>
      </c>
      <c r="I66" s="3360">
        <v>0.06</v>
      </c>
      <c r="J66" s="1059">
        <f t="shared" si="14"/>
        <v>5.1999999999999998E-3</v>
      </c>
      <c r="K66" s="1059">
        <f t="shared" si="15"/>
        <v>2.5999999999999999E-3</v>
      </c>
      <c r="L66" s="1059">
        <v>0</v>
      </c>
      <c r="M66" s="1059">
        <f t="shared" si="16"/>
        <v>-2.5999999999999999E-3</v>
      </c>
      <c r="N66" s="1059">
        <f t="shared" si="16"/>
        <v>-5.1999999999999998E-3</v>
      </c>
      <c r="AA66" s="1115"/>
      <c r="AB66" s="1115"/>
      <c r="AC66" s="1115"/>
      <c r="AD66" s="1115"/>
      <c r="AE66" s="1115"/>
      <c r="AF66" s="1115"/>
      <c r="AG66" s="1115"/>
      <c r="AH66" s="1115"/>
      <c r="AI66" s="1115"/>
      <c r="AJ66" s="1115"/>
      <c r="AK66" s="1115"/>
    </row>
    <row r="67" spans="1:37" s="1114" customFormat="1" ht="25.5">
      <c r="A67" s="2124" t="s">
        <v>2057</v>
      </c>
      <c r="B67" s="1321" t="str">
        <f>估价对象房地状况!C21</f>
        <v>估价对象所在区域公共配套设施齐备情况</v>
      </c>
      <c r="C67" s="2038" t="s">
        <v>3393</v>
      </c>
      <c r="D67" s="1060">
        <f t="shared" si="12"/>
        <v>2.5999999999999999E-3</v>
      </c>
      <c r="E67" s="740"/>
      <c r="F67" s="1809"/>
      <c r="G67" s="1058">
        <v>2.5999999999999999E-3</v>
      </c>
      <c r="H67" s="1061" t="str">
        <f t="shared" si="13"/>
        <v>——</v>
      </c>
      <c r="I67" s="3360">
        <v>0.06</v>
      </c>
      <c r="J67" s="1059">
        <f t="shared" si="14"/>
        <v>5.1999999999999998E-3</v>
      </c>
      <c r="K67" s="1059">
        <f t="shared" si="15"/>
        <v>2.5999999999999999E-3</v>
      </c>
      <c r="L67" s="1059">
        <v>0</v>
      </c>
      <c r="M67" s="1059">
        <f t="shared" si="16"/>
        <v>-2.5999999999999999E-3</v>
      </c>
      <c r="N67" s="1059">
        <f t="shared" si="16"/>
        <v>-5.1999999999999998E-3</v>
      </c>
      <c r="AA67" s="1115"/>
      <c r="AB67" s="1115"/>
      <c r="AC67" s="1115"/>
      <c r="AD67" s="1115"/>
      <c r="AE67" s="1115"/>
      <c r="AF67" s="1115"/>
      <c r="AG67" s="1115"/>
      <c r="AH67" s="1115"/>
      <c r="AI67" s="1115"/>
      <c r="AJ67" s="1115"/>
      <c r="AK67" s="1115"/>
    </row>
    <row r="68" spans="1:37" s="1114" customFormat="1" ht="25.5">
      <c r="A68" s="2124" t="s">
        <v>2058</v>
      </c>
      <c r="B68" s="1321" t="str">
        <f>估价对象房地状况!C22</f>
        <v>估价对象所在区域基础设施水平</v>
      </c>
      <c r="C68" s="2038" t="s">
        <v>3394</v>
      </c>
      <c r="D68" s="1060">
        <f t="shared" si="12"/>
        <v>7.7999999999999996E-3</v>
      </c>
      <c r="E68" s="740"/>
      <c r="F68" s="1809"/>
      <c r="G68" s="1058">
        <v>3.8999999999999998E-3</v>
      </c>
      <c r="H68" s="1061" t="str">
        <f t="shared" si="13"/>
        <v>——</v>
      </c>
      <c r="I68" s="3360">
        <v>0.09</v>
      </c>
      <c r="J68" s="1059">
        <f t="shared" si="14"/>
        <v>7.7999999999999996E-3</v>
      </c>
      <c r="K68" s="1059">
        <f t="shared" si="15"/>
        <v>3.8999999999999998E-3</v>
      </c>
      <c r="L68" s="1059">
        <v>0</v>
      </c>
      <c r="M68" s="1059">
        <f t="shared" si="16"/>
        <v>-3.8999999999999998E-3</v>
      </c>
      <c r="N68" s="1059">
        <f t="shared" si="16"/>
        <v>-7.7999999999999996E-3</v>
      </c>
      <c r="AA68" s="1115"/>
      <c r="AB68" s="1115"/>
      <c r="AC68" s="1115"/>
      <c r="AD68" s="1115"/>
      <c r="AE68" s="1115"/>
      <c r="AF68" s="1115"/>
      <c r="AG68" s="1115"/>
      <c r="AH68" s="1115"/>
      <c r="AI68" s="1115"/>
      <c r="AJ68" s="1115"/>
      <c r="AK68" s="1115"/>
    </row>
    <row r="69" spans="1:37" s="1114" customFormat="1" ht="26.25" thickBot="1">
      <c r="A69" s="2132" t="s">
        <v>2059</v>
      </c>
      <c r="B69" s="2134" t="str">
        <f>估价对象房地状况!C20</f>
        <v>区域自然环境：；人文环境；综合评价环境状况一般</v>
      </c>
      <c r="C69" s="2038" t="s">
        <v>3393</v>
      </c>
      <c r="D69" s="1060">
        <f t="shared" si="12"/>
        <v>3.0000000000000001E-3</v>
      </c>
      <c r="E69" s="741"/>
      <c r="F69" s="1809"/>
      <c r="G69" s="1058">
        <v>3.0000000000000001E-3</v>
      </c>
      <c r="H69" s="1061" t="str">
        <f t="shared" si="13"/>
        <v>——</v>
      </c>
      <c r="I69" s="3361">
        <v>7.0000000000000007E-2</v>
      </c>
      <c r="J69" s="1059">
        <f t="shared" si="14"/>
        <v>6.0000000000000001E-3</v>
      </c>
      <c r="K69" s="1059">
        <f t="shared" si="15"/>
        <v>3.0000000000000001E-3</v>
      </c>
      <c r="L69" s="1059">
        <v>0</v>
      </c>
      <c r="M69" s="1059">
        <f t="shared" si="16"/>
        <v>-3.0000000000000001E-3</v>
      </c>
      <c r="N69" s="1059">
        <f t="shared" si="16"/>
        <v>-6.0000000000000001E-3</v>
      </c>
      <c r="AA69" s="1115"/>
      <c r="AB69" s="1115"/>
      <c r="AC69" s="1115"/>
      <c r="AD69" s="1115"/>
      <c r="AE69" s="1115"/>
      <c r="AF69" s="1115"/>
      <c r="AG69" s="1115"/>
      <c r="AH69" s="1115"/>
      <c r="AI69" s="1115"/>
      <c r="AJ69" s="1115"/>
      <c r="AK69" s="1115"/>
    </row>
    <row r="70" spans="1:37" s="1114" customFormat="1" ht="15">
      <c r="A70" s="2120" t="s">
        <v>2063</v>
      </c>
      <c r="B70" s="2121">
        <f>1+E72</f>
        <v>1</v>
      </c>
      <c r="C70" s="736"/>
      <c r="D70" s="736"/>
      <c r="E70" s="737"/>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2042</v>
      </c>
      <c r="B71" s="1346"/>
      <c r="C71" s="1346" t="s">
        <v>2044</v>
      </c>
      <c r="D71" s="1346" t="s">
        <v>2045</v>
      </c>
      <c r="E71" s="738" t="s">
        <v>2046</v>
      </c>
      <c r="F71" s="2125" t="s">
        <v>2061</v>
      </c>
      <c r="G71" s="1346" t="s">
        <v>310</v>
      </c>
      <c r="H71" s="2126" t="s">
        <v>2048</v>
      </c>
      <c r="I71" s="1346" t="s">
        <v>2049</v>
      </c>
      <c r="J71" s="552" t="s">
        <v>1720</v>
      </c>
      <c r="K71" s="552" t="s">
        <v>1721</v>
      </c>
      <c r="L71" s="552" t="s">
        <v>1722</v>
      </c>
      <c r="M71" s="552" t="s">
        <v>1723</v>
      </c>
      <c r="N71" s="552" t="s">
        <v>1724</v>
      </c>
      <c r="AA71" s="1115"/>
      <c r="AB71" s="1115"/>
      <c r="AC71" s="1115"/>
      <c r="AD71" s="1115"/>
      <c r="AE71" s="1115"/>
      <c r="AF71" s="1115"/>
      <c r="AG71" s="1115"/>
      <c r="AH71" s="1115"/>
      <c r="AI71" s="1115"/>
      <c r="AJ71" s="1115"/>
      <c r="AK71" s="1115"/>
    </row>
    <row r="72" spans="1:37" s="1114" customFormat="1" ht="51">
      <c r="A72" s="2124" t="s">
        <v>2064</v>
      </c>
      <c r="B72" s="2127" t="str">
        <f>估价对象房地状况!C15</f>
        <v>估价对象周边居住用地比例、居住小区规模和社区发展完善程度，综合评价居住社区成熟度一般</v>
      </c>
      <c r="C72" s="2038"/>
      <c r="D72" s="1060">
        <f t="shared" ref="D72:D80" si="17">SUMIF($J$71:$N$71,C72,J72:N72)</f>
        <v>0</v>
      </c>
      <c r="E72" s="739">
        <f>ROUND(SUM(D72:D80),4)</f>
        <v>0</v>
      </c>
      <c r="F72" s="1809"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4" t="s">
        <v>2051</v>
      </c>
      <c r="B73" s="2128" t="str">
        <f>估价对象房地状况!C18</f>
        <v>估价对象周边道路状况、公共交通通达情况、停车便捷程度，综合评价交通便捷度较好</v>
      </c>
      <c r="C73" s="2038"/>
      <c r="D73" s="1060">
        <f t="shared" si="17"/>
        <v>0</v>
      </c>
      <c r="E73" s="742"/>
      <c r="F73" s="1809"/>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2" t="s">
        <v>3270</v>
      </c>
      <c r="B74" s="2128">
        <f>估价对象房地状况!C19</f>
        <v>0</v>
      </c>
      <c r="C74" s="2038"/>
      <c r="D74" s="1060">
        <f t="shared" si="17"/>
        <v>0</v>
      </c>
      <c r="E74" s="742"/>
      <c r="F74" s="1809"/>
      <c r="G74" s="1058"/>
      <c r="H74" s="1061" t="str">
        <f t="shared" si="18"/>
        <v>——</v>
      </c>
      <c r="I74" s="3360">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2065</v>
      </c>
      <c r="B75" s="2128">
        <f>估价对象房地状况!C24</f>
        <v>0</v>
      </c>
      <c r="C75" s="2038"/>
      <c r="D75" s="1060">
        <f t="shared" si="17"/>
        <v>0</v>
      </c>
      <c r="E75" s="742"/>
      <c r="F75" s="1809"/>
      <c r="G75" s="1058"/>
      <c r="H75" s="1061" t="str">
        <f t="shared" si="18"/>
        <v>——</v>
      </c>
      <c r="I75" s="3360">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25.5">
      <c r="A76" s="2124" t="s">
        <v>2057</v>
      </c>
      <c r="B76" s="1321" t="str">
        <f>估价对象房地状况!C21</f>
        <v>估价对象所在区域公共配套设施齐备情况</v>
      </c>
      <c r="C76" s="2038"/>
      <c r="D76" s="1060">
        <f t="shared" si="17"/>
        <v>0</v>
      </c>
      <c r="E76" s="742"/>
      <c r="F76" s="1809"/>
      <c r="G76" s="1058"/>
      <c r="H76" s="1061" t="str">
        <f t="shared" si="18"/>
        <v>——</v>
      </c>
      <c r="I76" s="3360">
        <v>0.08</v>
      </c>
      <c r="J76" s="1059">
        <f t="shared" si="19"/>
        <v>0</v>
      </c>
      <c r="K76" s="1059">
        <f t="shared" si="20"/>
        <v>0</v>
      </c>
      <c r="L76" s="1059">
        <v>0</v>
      </c>
      <c r="M76" s="1059">
        <f t="shared" si="21"/>
        <v>0</v>
      </c>
      <c r="N76" s="1059">
        <f t="shared" si="21"/>
        <v>0</v>
      </c>
      <c r="O76" s="1114"/>
      <c r="P76" s="1114"/>
      <c r="Z76" s="1992"/>
      <c r="AA76" s="2047"/>
      <c r="AG76" s="1116"/>
      <c r="AK76" s="2047"/>
    </row>
    <row r="77" spans="1:37" ht="25.5">
      <c r="A77" s="2124" t="s">
        <v>2058</v>
      </c>
      <c r="B77" s="1321" t="str">
        <f>估价对象房地状况!C22</f>
        <v>估价对象所在区域基础设施水平</v>
      </c>
      <c r="C77" s="2038"/>
      <c r="D77" s="1060">
        <f t="shared" si="17"/>
        <v>0</v>
      </c>
      <c r="E77" s="742"/>
      <c r="F77" s="1809"/>
      <c r="G77" s="1058"/>
      <c r="H77" s="1061" t="str">
        <f t="shared" si="18"/>
        <v>——</v>
      </c>
      <c r="I77" s="3360">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2055</v>
      </c>
      <c r="B78" s="2130" t="s">
        <v>2056</v>
      </c>
      <c r="C78" s="2038"/>
      <c r="D78" s="1060">
        <f t="shared" si="17"/>
        <v>0</v>
      </c>
      <c r="E78" s="742"/>
      <c r="F78" s="1809"/>
      <c r="G78" s="1058"/>
      <c r="H78" s="1061" t="str">
        <f t="shared" si="18"/>
        <v>——</v>
      </c>
      <c r="I78" s="3360">
        <v>0.05</v>
      </c>
      <c r="J78" s="1059">
        <f t="shared" si="19"/>
        <v>0</v>
      </c>
      <c r="K78" s="1059">
        <f t="shared" si="20"/>
        <v>0</v>
      </c>
      <c r="L78" s="1059">
        <v>0</v>
      </c>
      <c r="M78" s="1059">
        <f t="shared" si="21"/>
        <v>0</v>
      </c>
      <c r="N78" s="1059">
        <f t="shared" si="21"/>
        <v>0</v>
      </c>
      <c r="O78" s="1991"/>
      <c r="P78" s="1991"/>
      <c r="Z78" s="1992"/>
      <c r="AA78" s="2047"/>
      <c r="AG78" s="1116"/>
      <c r="AK78" s="2047"/>
    </row>
    <row r="79" spans="1:37" ht="25.5">
      <c r="A79" s="2124" t="s">
        <v>2059</v>
      </c>
      <c r="B79" s="2127" t="str">
        <f>估价对象房地状况!C20</f>
        <v>区域自然环境：；人文环境；综合评价环境状况一般</v>
      </c>
      <c r="C79" s="2038"/>
      <c r="D79" s="1060">
        <f t="shared" si="17"/>
        <v>0</v>
      </c>
      <c r="E79" s="742"/>
      <c r="F79" s="1809"/>
      <c r="G79" s="1058"/>
      <c r="H79" s="1061" t="str">
        <f t="shared" si="18"/>
        <v>——</v>
      </c>
      <c r="I79" s="3360">
        <v>0.12</v>
      </c>
      <c r="J79" s="1059">
        <f t="shared" si="19"/>
        <v>0</v>
      </c>
      <c r="K79" s="1059">
        <f t="shared" si="20"/>
        <v>0</v>
      </c>
      <c r="L79" s="1059">
        <v>0</v>
      </c>
      <c r="M79" s="1059">
        <f t="shared" si="21"/>
        <v>0</v>
      </c>
      <c r="N79" s="1059">
        <f t="shared" si="21"/>
        <v>0</v>
      </c>
      <c r="Z79" s="1992"/>
      <c r="AA79" s="2047"/>
      <c r="AG79" s="1116"/>
      <c r="AK79" s="2047"/>
    </row>
    <row r="80" spans="1:37" ht="24.75" thickBot="1">
      <c r="A80" s="2132" t="s">
        <v>2066</v>
      </c>
      <c r="B80" s="2136"/>
      <c r="C80" s="2038"/>
      <c r="D80" s="1060">
        <f t="shared" si="17"/>
        <v>0</v>
      </c>
      <c r="E80" s="743"/>
      <c r="F80" s="1809"/>
      <c r="G80" s="1058"/>
      <c r="H80" s="1061" t="str">
        <f t="shared" si="18"/>
        <v>——</v>
      </c>
      <c r="I80" s="3361">
        <v>0.05</v>
      </c>
      <c r="J80" s="1059">
        <f t="shared" si="19"/>
        <v>0</v>
      </c>
      <c r="K80" s="1059">
        <f t="shared" si="20"/>
        <v>0</v>
      </c>
      <c r="L80" s="1059">
        <v>0</v>
      </c>
      <c r="M80" s="1059">
        <f t="shared" si="21"/>
        <v>0</v>
      </c>
      <c r="N80" s="1059">
        <f t="shared" si="21"/>
        <v>0</v>
      </c>
      <c r="Z80" s="1992"/>
      <c r="AA80" s="2047"/>
      <c r="AG80" s="1116"/>
      <c r="AK80" s="2047"/>
    </row>
    <row r="81" spans="1:37" ht="15">
      <c r="A81" s="2120" t="s">
        <v>2067</v>
      </c>
      <c r="B81" s="2121">
        <f>1+E83</f>
        <v>1.0165999999999999</v>
      </c>
      <c r="C81" s="736"/>
      <c r="D81" s="736"/>
      <c r="E81" s="737"/>
      <c r="F81" s="2123"/>
      <c r="G81" s="3"/>
      <c r="H81" s="3"/>
      <c r="I81" s="3"/>
      <c r="J81" s="4"/>
      <c r="K81" s="4"/>
      <c r="L81" s="4"/>
      <c r="M81" s="4"/>
      <c r="N81" s="4"/>
      <c r="Z81" s="1992"/>
      <c r="AA81" s="2047"/>
      <c r="AG81" s="1116"/>
      <c r="AK81" s="2047"/>
    </row>
    <row r="82" spans="1:37" ht="24.75">
      <c r="A82" s="2124" t="s">
        <v>2042</v>
      </c>
      <c r="B82" s="1346"/>
      <c r="C82" s="1346" t="s">
        <v>2044</v>
      </c>
      <c r="D82" s="1346" t="s">
        <v>2045</v>
      </c>
      <c r="E82" s="738" t="s">
        <v>2046</v>
      </c>
      <c r="F82" s="2125" t="s">
        <v>2061</v>
      </c>
      <c r="G82" s="1346" t="s">
        <v>310</v>
      </c>
      <c r="H82" s="2126" t="s">
        <v>2048</v>
      </c>
      <c r="I82" s="1346" t="s">
        <v>2049</v>
      </c>
      <c r="J82" s="552" t="s">
        <v>1720</v>
      </c>
      <c r="K82" s="552" t="s">
        <v>1721</v>
      </c>
      <c r="L82" s="552" t="s">
        <v>1722</v>
      </c>
      <c r="M82" s="552" t="s">
        <v>1723</v>
      </c>
      <c r="N82" s="552" t="s">
        <v>1724</v>
      </c>
      <c r="Z82" s="1992"/>
      <c r="AA82" s="2047"/>
      <c r="AG82" s="1116"/>
      <c r="AK82" s="2047"/>
    </row>
    <row r="83" spans="1:37" ht="38.25">
      <c r="A83" s="2124" t="s">
        <v>2068</v>
      </c>
      <c r="B83" s="2128" t="str">
        <f>估价对象房地状况!G15</f>
        <v>估价对象位于XX开发区，园区建设成熟度XX，产业集聚程度XX</v>
      </c>
      <c r="C83" s="2038" t="s">
        <v>3392</v>
      </c>
      <c r="D83" s="1060">
        <f t="shared" ref="D83:D90" si="22">SUMIF($J$82:$N$82,C83,J83:N83)</f>
        <v>0</v>
      </c>
      <c r="E83" s="739">
        <f>ROUND(SUM(D83:D90),4)</f>
        <v>1.66E-2</v>
      </c>
      <c r="F83" s="1809">
        <f>IF(E2="工业",SUMIF(L1:L12,G2,N1:N12),"——")</f>
        <v>0.14499999999999999</v>
      </c>
      <c r="G83" s="1058">
        <v>1.8800000000000001E-2</v>
      </c>
      <c r="H83" s="1061">
        <f t="shared" ref="H83:H90" si="23">IFERROR(ROUNDDOWN($F$83*I83/2,4),"——")</f>
        <v>1.8800000000000001E-2</v>
      </c>
      <c r="I83" s="3360">
        <v>0.26</v>
      </c>
      <c r="J83" s="1059">
        <f t="shared" ref="J83:J90" si="24">K83+$G83</f>
        <v>3.7600000000000001E-2</v>
      </c>
      <c r="K83" s="1059">
        <f t="shared" ref="K83:K90" si="25">$L83+$G83</f>
        <v>1.8800000000000001E-2</v>
      </c>
      <c r="L83" s="1059">
        <v>0</v>
      </c>
      <c r="M83" s="1059">
        <f t="shared" ref="M83:N90" si="26">L83-$G83</f>
        <v>-1.8800000000000001E-2</v>
      </c>
      <c r="N83" s="1059">
        <f t="shared" si="26"/>
        <v>-3.7600000000000001E-2</v>
      </c>
      <c r="Z83" s="1992"/>
      <c r="AA83" s="2047"/>
      <c r="AG83" s="1116"/>
      <c r="AK83" s="2047"/>
    </row>
    <row r="84" spans="1:37" ht="38.25">
      <c r="A84" s="2124" t="s">
        <v>2051</v>
      </c>
      <c r="B84" s="2128" t="str">
        <f>估价对象房地状况!G16</f>
        <v>估价对象周边道路状况、公共交通通达情况、停车便捷程度，综合评价交通便捷度较好</v>
      </c>
      <c r="C84" s="2038" t="s">
        <v>3392</v>
      </c>
      <c r="D84" s="1060">
        <f t="shared" si="22"/>
        <v>0</v>
      </c>
      <c r="E84" s="742"/>
      <c r="F84" s="1809"/>
      <c r="G84" s="1058">
        <v>2.1700000000000001E-2</v>
      </c>
      <c r="H84" s="1061">
        <f t="shared" si="23"/>
        <v>2.1700000000000001E-2</v>
      </c>
      <c r="I84" s="3360">
        <v>0.3</v>
      </c>
      <c r="J84" s="1059">
        <f t="shared" si="24"/>
        <v>4.3400000000000001E-2</v>
      </c>
      <c r="K84" s="1059">
        <f t="shared" si="25"/>
        <v>2.1700000000000001E-2</v>
      </c>
      <c r="L84" s="1059">
        <v>0</v>
      </c>
      <c r="M84" s="1059">
        <f t="shared" si="26"/>
        <v>-2.1700000000000001E-2</v>
      </c>
      <c r="N84" s="1059">
        <f t="shared" si="26"/>
        <v>-4.3400000000000001E-2</v>
      </c>
      <c r="Z84" s="1992"/>
      <c r="AA84" s="2047"/>
      <c r="AG84" s="1116"/>
      <c r="AK84" s="2047"/>
    </row>
    <row r="85" spans="1:37" ht="36">
      <c r="A85" s="3362" t="s">
        <v>3270</v>
      </c>
      <c r="B85" s="2128">
        <f>估价对象房地状况!G17</f>
        <v>0</v>
      </c>
      <c r="C85" s="2038" t="s">
        <v>3393</v>
      </c>
      <c r="D85" s="1060">
        <f t="shared" si="22"/>
        <v>7.1999999999999998E-3</v>
      </c>
      <c r="E85" s="742"/>
      <c r="F85" s="1809"/>
      <c r="G85" s="1058">
        <v>7.1999999999999998E-3</v>
      </c>
      <c r="H85" s="1061">
        <f t="shared" si="23"/>
        <v>7.1999999999999998E-3</v>
      </c>
      <c r="I85" s="3360">
        <v>0.1</v>
      </c>
      <c r="J85" s="1059">
        <f t="shared" si="24"/>
        <v>1.44E-2</v>
      </c>
      <c r="K85" s="1059">
        <f t="shared" si="25"/>
        <v>7.1999999999999998E-3</v>
      </c>
      <c r="L85" s="1059">
        <v>0</v>
      </c>
      <c r="M85" s="1059">
        <f t="shared" si="26"/>
        <v>-7.1999999999999998E-3</v>
      </c>
      <c r="N85" s="1059">
        <f t="shared" si="26"/>
        <v>-1.44E-2</v>
      </c>
      <c r="Z85" s="1992"/>
      <c r="AA85" s="2047"/>
      <c r="AG85" s="1116"/>
      <c r="AK85" s="2047"/>
    </row>
    <row r="86" spans="1:37" ht="14.25">
      <c r="A86" s="2124" t="s">
        <v>2065</v>
      </c>
      <c r="B86" s="2128">
        <f>估价对象房地状况!G22</f>
        <v>0</v>
      </c>
      <c r="C86" s="2038" t="s">
        <v>3415</v>
      </c>
      <c r="D86" s="1060">
        <f t="shared" si="22"/>
        <v>-3.5999999999999999E-3</v>
      </c>
      <c r="E86" s="742"/>
      <c r="F86" s="1809"/>
      <c r="G86" s="1058">
        <v>3.5999999999999999E-3</v>
      </c>
      <c r="H86" s="1061">
        <f t="shared" si="23"/>
        <v>3.5999999999999999E-3</v>
      </c>
      <c r="I86" s="3360">
        <v>0.05</v>
      </c>
      <c r="J86" s="1059">
        <f t="shared" si="24"/>
        <v>7.1999999999999998E-3</v>
      </c>
      <c r="K86" s="1059">
        <f t="shared" si="25"/>
        <v>3.5999999999999999E-3</v>
      </c>
      <c r="L86" s="1059">
        <v>0</v>
      </c>
      <c r="M86" s="1059">
        <f t="shared" si="26"/>
        <v>-3.5999999999999999E-3</v>
      </c>
      <c r="N86" s="1059">
        <f t="shared" si="26"/>
        <v>-7.1999999999999998E-3</v>
      </c>
      <c r="Z86" s="1992"/>
      <c r="AA86" s="2047"/>
      <c r="AG86" s="1116"/>
      <c r="AK86" s="2047"/>
    </row>
    <row r="87" spans="1:37" ht="25.5">
      <c r="A87" s="2124" t="s">
        <v>2057</v>
      </c>
      <c r="B87" s="1321" t="str">
        <f>估价对象房地状况!G19</f>
        <v>估价对象所在区域公共配套设施齐备情况</v>
      </c>
      <c r="C87" s="2038" t="s">
        <v>3392</v>
      </c>
      <c r="D87" s="1060">
        <f t="shared" si="22"/>
        <v>0</v>
      </c>
      <c r="E87" s="742"/>
      <c r="F87" s="1809"/>
      <c r="G87" s="1058">
        <v>4.3E-3</v>
      </c>
      <c r="H87" s="1061">
        <f t="shared" si="23"/>
        <v>4.3E-3</v>
      </c>
      <c r="I87" s="3360">
        <v>0.06</v>
      </c>
      <c r="J87" s="1059">
        <f t="shared" si="24"/>
        <v>8.6E-3</v>
      </c>
      <c r="K87" s="1059">
        <f t="shared" si="25"/>
        <v>4.3E-3</v>
      </c>
      <c r="L87" s="1059">
        <v>0</v>
      </c>
      <c r="M87" s="1059">
        <f t="shared" si="26"/>
        <v>-4.3E-3</v>
      </c>
      <c r="N87" s="1059">
        <f t="shared" si="26"/>
        <v>-8.6E-3</v>
      </c>
    </row>
    <row r="88" spans="1:37" ht="25.5">
      <c r="A88" s="2124" t="s">
        <v>2058</v>
      </c>
      <c r="B88" s="1321" t="str">
        <f>估价对象房地状况!G20</f>
        <v>估价对象所在区域基础设施水平</v>
      </c>
      <c r="C88" s="2038" t="s">
        <v>3393</v>
      </c>
      <c r="D88" s="1060">
        <f t="shared" si="22"/>
        <v>8.6999999999999994E-3</v>
      </c>
      <c r="E88" s="742"/>
      <c r="F88" s="1809"/>
      <c r="G88" s="1058">
        <v>8.6999999999999994E-3</v>
      </c>
      <c r="H88" s="1061">
        <f t="shared" si="23"/>
        <v>8.6999999999999994E-3</v>
      </c>
      <c r="I88" s="3360">
        <v>0.12</v>
      </c>
      <c r="J88" s="1059">
        <f t="shared" si="24"/>
        <v>1.7399999999999999E-2</v>
      </c>
      <c r="K88" s="1059">
        <f t="shared" si="25"/>
        <v>8.6999999999999994E-3</v>
      </c>
      <c r="L88" s="1059">
        <v>0</v>
      </c>
      <c r="M88" s="1059">
        <f t="shared" si="26"/>
        <v>-8.6999999999999994E-3</v>
      </c>
      <c r="N88" s="1059">
        <f t="shared" si="26"/>
        <v>-1.7399999999999999E-2</v>
      </c>
    </row>
    <row r="89" spans="1:37" ht="24">
      <c r="A89" s="2124" t="s">
        <v>2055</v>
      </c>
      <c r="B89" s="2130" t="s">
        <v>2069</v>
      </c>
      <c r="C89" s="2038" t="s">
        <v>3393</v>
      </c>
      <c r="D89" s="1060">
        <f t="shared" si="22"/>
        <v>4.3E-3</v>
      </c>
      <c r="E89" s="742"/>
      <c r="F89" s="1809"/>
      <c r="G89" s="1058">
        <v>4.3E-3</v>
      </c>
      <c r="H89" s="1061">
        <f t="shared" si="23"/>
        <v>4.3E-3</v>
      </c>
      <c r="I89" s="3360">
        <v>0.06</v>
      </c>
      <c r="J89" s="1059">
        <f t="shared" si="24"/>
        <v>8.6E-3</v>
      </c>
      <c r="K89" s="1059">
        <f t="shared" si="25"/>
        <v>4.3E-3</v>
      </c>
      <c r="L89" s="1059">
        <v>0</v>
      </c>
      <c r="M89" s="1059">
        <f t="shared" si="26"/>
        <v>-4.3E-3</v>
      </c>
      <c r="N89" s="1059">
        <f t="shared" si="26"/>
        <v>-8.6E-3</v>
      </c>
    </row>
    <row r="90" spans="1:37" ht="39" thickBot="1">
      <c r="A90" s="2132" t="s">
        <v>2070</v>
      </c>
      <c r="B90" s="2137" t="str">
        <f>估价对象房地状况!G18</f>
        <v>该园区内是否有污染型企业，绿化情况，卫生条件，整体环境状况判断</v>
      </c>
      <c r="C90" s="2038" t="s">
        <v>3392</v>
      </c>
      <c r="D90" s="1060">
        <f t="shared" si="22"/>
        <v>0</v>
      </c>
      <c r="E90" s="743"/>
      <c r="F90" s="1809"/>
      <c r="G90" s="1058">
        <v>3.5999999999999999E-3</v>
      </c>
      <c r="H90" s="1061">
        <f t="shared" si="23"/>
        <v>3.5999999999999999E-3</v>
      </c>
      <c r="I90" s="3361">
        <v>0.05</v>
      </c>
      <c r="J90" s="1059">
        <f t="shared" si="24"/>
        <v>7.1999999999999998E-3</v>
      </c>
      <c r="K90" s="1059">
        <f t="shared" si="25"/>
        <v>3.5999999999999999E-3</v>
      </c>
      <c r="L90" s="1059">
        <v>0</v>
      </c>
      <c r="M90" s="1059">
        <f t="shared" si="26"/>
        <v>-3.5999999999999999E-3</v>
      </c>
      <c r="N90" s="1059">
        <f t="shared" si="26"/>
        <v>-7.1999999999999998E-3</v>
      </c>
    </row>
    <row r="91" spans="1:37" ht="15">
      <c r="A91" s="3370" t="s">
        <v>2614</v>
      </c>
      <c r="B91" s="3371">
        <f>1+E93</f>
        <v>1</v>
      </c>
      <c r="C91" s="3364"/>
      <c r="D91" s="3365"/>
      <c r="E91" s="1809"/>
      <c r="F91" s="1809"/>
      <c r="G91" s="3366"/>
      <c r="H91" s="3367"/>
      <c r="I91" s="3368"/>
      <c r="J91" s="3369"/>
      <c r="K91" s="3369"/>
      <c r="L91" s="3369"/>
      <c r="M91" s="3369"/>
      <c r="N91" s="3369"/>
    </row>
    <row r="92" spans="1:37" ht="24.75">
      <c r="A92" s="3372" t="s">
        <v>2042</v>
      </c>
      <c r="B92" s="3359"/>
      <c r="C92" s="3359" t="s">
        <v>2044</v>
      </c>
      <c r="D92" s="3359" t="s">
        <v>2045</v>
      </c>
      <c r="E92" s="3341" t="s">
        <v>2046</v>
      </c>
      <c r="F92" s="3374" t="s">
        <v>3284</v>
      </c>
      <c r="G92" s="3359" t="s">
        <v>1987</v>
      </c>
      <c r="H92" s="3381" t="s">
        <v>3288</v>
      </c>
      <c r="I92" s="3359" t="s">
        <v>2049</v>
      </c>
      <c r="J92" s="3382" t="s">
        <v>1720</v>
      </c>
      <c r="K92" s="3382" t="s">
        <v>1721</v>
      </c>
      <c r="L92" s="3382" t="s">
        <v>1722</v>
      </c>
      <c r="M92" s="3382" t="s">
        <v>1723</v>
      </c>
      <c r="N92" s="3382" t="s">
        <v>1724</v>
      </c>
    </row>
    <row r="93" spans="1:37" ht="24">
      <c r="A93" s="3362" t="s">
        <v>3273</v>
      </c>
      <c r="B93" s="1301"/>
      <c r="C93" s="2038"/>
      <c r="D93" s="3359">
        <f>SUMIF($J$92:$N$92,C93,J93:N93)</f>
        <v>0</v>
      </c>
      <c r="E93" s="3375">
        <f>ROUND(SUM(D93:D101),4)</f>
        <v>0</v>
      </c>
      <c r="F93" s="1809"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2051</v>
      </c>
      <c r="B94" s="3363" t="str">
        <f>估价对象房地状况!C18</f>
        <v>估价对象周边道路状况、公共交通通达情况、停车便捷程度，综合评价交通便捷度较好</v>
      </c>
      <c r="C94" s="2038"/>
      <c r="D94" s="3359">
        <f t="shared" ref="D94:D101" si="30">SUMIF($J$60:$N$60,C94,J94:N94)</f>
        <v>0</v>
      </c>
      <c r="E94" s="3376"/>
      <c r="F94" s="1809"/>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3270</v>
      </c>
      <c r="B95" s="3363">
        <f>估价对象房地状况!C19</f>
        <v>0</v>
      </c>
      <c r="C95" s="2038"/>
      <c r="D95" s="3359">
        <f t="shared" si="30"/>
        <v>0</v>
      </c>
      <c r="E95" s="3376"/>
      <c r="F95" s="1809"/>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2052</v>
      </c>
      <c r="B96" s="3378" t="s">
        <v>3286</v>
      </c>
      <c r="C96" s="2038"/>
      <c r="D96" s="3359">
        <f t="shared" si="30"/>
        <v>0</v>
      </c>
      <c r="E96" s="3376"/>
      <c r="F96" s="1809"/>
      <c r="G96" s="3366"/>
      <c r="H96" s="3414" t="str">
        <f t="shared" si="31"/>
        <v>——</v>
      </c>
      <c r="I96" s="3360">
        <v>0.05</v>
      </c>
      <c r="J96" s="3338">
        <f t="shared" si="27"/>
        <v>0</v>
      </c>
      <c r="K96" s="3338">
        <f t="shared" si="28"/>
        <v>0</v>
      </c>
      <c r="L96" s="3338">
        <v>0</v>
      </c>
      <c r="M96" s="3338">
        <f t="shared" si="29"/>
        <v>0</v>
      </c>
      <c r="N96" s="3338">
        <f t="shared" si="29"/>
        <v>0</v>
      </c>
    </row>
    <row r="97" spans="1:14" ht="24">
      <c r="A97" s="3372" t="s">
        <v>2054</v>
      </c>
      <c r="B97" s="3363">
        <f>估价对象房地状况!C24</f>
        <v>0</v>
      </c>
      <c r="C97" s="2038"/>
      <c r="D97" s="3359">
        <f t="shared" si="30"/>
        <v>0</v>
      </c>
      <c r="E97" s="3376"/>
      <c r="F97" s="1809"/>
      <c r="G97" s="3366"/>
      <c r="H97" s="3414" t="str">
        <f t="shared" si="31"/>
        <v>——</v>
      </c>
      <c r="I97" s="3360">
        <v>0.05</v>
      </c>
      <c r="J97" s="3338">
        <f t="shared" si="27"/>
        <v>0</v>
      </c>
      <c r="K97" s="3338">
        <f t="shared" si="28"/>
        <v>0</v>
      </c>
      <c r="L97" s="3338">
        <v>0</v>
      </c>
      <c r="M97" s="3338">
        <f t="shared" si="29"/>
        <v>0</v>
      </c>
      <c r="N97" s="3338">
        <f t="shared" si="29"/>
        <v>0</v>
      </c>
    </row>
    <row r="98" spans="1:14" ht="24">
      <c r="A98" s="3372" t="s">
        <v>2055</v>
      </c>
      <c r="B98" s="3379" t="s">
        <v>3287</v>
      </c>
      <c r="C98" s="2038"/>
      <c r="D98" s="3359">
        <f t="shared" si="30"/>
        <v>0</v>
      </c>
      <c r="E98" s="3376"/>
      <c r="F98" s="1809"/>
      <c r="G98" s="3366"/>
      <c r="H98" s="3414" t="str">
        <f t="shared" si="31"/>
        <v>——</v>
      </c>
      <c r="I98" s="3360">
        <v>0.06</v>
      </c>
      <c r="J98" s="3338">
        <f t="shared" si="27"/>
        <v>0</v>
      </c>
      <c r="K98" s="3338">
        <f t="shared" si="28"/>
        <v>0</v>
      </c>
      <c r="L98" s="3338">
        <v>0</v>
      </c>
      <c r="M98" s="3338">
        <f t="shared" si="29"/>
        <v>0</v>
      </c>
      <c r="N98" s="3338">
        <f t="shared" si="29"/>
        <v>0</v>
      </c>
    </row>
    <row r="99" spans="1:14" ht="25.5">
      <c r="A99" s="3372" t="s">
        <v>2057</v>
      </c>
      <c r="B99" s="3363" t="str">
        <f>估价对象房地状况!C21</f>
        <v>估价对象所在区域公共配套设施齐备情况</v>
      </c>
      <c r="C99" s="2038"/>
      <c r="D99" s="3359">
        <f t="shared" si="30"/>
        <v>0</v>
      </c>
      <c r="E99" s="3376"/>
      <c r="F99" s="1809"/>
      <c r="G99" s="3366"/>
      <c r="H99" s="3414" t="str">
        <f t="shared" si="31"/>
        <v>——</v>
      </c>
      <c r="I99" s="3360">
        <v>0.06</v>
      </c>
      <c r="J99" s="3338">
        <f t="shared" si="27"/>
        <v>0</v>
      </c>
      <c r="K99" s="3338">
        <f t="shared" si="28"/>
        <v>0</v>
      </c>
      <c r="L99" s="3338">
        <v>0</v>
      </c>
      <c r="M99" s="3338">
        <f t="shared" si="29"/>
        <v>0</v>
      </c>
      <c r="N99" s="3338">
        <f t="shared" si="29"/>
        <v>0</v>
      </c>
    </row>
    <row r="100" spans="1:14" ht="25.5">
      <c r="A100" s="3372" t="s">
        <v>2058</v>
      </c>
      <c r="B100" s="3363" t="str">
        <f>估价对象房地状况!C22</f>
        <v>估价对象所在区域基础设施水平</v>
      </c>
      <c r="C100" s="2038"/>
      <c r="D100" s="3359">
        <f t="shared" si="30"/>
        <v>0</v>
      </c>
      <c r="E100" s="3376"/>
      <c r="F100" s="1809"/>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2059</v>
      </c>
      <c r="B101" s="3380" t="str">
        <f>估价对象房地状况!C20</f>
        <v>区域自然环境：；人文环境；综合评价环境状况一般</v>
      </c>
      <c r="C101" s="2038"/>
      <c r="D101" s="3359">
        <f t="shared" si="30"/>
        <v>0</v>
      </c>
      <c r="E101" s="3377"/>
      <c r="F101" s="1809"/>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01" t="s">
        <v>3295</v>
      </c>
      <c r="B103" s="3801"/>
      <c r="C103" s="3801"/>
      <c r="D103" s="3801"/>
      <c r="E103" s="3801"/>
      <c r="F103" s="3801"/>
      <c r="G103" s="3801"/>
      <c r="H103" s="3801"/>
      <c r="I103" s="3801"/>
      <c r="J103" s="3801"/>
      <c r="K103" s="3487"/>
      <c r="L103" s="3487"/>
      <c r="M103" s="3487"/>
      <c r="N103" s="3487"/>
    </row>
    <row r="104" spans="1:14">
      <c r="A104" s="3802" t="s">
        <v>3296</v>
      </c>
      <c r="B104" s="3802" t="s">
        <v>3297</v>
      </c>
      <c r="C104" s="3384" t="s">
        <v>3298</v>
      </c>
      <c r="D104" s="3385"/>
      <c r="E104" s="3385"/>
      <c r="F104" s="3385"/>
      <c r="G104" s="3385"/>
      <c r="H104" s="3385"/>
      <c r="I104" s="3385"/>
      <c r="J104" s="3386"/>
      <c r="K104" s="3387"/>
      <c r="L104" s="3387"/>
      <c r="M104" s="3387"/>
      <c r="N104" s="3387"/>
    </row>
    <row r="105" spans="1:14">
      <c r="A105" s="3802"/>
      <c r="B105" s="3802"/>
      <c r="C105" s="3488" t="s">
        <v>1959</v>
      </c>
      <c r="D105" s="3488" t="s">
        <v>1960</v>
      </c>
      <c r="E105" s="3488" t="s">
        <v>1961</v>
      </c>
      <c r="F105" s="3488" t="s">
        <v>1962</v>
      </c>
      <c r="G105" s="3488" t="s">
        <v>1963</v>
      </c>
      <c r="H105" s="3488" t="s">
        <v>1964</v>
      </c>
      <c r="I105" s="3488" t="s">
        <v>1965</v>
      </c>
      <c r="J105" s="3488" t="s">
        <v>1966</v>
      </c>
      <c r="K105" s="3488" t="s">
        <v>1967</v>
      </c>
      <c r="L105" s="3488" t="s">
        <v>1968</v>
      </c>
      <c r="M105" s="3488" t="s">
        <v>1969</v>
      </c>
      <c r="N105" s="3488" t="s">
        <v>1970</v>
      </c>
    </row>
    <row r="106" spans="1:14">
      <c r="A106" s="3803" t="s">
        <v>3311</v>
      </c>
      <c r="B106" s="3488">
        <v>1</v>
      </c>
      <c r="C106" s="3488">
        <v>1.5206</v>
      </c>
      <c r="D106" s="3488">
        <v>1.5206</v>
      </c>
      <c r="E106" s="3488">
        <v>1.5019</v>
      </c>
      <c r="F106" s="3488">
        <v>1.5019</v>
      </c>
      <c r="G106" s="3488">
        <v>1.5019</v>
      </c>
      <c r="H106" s="3488">
        <v>1.5019</v>
      </c>
      <c r="I106" s="3488">
        <v>1.5019</v>
      </c>
      <c r="J106" s="3488">
        <v>1.5418000000000001</v>
      </c>
      <c r="K106" s="3488">
        <v>1.5418000000000001</v>
      </c>
      <c r="L106" s="3488">
        <v>1.5418000000000001</v>
      </c>
      <c r="M106" s="3488">
        <v>1.5418000000000001</v>
      </c>
      <c r="N106" s="3488">
        <v>1.5418000000000001</v>
      </c>
    </row>
    <row r="107" spans="1:14">
      <c r="A107" s="3804"/>
      <c r="B107" s="3488">
        <v>2</v>
      </c>
      <c r="C107" s="3488">
        <v>1.2072000000000001</v>
      </c>
      <c r="D107" s="3488">
        <v>1.2072000000000001</v>
      </c>
      <c r="E107" s="3488">
        <v>1.1838</v>
      </c>
      <c r="F107" s="3488">
        <v>1.1838</v>
      </c>
      <c r="G107" s="3488">
        <v>1.1838</v>
      </c>
      <c r="H107" s="3488">
        <v>1.1838</v>
      </c>
      <c r="I107" s="3488">
        <v>1.1838</v>
      </c>
      <c r="J107" s="3488">
        <v>1.1883999999999999</v>
      </c>
      <c r="K107" s="3488">
        <v>1.1883999999999999</v>
      </c>
      <c r="L107" s="3488">
        <v>1.1883999999999999</v>
      </c>
      <c r="M107" s="3488">
        <v>1.1883999999999999</v>
      </c>
      <c r="N107" s="3488">
        <v>1.1883999999999999</v>
      </c>
    </row>
    <row r="108" spans="1:14">
      <c r="A108" s="3804"/>
      <c r="B108" s="3488">
        <v>3</v>
      </c>
      <c r="C108" s="3488">
        <v>1.0430999999999999</v>
      </c>
      <c r="D108" s="3488">
        <v>1.0430999999999999</v>
      </c>
      <c r="E108" s="3488">
        <v>1.0004999999999999</v>
      </c>
      <c r="F108" s="3488">
        <v>1.0004999999999999</v>
      </c>
      <c r="G108" s="3488">
        <v>1.0004999999999999</v>
      </c>
      <c r="H108" s="3488">
        <v>1.0004999999999999</v>
      </c>
      <c r="I108" s="3488">
        <v>1.0004999999999999</v>
      </c>
      <c r="J108" s="3488">
        <v>0.96940000000000004</v>
      </c>
      <c r="K108" s="3488">
        <v>0.96940000000000004</v>
      </c>
      <c r="L108" s="3488">
        <v>0.96940000000000004</v>
      </c>
      <c r="M108" s="3488">
        <v>0.96940000000000004</v>
      </c>
      <c r="N108" s="3488">
        <v>0.96940000000000004</v>
      </c>
    </row>
    <row r="109" spans="1:14">
      <c r="A109" s="3804"/>
      <c r="B109" s="3488">
        <v>4</v>
      </c>
      <c r="C109" s="3488">
        <v>0.94389999999999996</v>
      </c>
      <c r="D109" s="3488">
        <v>0.94389999999999996</v>
      </c>
      <c r="E109" s="3488">
        <v>0.88239999999999996</v>
      </c>
      <c r="F109" s="3488">
        <v>0.88239999999999996</v>
      </c>
      <c r="G109" s="3488">
        <v>0.88239999999999996</v>
      </c>
      <c r="H109" s="3488">
        <v>0.88239999999999996</v>
      </c>
      <c r="I109" s="3488">
        <v>0.88239999999999996</v>
      </c>
      <c r="J109" s="3488">
        <v>0.82299999999999995</v>
      </c>
      <c r="K109" s="3488">
        <v>0.82299999999999995</v>
      </c>
      <c r="L109" s="3488">
        <v>0.82299999999999995</v>
      </c>
      <c r="M109" s="3488">
        <v>0.82299999999999995</v>
      </c>
      <c r="N109" s="3488">
        <v>0.82299999999999995</v>
      </c>
    </row>
    <row r="110" spans="1:14">
      <c r="A110" s="3804"/>
      <c r="B110" s="3488">
        <v>5</v>
      </c>
      <c r="C110" s="3488">
        <v>0.89959999999999996</v>
      </c>
      <c r="D110" s="3488">
        <v>0.89959999999999996</v>
      </c>
      <c r="E110" s="3488">
        <v>0.84799999999999998</v>
      </c>
      <c r="F110" s="3488">
        <v>0.84799999999999998</v>
      </c>
      <c r="G110" s="3488">
        <v>0.84799999999999998</v>
      </c>
      <c r="H110" s="3488">
        <v>0.84799999999999998</v>
      </c>
      <c r="I110" s="3488">
        <v>0.84799999999999998</v>
      </c>
      <c r="J110" s="3488">
        <v>0.74980000000000002</v>
      </c>
      <c r="K110" s="3488">
        <v>0.74980000000000002</v>
      </c>
      <c r="L110" s="3488">
        <v>0.74980000000000002</v>
      </c>
      <c r="M110" s="3488">
        <v>0.74980000000000002</v>
      </c>
      <c r="N110" s="3488">
        <v>0.74980000000000002</v>
      </c>
    </row>
    <row r="111" spans="1:14">
      <c r="A111" s="3804"/>
      <c r="B111" s="3488" t="s">
        <v>3269</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05"/>
      <c r="B112" s="34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06" t="s">
        <v>3312</v>
      </c>
      <c r="B113" s="3806"/>
      <c r="C113" s="3806"/>
      <c r="D113" s="3806"/>
      <c r="E113" s="3806"/>
      <c r="F113" s="3806"/>
      <c r="G113" s="3806"/>
      <c r="H113" s="3806"/>
      <c r="I113" s="3806"/>
      <c r="J113" s="3806"/>
      <c r="K113" s="3489"/>
      <c r="L113" s="3489"/>
      <c r="M113" s="3489"/>
      <c r="N113" s="3489"/>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1.98</v>
      </c>
      <c r="C116" s="3393" t="s">
        <v>3314</v>
      </c>
      <c r="D116" s="3394">
        <f>SUMPRODUCT((A118:A122=F116)*(B117:M117=H116)*B118:M122)</f>
        <v>0.55289999999999995</v>
      </c>
      <c r="E116" s="1994" t="s">
        <v>1934</v>
      </c>
      <c r="F116" s="3395" t="str">
        <f>E2</f>
        <v>工业</v>
      </c>
      <c r="G116" s="1994" t="s">
        <v>1935</v>
      </c>
      <c r="H116" s="3395" t="str">
        <f>G2</f>
        <v>九级</v>
      </c>
      <c r="I116" s="1994"/>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1988</v>
      </c>
      <c r="B118" s="3381">
        <f>ROUND(0.9968-0.011*B116,4)</f>
        <v>0.97499999999999998</v>
      </c>
      <c r="C118" s="3381">
        <f>B118</f>
        <v>0.97499999999999998</v>
      </c>
      <c r="D118" s="3381">
        <f>ROUND(0.949-0.014*B116,4)</f>
        <v>0.92130000000000001</v>
      </c>
      <c r="E118" s="3381">
        <f>D118</f>
        <v>0.92130000000000001</v>
      </c>
      <c r="F118" s="3381">
        <f>E118</f>
        <v>0.92130000000000001</v>
      </c>
      <c r="G118" s="3381">
        <f>F118</f>
        <v>0.92130000000000001</v>
      </c>
      <c r="H118" s="3381">
        <f>G118</f>
        <v>0.92130000000000001</v>
      </c>
      <c r="I118" s="3381">
        <f>ROUND(0.8486-0.018*B116,4)</f>
        <v>0.81299999999999994</v>
      </c>
      <c r="J118" s="3381">
        <f t="shared" ref="J118:M122" si="35">I118</f>
        <v>0.81299999999999994</v>
      </c>
      <c r="K118" s="3381">
        <f t="shared" si="35"/>
        <v>0.81299999999999994</v>
      </c>
      <c r="L118" s="3381">
        <f t="shared" si="35"/>
        <v>0.81299999999999994</v>
      </c>
      <c r="M118" s="3404">
        <f t="shared" si="35"/>
        <v>0.81299999999999994</v>
      </c>
      <c r="N118" s="3391"/>
    </row>
    <row r="119" spans="1:14">
      <c r="A119" s="3403" t="s">
        <v>1989</v>
      </c>
      <c r="B119" s="3381">
        <f>ROUND(0.993-0.0112*B116,4)</f>
        <v>0.9708</v>
      </c>
      <c r="C119" s="3381">
        <f>B119</f>
        <v>0.9708</v>
      </c>
      <c r="D119" s="3381">
        <f>ROUND(0.9415-0.0142*B116,4)</f>
        <v>0.91339999999999999</v>
      </c>
      <c r="E119" s="3381">
        <f t="shared" ref="E119:H120" si="36">D119</f>
        <v>0.91339999999999999</v>
      </c>
      <c r="F119" s="3381">
        <f t="shared" si="36"/>
        <v>0.91339999999999999</v>
      </c>
      <c r="G119" s="3381">
        <f t="shared" si="36"/>
        <v>0.91339999999999999</v>
      </c>
      <c r="H119" s="3381">
        <f t="shared" si="36"/>
        <v>0.91339999999999999</v>
      </c>
      <c r="I119" s="3381">
        <f>ROUND(0.838-0.0182*B116,4)</f>
        <v>0.80200000000000005</v>
      </c>
      <c r="J119" s="3381">
        <f t="shared" si="35"/>
        <v>0.80200000000000005</v>
      </c>
      <c r="K119" s="3381">
        <f t="shared" si="35"/>
        <v>0.80200000000000005</v>
      </c>
      <c r="L119" s="3381">
        <f t="shared" si="35"/>
        <v>0.80200000000000005</v>
      </c>
      <c r="M119" s="3404">
        <f t="shared" si="35"/>
        <v>0.80200000000000005</v>
      </c>
      <c r="N119" s="3391"/>
    </row>
    <row r="120" spans="1:14">
      <c r="A120" s="3403" t="s">
        <v>1990</v>
      </c>
      <c r="B120" s="3381">
        <f>ROUND(0.9448-0.0115*B116,4)</f>
        <v>0.92200000000000004</v>
      </c>
      <c r="C120" s="3381">
        <f>B120</f>
        <v>0.92200000000000004</v>
      </c>
      <c r="D120" s="3381">
        <f>ROUND(0.937-0.0145*B116,4)</f>
        <v>0.9083</v>
      </c>
      <c r="E120" s="3381">
        <f t="shared" si="36"/>
        <v>0.9083</v>
      </c>
      <c r="F120" s="3381">
        <f t="shared" si="36"/>
        <v>0.9083</v>
      </c>
      <c r="G120" s="3381">
        <f t="shared" si="36"/>
        <v>0.9083</v>
      </c>
      <c r="H120" s="3381">
        <f t="shared" si="36"/>
        <v>0.9083</v>
      </c>
      <c r="I120" s="3381">
        <f>ROUND(0.7965-0.0185*B116,4)</f>
        <v>0.75990000000000002</v>
      </c>
      <c r="J120" s="3381">
        <f t="shared" si="35"/>
        <v>0.75990000000000002</v>
      </c>
      <c r="K120" s="3381">
        <f t="shared" si="35"/>
        <v>0.75990000000000002</v>
      </c>
      <c r="L120" s="3381">
        <f t="shared" si="35"/>
        <v>0.75990000000000002</v>
      </c>
      <c r="M120" s="3404">
        <f t="shared" si="35"/>
        <v>0.75990000000000002</v>
      </c>
      <c r="N120" s="3391"/>
    </row>
    <row r="121" spans="1:14" ht="13.5" thickBot="1">
      <c r="A121" s="3405" t="s">
        <v>1991</v>
      </c>
      <c r="B121" s="3406">
        <f>ROUND(0.7836-0.012*B116,4)</f>
        <v>0.75980000000000003</v>
      </c>
      <c r="C121" s="3406">
        <f>B121</f>
        <v>0.75980000000000003</v>
      </c>
      <c r="D121" s="3406">
        <f>ROUND(0.753-0.015*B116,4)</f>
        <v>0.72330000000000005</v>
      </c>
      <c r="E121" s="3406">
        <f>D121</f>
        <v>0.72330000000000005</v>
      </c>
      <c r="F121" s="3406">
        <f>E121</f>
        <v>0.72330000000000005</v>
      </c>
      <c r="G121" s="3406">
        <f>ROUND(0.6612-0.018*B116,4)</f>
        <v>0.62560000000000004</v>
      </c>
      <c r="H121" s="3406">
        <f>G121</f>
        <v>0.62560000000000004</v>
      </c>
      <c r="I121" s="3406">
        <f>ROUND(0.5905-0.019*B116,4)</f>
        <v>0.55289999999999995</v>
      </c>
      <c r="J121" s="3406">
        <f t="shared" si="35"/>
        <v>0.55289999999999995</v>
      </c>
      <c r="K121" s="3406">
        <f t="shared" si="35"/>
        <v>0.55289999999999995</v>
      </c>
      <c r="L121" s="3406">
        <f t="shared" si="35"/>
        <v>0.55289999999999995</v>
      </c>
      <c r="M121" s="3407">
        <f t="shared" si="35"/>
        <v>0.55289999999999995</v>
      </c>
      <c r="N121" s="3391"/>
    </row>
    <row r="122" spans="1:14">
      <c r="A122" s="3408" t="s">
        <v>2614</v>
      </c>
      <c r="B122" s="3381">
        <f>ROUND(0.9404-0.0106*B116,4)</f>
        <v>0.9194</v>
      </c>
      <c r="C122" s="3381">
        <f>B122</f>
        <v>0.9194</v>
      </c>
      <c r="D122" s="3381">
        <f>ROUND(0.8955-0.0135*B116,4)</f>
        <v>0.86880000000000002</v>
      </c>
      <c r="E122" s="3381">
        <f t="shared" ref="E122:H122" si="37">D122</f>
        <v>0.86880000000000002</v>
      </c>
      <c r="F122" s="3381">
        <f t="shared" si="37"/>
        <v>0.86880000000000002</v>
      </c>
      <c r="G122" s="3381">
        <f t="shared" si="37"/>
        <v>0.86880000000000002</v>
      </c>
      <c r="H122" s="3381">
        <f t="shared" si="37"/>
        <v>0.86880000000000002</v>
      </c>
      <c r="I122" s="3381">
        <f>ROUND(0.7632-0.0166*B116,4)</f>
        <v>0.73029999999999995</v>
      </c>
      <c r="J122" s="3381">
        <f t="shared" si="35"/>
        <v>0.73029999999999995</v>
      </c>
      <c r="K122" s="3381">
        <f t="shared" si="35"/>
        <v>0.73029999999999995</v>
      </c>
      <c r="L122" s="3381">
        <f t="shared" si="35"/>
        <v>0.73029999999999995</v>
      </c>
      <c r="M122" s="3404">
        <f t="shared" si="35"/>
        <v>0.73029999999999995</v>
      </c>
      <c r="N122" s="33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88"/>
      <c r="B4" s="3517" t="s">
        <v>917</v>
      </c>
      <c r="C4" s="3517"/>
      <c r="D4" s="3517"/>
      <c r="E4" s="1488"/>
    </row>
    <row r="5" spans="1:5" ht="16.5" thickTop="1">
      <c r="A5" s="1486"/>
      <c r="B5" s="3515" t="s">
        <v>909</v>
      </c>
      <c r="C5" s="1489" t="s">
        <v>910</v>
      </c>
      <c r="D5" s="845">
        <f ca="1">结果表!H101</f>
        <v>144697</v>
      </c>
      <c r="E5" s="1486"/>
    </row>
    <row r="6" spans="1:5" ht="15.75">
      <c r="A6" s="1486"/>
      <c r="B6" s="3515"/>
      <c r="C6" s="1489" t="s">
        <v>911</v>
      </c>
      <c r="D6" s="845" t="str">
        <f ca="1">NUMBERSTRING(INT(D5*10000),2)&amp;"元整"</f>
        <v>壹拾肆亿肆仟陆佰玖拾柒万元整</v>
      </c>
      <c r="E6" s="1486"/>
    </row>
    <row r="7" spans="1:5" ht="15.75">
      <c r="A7" s="1486"/>
      <c r="B7" s="3520"/>
      <c r="C7" s="1490" t="s">
        <v>912</v>
      </c>
      <c r="D7" s="846">
        <f ca="1">结果表!H102</f>
        <v>10708</v>
      </c>
      <c r="E7" s="1486"/>
    </row>
    <row r="8" spans="1:5" ht="15.75">
      <c r="A8" s="1486"/>
      <c r="B8" s="3521" t="str">
        <f>结果表!E103</f>
        <v>2.估价师知悉的法定优先受偿款</v>
      </c>
      <c r="C8" s="1491" t="s">
        <v>913</v>
      </c>
      <c r="D8" s="846">
        <f>结果表!H103</f>
        <v>0</v>
      </c>
      <c r="E8" s="1486"/>
    </row>
    <row r="9" spans="1:5" ht="15.75">
      <c r="A9" s="1486"/>
      <c r="B9" s="3523"/>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14" t="str">
        <f>结果表!E107</f>
        <v>3.房地产抵押价值</v>
      </c>
      <c r="C13" s="1494" t="s">
        <v>910</v>
      </c>
      <c r="D13" s="848">
        <f ca="1">结果表!H107</f>
        <v>144697</v>
      </c>
      <c r="E13" s="1486"/>
    </row>
    <row r="14" spans="1:5" ht="15.75">
      <c r="A14" s="1486"/>
      <c r="B14" s="3515"/>
      <c r="C14" s="1489" t="s">
        <v>911</v>
      </c>
      <c r="D14" s="845" t="str">
        <f ca="1">NUMBERSTRING(INT(D13*10000),2)&amp;"元整"</f>
        <v>壹拾肆亿肆仟陆佰玖拾柒万元整</v>
      </c>
      <c r="E14" s="1486"/>
    </row>
    <row r="15" spans="1:5" ht="15">
      <c r="A15" s="1486"/>
      <c r="B15" s="3520"/>
      <c r="C15" s="1490" t="s">
        <v>921</v>
      </c>
      <c r="D15" s="854">
        <f ca="1">结果表!H108</f>
        <v>10708</v>
      </c>
      <c r="E15" s="1486"/>
    </row>
    <row r="16" spans="1:5" ht="15">
      <c r="A16" s="1486"/>
      <c r="B16" s="3521" t="str">
        <f>结果表!E109</f>
        <v>——</v>
      </c>
      <c r="C16" s="1494" t="s">
        <v>922</v>
      </c>
      <c r="D16" s="1495" t="str">
        <f>结果表!H109</f>
        <v>——</v>
      </c>
      <c r="E16" s="1486"/>
    </row>
    <row r="17" spans="1:5" ht="15.75">
      <c r="A17" s="1486"/>
      <c r="B17" s="3522"/>
      <c r="C17" s="1489" t="s">
        <v>923</v>
      </c>
      <c r="D17" s="845" t="e">
        <f>NUMBERSTRING(INT(D16*10000),2)&amp;"元整"</f>
        <v>#VALUE!</v>
      </c>
      <c r="E17" s="1486"/>
    </row>
    <row r="18" spans="1:5" ht="15">
      <c r="A18" s="1486"/>
      <c r="B18" s="3523"/>
      <c r="C18" s="1490" t="s">
        <v>912</v>
      </c>
      <c r="D18" s="854" t="str">
        <f>结果表!H110</f>
        <v>——</v>
      </c>
      <c r="E18" s="1486"/>
    </row>
    <row r="19" spans="1:5" ht="15.75">
      <c r="A19" s="1486"/>
      <c r="B19" s="3514" t="str">
        <f>结果表!E111</f>
        <v>4.抵押净值</v>
      </c>
      <c r="C19" s="1494" t="s">
        <v>910</v>
      </c>
      <c r="D19" s="846">
        <f ca="1">结果表!H111</f>
        <v>125824</v>
      </c>
      <c r="E19" s="1486"/>
    </row>
    <row r="20" spans="1:5" ht="15.75">
      <c r="A20" s="1486"/>
      <c r="B20" s="3515"/>
      <c r="C20" s="1489" t="s">
        <v>923</v>
      </c>
      <c r="D20" s="845" t="str">
        <f ca="1">NUMBERSTRING(INT(D19*10000),2)&amp;"元整"</f>
        <v>壹拾贰亿伍仟捌佰贰拾肆万元整</v>
      </c>
      <c r="E20" s="1486"/>
    </row>
    <row r="21" spans="1:5" ht="15.75" thickBot="1">
      <c r="A21" s="1486"/>
      <c r="B21" s="3516"/>
      <c r="C21" s="1496" t="s">
        <v>921</v>
      </c>
      <c r="D21" s="855">
        <f ca="1">结果表!H112</f>
        <v>9312</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26" sqref="L26"/>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6" t="s">
        <v>1924</v>
      </c>
      <c r="B1" s="197"/>
      <c r="C1" s="201" t="s">
        <v>1925</v>
      </c>
      <c r="D1" s="342" t="e">
        <f>SUM(D33:D34,D37:D42)</f>
        <v>#REF!</v>
      </c>
      <c r="E1" s="1989"/>
      <c r="F1" s="1989"/>
      <c r="G1" s="1989"/>
      <c r="H1" s="1989"/>
      <c r="I1" s="1989"/>
      <c r="J1" s="1989"/>
      <c r="K1" s="1114"/>
      <c r="L1" s="1990" t="s">
        <v>1926</v>
      </c>
      <c r="M1" s="858">
        <f>SUMPRODUCT((区片价!B5:B9=I2)*(区片价!C3:G3=E2)*(区片价!C5:G9))</f>
        <v>0</v>
      </c>
      <c r="N1" s="861">
        <f>SUMPRODUCT((因素修正幅度!B5:B9=I2)*(因素修正幅度!C3:G3=E2)*(因素修正幅度!C5:G9))</f>
        <v>0</v>
      </c>
      <c r="O1" s="1991"/>
      <c r="P1" s="1991"/>
      <c r="Q1" s="1114"/>
      <c r="R1" s="1207" t="s">
        <v>1927</v>
      </c>
      <c r="S1" s="1207" t="s">
        <v>1928</v>
      </c>
      <c r="T1" s="1207" t="s">
        <v>1929</v>
      </c>
      <c r="U1" s="1207" t="s">
        <v>1930</v>
      </c>
      <c r="V1" s="1207" t="s">
        <v>1931</v>
      </c>
      <c r="W1" s="1211"/>
      <c r="X1" s="1211"/>
      <c r="Y1" s="1211"/>
      <c r="Z1" s="1211"/>
      <c r="AA1" s="1211"/>
      <c r="AB1" s="1211"/>
      <c r="AC1" s="1212"/>
      <c r="AD1" s="1213"/>
      <c r="AE1" s="1213"/>
      <c r="AF1" s="1213"/>
      <c r="AG1" s="1213"/>
      <c r="AH1" s="1213"/>
      <c r="AI1" s="1213"/>
      <c r="AJ1" s="1214"/>
    </row>
    <row r="2" spans="1:36" ht="15.75">
      <c r="A2" s="201" t="s">
        <v>1932</v>
      </c>
      <c r="B2" s="204" t="e">
        <f>C30</f>
        <v>#DIV/0!</v>
      </c>
      <c r="C2" s="1993" t="s">
        <v>1933</v>
      </c>
      <c r="D2" s="1994" t="s">
        <v>1934</v>
      </c>
      <c r="E2" s="3415" t="s">
        <v>673</v>
      </c>
      <c r="F2" s="1994" t="s">
        <v>1935</v>
      </c>
      <c r="G2" s="1995">
        <f>IF(E2="商业",项目基本情况!B37,IF(E2="办公",项目基本情况!C37,IF(E2="住宅",项目基本情况!D37,IF(E2="工业",项目基本情况!E37,项目基本情况!F37))))</f>
        <v>0</v>
      </c>
      <c r="H2" s="1994" t="s">
        <v>1936</v>
      </c>
      <c r="I2" s="1995">
        <f>IF(E2="商业",项目基本情况!B38,IF(E2="办公",项目基本情况!C38,IF(E2="住宅",项目基本情况!D38,IF(E2="工业",项目基本情况!E38,项目基本情况!F38))))</f>
        <v>0</v>
      </c>
      <c r="J2" s="1996"/>
      <c r="K2" s="1114"/>
      <c r="L2" s="1997" t="s">
        <v>1937</v>
      </c>
      <c r="M2" s="859">
        <f>SUMPRODUCT((区片价!B10:B29=I2)*(区片价!C3:G3=E2)*(区片价!C10:G29))</f>
        <v>0</v>
      </c>
      <c r="N2" s="861">
        <f>SUMPRODUCT((因素修正幅度!B10:B29=I2)*(因素修正幅度!C3:G3=E2)*(因素修正幅度!C10:G29))</f>
        <v>0</v>
      </c>
      <c r="O2" s="1114"/>
      <c r="P2" s="1114"/>
      <c r="Q2" s="1114"/>
      <c r="R2" s="1207">
        <v>1</v>
      </c>
      <c r="S2" s="3354">
        <f>ROUND(SUMPRODUCT((B106:B110=R2)*(C105:N105=G2)*(C106:N110)),4)</f>
        <v>0</v>
      </c>
      <c r="T2" s="3354" t="e">
        <f t="shared" ref="T2:T16" si="0">ROUND($C$5*$C$22*$C$23*$C$24*S2*$C$28,0)</f>
        <v>#DIV/0!</v>
      </c>
      <c r="U2" s="1208" t="e">
        <f>#REF!</f>
        <v>#REF!</v>
      </c>
      <c r="V2" s="3354" t="e">
        <f>ROUND(T2*U2/10000,0)</f>
        <v>#DIV/0!</v>
      </c>
      <c r="W2" s="1211"/>
      <c r="X2" s="1211"/>
      <c r="Y2" s="1211"/>
      <c r="Z2" s="1211"/>
      <c r="AA2" s="1211"/>
      <c r="AB2" s="1211"/>
      <c r="AC2" s="1212"/>
      <c r="AD2" s="1213"/>
      <c r="AE2" s="1213"/>
      <c r="AF2" s="1213"/>
      <c r="AG2" s="1213"/>
      <c r="AH2" s="1213"/>
      <c r="AI2" s="1213"/>
      <c r="AJ2" s="1214"/>
    </row>
    <row r="3" spans="1:36" ht="15.75">
      <c r="A3" s="203" t="s">
        <v>1938</v>
      </c>
      <c r="B3" s="204" t="e">
        <f>ROUND(B2*10000/D1,0)</f>
        <v>#DIV/0!</v>
      </c>
      <c r="C3" s="1993" t="s">
        <v>1939</v>
      </c>
      <c r="D3" s="1994" t="s">
        <v>1940</v>
      </c>
      <c r="E3" s="3413" t="s">
        <v>2441</v>
      </c>
      <c r="F3" s="1998" t="s">
        <v>3384</v>
      </c>
      <c r="G3" s="747">
        <f>IF(F3="宗地容积率",'数据-汇总表'!I4,IF(F3="估价对象容积率",'数据-汇总表'!I6,'数据-汇总表'!I7))</f>
        <v>1.99</v>
      </c>
      <c r="H3" s="170" t="s">
        <v>1941</v>
      </c>
      <c r="I3" s="770">
        <v>1</v>
      </c>
      <c r="J3" s="1996" t="s">
        <v>1942</v>
      </c>
      <c r="K3" s="1114"/>
      <c r="L3" s="1997" t="s">
        <v>1943</v>
      </c>
      <c r="M3" s="859">
        <f>SUMPRODUCT((区片价!B30:B54=I2)*(区片价!C3:G3=E2)*(区片价!C30:G54))</f>
        <v>0</v>
      </c>
      <c r="N3" s="861">
        <f>SUMPRODUCT((因素修正幅度!B30:B54=I2)*(因素修正幅度!C3:G3=E2)*(因素修正幅度!C30:G54))</f>
        <v>0</v>
      </c>
      <c r="O3" s="1114"/>
      <c r="P3" s="1114"/>
      <c r="Q3" s="1114"/>
      <c r="R3" s="1207">
        <v>2</v>
      </c>
      <c r="S3" s="3354">
        <f>ROUND(SUMPRODUCT((B106:B110=R3)*(C105:N105=G2)*(C106:N110)),4)</f>
        <v>0</v>
      </c>
      <c r="T3" s="3354" t="e">
        <f t="shared" si="0"/>
        <v>#DIV/0!</v>
      </c>
      <c r="U3" s="1208" t="e">
        <f>#REF!</f>
        <v>#REF!</v>
      </c>
      <c r="V3" s="3354" t="e">
        <f t="shared" ref="V3:V16" si="1">ROUND(T3*U3/10000,0)</f>
        <v>#DIV/0!</v>
      </c>
      <c r="W3" s="1211"/>
      <c r="X3" s="1211"/>
      <c r="Y3" s="1211"/>
      <c r="Z3" s="1211"/>
      <c r="AA3" s="1211"/>
      <c r="AB3" s="1211"/>
      <c r="AC3" s="1212"/>
      <c r="AD3" s="1213"/>
      <c r="AE3" s="1213"/>
      <c r="AF3" s="1213"/>
      <c r="AG3" s="1213"/>
      <c r="AH3" s="1213"/>
      <c r="AI3" s="1213"/>
      <c r="AJ3" s="1214"/>
    </row>
    <row r="4" spans="1:36" ht="15.75">
      <c r="A4" s="3809"/>
      <c r="B4" s="3810"/>
      <c r="C4" s="3810"/>
      <c r="D4" s="3811"/>
      <c r="E4" s="3811"/>
      <c r="F4" s="3811"/>
      <c r="G4" s="3811"/>
      <c r="H4" s="3811"/>
      <c r="I4" s="3811"/>
      <c r="J4" s="3812"/>
      <c r="K4" s="1114"/>
      <c r="L4" s="1997" t="s">
        <v>1944</v>
      </c>
      <c r="M4" s="859">
        <f>SUMPRODUCT((区片价!B55:B86=I2)*(区片价!C3:G3=E2)*(区片价!C55:G86))</f>
        <v>0</v>
      </c>
      <c r="N4" s="861">
        <f>SUMPRODUCT((因素修正幅度!B55:B86=I2)*(因素修正幅度!C3:G3=E2)*(因素修正幅度!C55:G86))</f>
        <v>0</v>
      </c>
      <c r="O4" s="1114"/>
      <c r="P4" s="1114"/>
      <c r="Q4" s="1114"/>
      <c r="R4" s="1207">
        <v>3</v>
      </c>
      <c r="S4" s="3354">
        <f>ROUND(SUMPRODUCT((B106:B110=R4)*(C105:N105=G2)*(C106:N110)),4)</f>
        <v>0</v>
      </c>
      <c r="T4" s="3354" t="e">
        <f t="shared" si="0"/>
        <v>#DIV/0!</v>
      </c>
      <c r="U4" s="1208" t="e">
        <f>#REF!</f>
        <v>#REF!</v>
      </c>
      <c r="V4" s="3354" t="e">
        <f t="shared" si="1"/>
        <v>#DIV/0!</v>
      </c>
      <c r="W4" s="1211"/>
      <c r="X4" s="1211"/>
      <c r="Y4" s="1211"/>
      <c r="Z4" s="1211"/>
      <c r="AA4" s="1211"/>
      <c r="AB4" s="1211"/>
      <c r="AC4" s="1212"/>
      <c r="AD4" s="1213"/>
      <c r="AE4" s="1213"/>
      <c r="AF4" s="1213"/>
      <c r="AG4" s="1213"/>
      <c r="AH4" s="1213"/>
      <c r="AI4" s="1213"/>
      <c r="AJ4" s="1214"/>
    </row>
    <row r="5" spans="1:36" s="2008" customFormat="1" ht="15.75" thickBot="1">
      <c r="A5" s="1999" t="s">
        <v>362</v>
      </c>
      <c r="B5" s="2000" t="s">
        <v>1945</v>
      </c>
      <c r="C5" s="748" t="e">
        <f>ROUND(IF(E2="商业",C6*C7*C17+C20,(IF(E2="住宅",C6*C13*C17+C20,IF(E2="办公",C6*C12*C17+C20,C6+C20)))),0)</f>
        <v>#DIV/0!</v>
      </c>
      <c r="D5" s="1334" t="e">
        <f>ROUND(C6*C17+C20,0)</f>
        <v>#DIV/0!</v>
      </c>
      <c r="E5" s="1334"/>
      <c r="F5" s="2001"/>
      <c r="G5" s="2002"/>
      <c r="H5" s="2002"/>
      <c r="I5" s="2002"/>
      <c r="J5" s="2003"/>
      <c r="K5" s="2004"/>
      <c r="L5" s="1997" t="s">
        <v>1946</v>
      </c>
      <c r="M5" s="859">
        <f>SUMPRODUCT((区片价!B87:B126=I2)*(区片价!C3:G3=E2)*(区片价!C87:G126))</f>
        <v>0</v>
      </c>
      <c r="N5" s="861">
        <f>SUMPRODUCT((因素修正幅度!B87:B126=I2)*(因素修正幅度!C3:G3=E2)*(因素修正幅度!C87:G126))</f>
        <v>0</v>
      </c>
      <c r="O5" s="1114"/>
      <c r="P5" s="1114"/>
      <c r="Q5" s="1114"/>
      <c r="R5" s="1207">
        <v>4</v>
      </c>
      <c r="S5" s="3354">
        <f>ROUND(SUMPRODUCT((B106:B110=R5)*(C105:N105=G2)*(C106:N110)),4)</f>
        <v>0</v>
      </c>
      <c r="T5" s="3354" t="e">
        <f t="shared" si="0"/>
        <v>#DIV/0!</v>
      </c>
      <c r="U5" s="1208" t="e">
        <f>#REF!</f>
        <v>#REF!</v>
      </c>
      <c r="V5" s="3354" t="e">
        <f t="shared" si="1"/>
        <v>#DIV/0!</v>
      </c>
      <c r="W5" s="1211"/>
      <c r="X5" s="1211"/>
      <c r="Y5" s="1211"/>
      <c r="Z5" s="1211"/>
      <c r="AA5" s="1211"/>
      <c r="AB5" s="1211"/>
      <c r="AC5" s="2005"/>
      <c r="AD5" s="2006"/>
      <c r="AE5" s="2006"/>
      <c r="AF5" s="2006"/>
      <c r="AG5" s="2006"/>
      <c r="AH5" s="2006"/>
      <c r="AI5" s="2006"/>
      <c r="AJ5" s="2007"/>
    </row>
    <row r="6" spans="1:36" ht="15.75" thickBot="1">
      <c r="A6" s="2009" t="s">
        <v>1947</v>
      </c>
      <c r="B6" s="2010" t="s">
        <v>1948</v>
      </c>
      <c r="C6" s="749">
        <f>SUMIF(L1:L12,G2,M1:M12)</f>
        <v>0</v>
      </c>
      <c r="D6" s="2011"/>
      <c r="E6" s="2012"/>
      <c r="F6" s="2012"/>
      <c r="G6" s="2013"/>
      <c r="H6" s="2013"/>
      <c r="I6" s="2013"/>
      <c r="J6" s="2014"/>
      <c r="K6" s="1379"/>
      <c r="L6" s="1997" t="s">
        <v>1949</v>
      </c>
      <c r="M6" s="859">
        <f>SUMPRODUCT((区片价!B127:B189=I2)*(区片价!C3:G3=E2)*(区片价!C127:G189))</f>
        <v>0</v>
      </c>
      <c r="N6" s="861">
        <f>SUMPRODUCT((因素修正幅度!B127:B189=I2)*(因素修正幅度!C3:G3=E2)*(因素修正幅度!C127:G189))</f>
        <v>0</v>
      </c>
      <c r="O6" s="1114"/>
      <c r="P6" s="1114"/>
      <c r="Q6" s="1114"/>
      <c r="R6" s="1207">
        <v>5</v>
      </c>
      <c r="S6" s="3354">
        <f>ROUND(SUMPRODUCT((B106:B110=R6)*(C105:N105=G2)*(C106:N110)),4)</f>
        <v>0</v>
      </c>
      <c r="T6" s="3354" t="e">
        <f t="shared" si="0"/>
        <v>#DIV/0!</v>
      </c>
      <c r="U6" s="1208"/>
      <c r="V6" s="3354" t="e">
        <f t="shared" si="1"/>
        <v>#DIV/0!</v>
      </c>
      <c r="W6" s="1211"/>
      <c r="X6" s="1211"/>
      <c r="Y6" s="1211"/>
      <c r="Z6" s="1211"/>
      <c r="AA6" s="1211"/>
      <c r="AB6" s="1211"/>
      <c r="AC6" s="2005"/>
      <c r="AD6" s="2006"/>
      <c r="AE6" s="2006"/>
      <c r="AF6" s="2006"/>
      <c r="AG6" s="2006"/>
      <c r="AH6" s="2006"/>
      <c r="AI6" s="2006"/>
      <c r="AJ6" s="2007"/>
    </row>
    <row r="7" spans="1:36" ht="24.75" thickBot="1">
      <c r="A7" s="3297" t="s">
        <v>3239</v>
      </c>
      <c r="B7" s="3453" t="s">
        <v>1950</v>
      </c>
      <c r="C7" s="750">
        <f>IF(C8="不临65条商业街",1,ROUND(1+(1.6*E8+1.2*E9+0.8*E10+0.4*E11)*C9,4))</f>
        <v>1</v>
      </c>
      <c r="D7" s="2016" t="s">
        <v>1951</v>
      </c>
      <c r="E7" s="771"/>
      <c r="F7" s="2017"/>
      <c r="G7" s="2018"/>
      <c r="H7" s="2018"/>
      <c r="I7" s="2018"/>
      <c r="J7" s="2019"/>
      <c r="K7" s="1379"/>
      <c r="L7" s="1997" t="s">
        <v>1952</v>
      </c>
      <c r="M7" s="859">
        <f>SUMPRODUCT((区片价!B190:B233=I2)*(区片价!C3:G3=E2)*(区片价!C190:G233))</f>
        <v>0</v>
      </c>
      <c r="N7" s="861">
        <f>SUMPRODUCT((因素修正幅度!B190:B233=I2)*(因素修正幅度!C3:G3=E2)*(因素修正幅度!C190:G233))</f>
        <v>0</v>
      </c>
      <c r="O7" s="1114"/>
      <c r="P7" s="1114"/>
      <c r="Q7" s="1114"/>
      <c r="R7" s="1207">
        <v>6</v>
      </c>
      <c r="S7" s="3412"/>
      <c r="T7" s="3354" t="e">
        <f t="shared" si="0"/>
        <v>#DIV/0!</v>
      </c>
      <c r="U7" s="1208"/>
      <c r="V7" s="3354" t="e">
        <f t="shared" si="1"/>
        <v>#DIV/0!</v>
      </c>
      <c r="W7" s="3463" t="s">
        <v>1953</v>
      </c>
      <c r="X7" s="1209">
        <f>G2</f>
        <v>0</v>
      </c>
      <c r="Y7" s="1209" t="s">
        <v>1954</v>
      </c>
      <c r="Z7" s="1210">
        <f>G3</f>
        <v>1.99</v>
      </c>
      <c r="AA7" s="1211"/>
      <c r="AB7" s="1211"/>
      <c r="AC7" s="1212"/>
      <c r="AD7" s="1213"/>
      <c r="AE7" s="1213"/>
      <c r="AF7" s="1213"/>
      <c r="AG7" s="1213"/>
      <c r="AH7" s="1213"/>
      <c r="AI7" s="1213"/>
      <c r="AJ7" s="1214"/>
    </row>
    <row r="8" spans="1:36" ht="25.5">
      <c r="A8" s="3292"/>
      <c r="B8" s="170" t="s">
        <v>1955</v>
      </c>
      <c r="C8" s="2020" t="s">
        <v>3385</v>
      </c>
      <c r="D8" s="751" t="s">
        <v>112</v>
      </c>
      <c r="E8" s="752" t="e">
        <f>ROUND(C11/E7,4)</f>
        <v>#DIV/0!</v>
      </c>
      <c r="F8" s="2021" t="s">
        <v>1956</v>
      </c>
      <c r="G8" s="2022"/>
      <c r="H8" s="2022"/>
      <c r="I8" s="2022"/>
      <c r="J8" s="2023"/>
      <c r="K8" s="1114"/>
      <c r="L8" s="1997" t="s">
        <v>1957</v>
      </c>
      <c r="M8" s="859">
        <f>SUMPRODUCT((区片价!B234:B276=I2)*(区片价!C3:G3=E2)*(区片价!C234:G276))</f>
        <v>0</v>
      </c>
      <c r="N8" s="861">
        <f>SUMPRODUCT((因素修正幅度!B234:B276=I2)*(因素修正幅度!C3:G3=E2)*(因素修正幅度!C234:G276))</f>
        <v>0</v>
      </c>
      <c r="O8" s="1114"/>
      <c r="P8" s="1114"/>
      <c r="Q8" s="1114"/>
      <c r="R8" s="1207">
        <v>7</v>
      </c>
      <c r="S8" s="1208"/>
      <c r="T8" s="3354" t="e">
        <f t="shared" si="0"/>
        <v>#DIV/0!</v>
      </c>
      <c r="U8" s="1208"/>
      <c r="V8" s="3354" t="e">
        <f t="shared" si="1"/>
        <v>#DIV/0!</v>
      </c>
      <c r="W8" s="3813" t="s">
        <v>1958</v>
      </c>
      <c r="X8" s="3814"/>
      <c r="Y8" s="1215" t="s">
        <v>1959</v>
      </c>
      <c r="Z8" s="1215" t="s">
        <v>1960</v>
      </c>
      <c r="AA8" s="1215" t="s">
        <v>1961</v>
      </c>
      <c r="AB8" s="1215" t="s">
        <v>1962</v>
      </c>
      <c r="AC8" s="1215" t="s">
        <v>1963</v>
      </c>
      <c r="AD8" s="1215" t="s">
        <v>1964</v>
      </c>
      <c r="AE8" s="1215" t="s">
        <v>1965</v>
      </c>
      <c r="AF8" s="1215" t="s">
        <v>1966</v>
      </c>
      <c r="AG8" s="1215" t="s">
        <v>1967</v>
      </c>
      <c r="AH8" s="1215" t="s">
        <v>1968</v>
      </c>
      <c r="AI8" s="1215" t="s">
        <v>1969</v>
      </c>
      <c r="AJ8" s="1215" t="s">
        <v>1970</v>
      </c>
    </row>
    <row r="9" spans="1:36" ht="15">
      <c r="A9" s="3292"/>
      <c r="B9" s="170" t="s">
        <v>1971</v>
      </c>
      <c r="C9" s="753">
        <f>SUMIF(修正!C71:C138,C8,修正!E71:E138)</f>
        <v>0</v>
      </c>
      <c r="D9" s="171" t="s">
        <v>113</v>
      </c>
      <c r="E9" s="171" t="e">
        <f>ROUND(C11/E7,4)</f>
        <v>#DIV/0!</v>
      </c>
      <c r="F9" s="2021" t="s">
        <v>1972</v>
      </c>
      <c r="G9" s="2022"/>
      <c r="H9" s="2022"/>
      <c r="I9" s="2022"/>
      <c r="J9" s="2023"/>
      <c r="K9" s="1114"/>
      <c r="L9" s="1997" t="s">
        <v>1973</v>
      </c>
      <c r="M9" s="859">
        <f>SUMPRODUCT((区片价!B277:B326=I2)*(区片价!C3:G3=E2)*(区片价!C277:G326))</f>
        <v>0</v>
      </c>
      <c r="N9" s="861">
        <f>SUMPRODUCT((因素修正幅度!B277:B326=I2)*(因素修正幅度!C3:G3=E2)*(因素修正幅度!C277:G326))</f>
        <v>0</v>
      </c>
      <c r="O9" s="1114"/>
      <c r="P9" s="1114"/>
      <c r="Q9" s="1114"/>
      <c r="R9" s="1207">
        <v>8</v>
      </c>
      <c r="S9" s="1208"/>
      <c r="T9" s="3354" t="e">
        <f t="shared" si="0"/>
        <v>#DIV/0!</v>
      </c>
      <c r="U9" s="1208"/>
      <c r="V9" s="3354" t="e">
        <f t="shared" si="1"/>
        <v>#DIV/0!</v>
      </c>
      <c r="W9" s="3815"/>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1" t="s">
        <v>1975</v>
      </c>
      <c r="G10" s="2022"/>
      <c r="H10" s="2022"/>
      <c r="I10" s="2022"/>
      <c r="J10" s="2023"/>
      <c r="K10" s="1114"/>
      <c r="L10" s="1997" t="s">
        <v>1976</v>
      </c>
      <c r="M10" s="859">
        <f>SUMPRODUCT((区片价!B327:B357=I2)*(区片价!C3:G3=E2)*(区片价!C327:G357))</f>
        <v>0</v>
      </c>
      <c r="N10" s="861">
        <f>SUMPRODUCT((因素修正幅度!B327:B357=I2)*(因素修正幅度!C3:G3=E2)*(因素修正幅度!C327:G357))</f>
        <v>0</v>
      </c>
      <c r="O10" s="1114"/>
      <c r="P10" s="1114"/>
      <c r="Q10" s="1114"/>
      <c r="R10" s="1207">
        <v>9</v>
      </c>
      <c r="S10" s="1208"/>
      <c r="T10" s="3354" t="e">
        <f t="shared" si="0"/>
        <v>#DIV/0!</v>
      </c>
      <c r="U10" s="1208"/>
      <c r="V10" s="3354" t="e">
        <f t="shared" si="1"/>
        <v>#DIV/0!</v>
      </c>
      <c r="W10" s="381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1977</v>
      </c>
      <c r="C11" s="754">
        <f>C10/4</f>
        <v>0</v>
      </c>
      <c r="D11" s="754" t="s">
        <v>115</v>
      </c>
      <c r="E11" s="754" t="e">
        <f>ROUND(C11/E7,4)</f>
        <v>#DIV/0!</v>
      </c>
      <c r="F11" s="2025" t="s">
        <v>1978</v>
      </c>
      <c r="G11" s="2026"/>
      <c r="H11" s="2026"/>
      <c r="I11" s="2026"/>
      <c r="J11" s="2027"/>
      <c r="K11" s="1114"/>
      <c r="L11" s="1997" t="s">
        <v>1979</v>
      </c>
      <c r="M11" s="859">
        <f>SUMPRODUCT((区片价!B358:B377=I2)*(区片价!C3:G3=E2)*(区片价!C358:G377))</f>
        <v>0</v>
      </c>
      <c r="N11" s="861">
        <f>SUMPRODUCT((因素修正幅度!B358:B377=I2)*(因素修正幅度!C3:G3=E2)*(因素修正幅度!C358:G377))</f>
        <v>0</v>
      </c>
      <c r="O11" s="1114"/>
      <c r="P11" s="1114"/>
      <c r="Q11" s="1114"/>
      <c r="R11" s="1207">
        <v>10</v>
      </c>
      <c r="S11" s="1208"/>
      <c r="T11" s="3354" t="e">
        <f t="shared" si="0"/>
        <v>#DIV/0!</v>
      </c>
      <c r="U11" s="1208"/>
      <c r="V11" s="3354" t="e">
        <f t="shared" si="1"/>
        <v>#DIV/0!</v>
      </c>
      <c r="W11" s="1211"/>
      <c r="X11" s="1211"/>
      <c r="Y11" s="1211"/>
      <c r="Z11" s="1211"/>
      <c r="AA11" s="1211"/>
      <c r="AB11" s="1211"/>
      <c r="AC11" s="1212"/>
      <c r="AD11" s="2782"/>
      <c r="AE11" s="2782"/>
      <c r="AF11" s="2782"/>
      <c r="AG11" s="2782"/>
      <c r="AH11" s="2782"/>
      <c r="AI11" s="2782"/>
      <c r="AJ11" s="2783"/>
    </row>
    <row r="12" spans="1:36" ht="25.5" thickBot="1">
      <c r="A12" s="3297" t="s">
        <v>3240</v>
      </c>
      <c r="B12" s="3298" t="s">
        <v>3241</v>
      </c>
      <c r="C12" s="3299"/>
      <c r="D12" s="3300" t="s">
        <v>3242</v>
      </c>
      <c r="E12" s="3301" t="s">
        <v>3243</v>
      </c>
      <c r="F12" s="3302"/>
      <c r="G12" s="3303"/>
      <c r="H12" s="3303"/>
      <c r="I12" s="3303"/>
      <c r="J12" s="3304"/>
      <c r="K12" s="1114"/>
      <c r="L12" s="2033" t="s">
        <v>1982</v>
      </c>
      <c r="M12" s="860">
        <f>SUMPRODUCT((区片价!B378:B384=I2)*(区片价!C3:G3=E2)*(区片价!C378:G384))</f>
        <v>0</v>
      </c>
      <c r="N12" s="861">
        <f>SUMPRODUCT((因素修正幅度!B378:B384=I2)*(因素修正幅度!C3:G3=E2)*(因素修正幅度!C378:G384))</f>
        <v>0</v>
      </c>
      <c r="O12" s="1114"/>
      <c r="P12" s="1114"/>
      <c r="Q12" s="1114"/>
      <c r="R12" s="1207">
        <v>11</v>
      </c>
      <c r="S12" s="1208"/>
      <c r="T12" s="3354" t="e">
        <f t="shared" si="0"/>
        <v>#DIV/0!</v>
      </c>
      <c r="U12" s="1208"/>
      <c r="V12" s="3354" t="e">
        <f t="shared" si="1"/>
        <v>#DIV/0!</v>
      </c>
      <c r="W12" s="1211"/>
      <c r="X12" s="1211"/>
      <c r="Y12" s="1211"/>
      <c r="Z12" s="1211"/>
      <c r="AA12" s="1211"/>
      <c r="AB12" s="1211"/>
      <c r="AC12" s="1212"/>
      <c r="AD12" s="2782"/>
      <c r="AE12" s="2782"/>
      <c r="AF12" s="2782"/>
      <c r="AG12" s="2782"/>
      <c r="AH12" s="2782"/>
      <c r="AI12" s="2782"/>
      <c r="AJ12" s="2783"/>
    </row>
    <row r="13" spans="1:36" ht="15.75" thickBot="1">
      <c r="A13" s="3297" t="s">
        <v>3244</v>
      </c>
      <c r="B13" s="2028" t="s">
        <v>1980</v>
      </c>
      <c r="C13" s="750">
        <f>ROUND(C16*D16*E16*F16*G16*H16*I16*J16,4)</f>
        <v>0</v>
      </c>
      <c r="D13" s="2029" t="s">
        <v>1981</v>
      </c>
      <c r="E13" s="2030"/>
      <c r="F13" s="2030"/>
      <c r="G13" s="2031"/>
      <c r="H13" s="2031"/>
      <c r="I13" s="2031"/>
      <c r="J13" s="2032"/>
      <c r="K13" s="1114"/>
      <c r="L13" s="3293"/>
      <c r="M13" s="3294"/>
      <c r="N13" s="3295"/>
      <c r="O13" s="1114"/>
      <c r="P13" s="1114"/>
      <c r="Q13" s="1114"/>
      <c r="R13" s="1207">
        <v>12</v>
      </c>
      <c r="S13" s="1208"/>
      <c r="T13" s="3354" t="e">
        <f t="shared" si="0"/>
        <v>#DIV/0!</v>
      </c>
      <c r="U13" s="1208"/>
      <c r="V13" s="3354" t="e">
        <f t="shared" si="1"/>
        <v>#DIV/0!</v>
      </c>
      <c r="W13" s="1211"/>
      <c r="X13" s="1211"/>
      <c r="Y13" s="1211"/>
      <c r="Z13" s="1211"/>
      <c r="AA13" s="1211"/>
      <c r="AB13" s="1211"/>
      <c r="AC13" s="1212"/>
      <c r="AD13" s="2782"/>
      <c r="AE13" s="2782"/>
      <c r="AF13" s="2782"/>
      <c r="AG13" s="2782"/>
      <c r="AH13" s="2782"/>
      <c r="AI13" s="2782"/>
      <c r="AJ13" s="2783"/>
    </row>
    <row r="14" spans="1:36" ht="15">
      <c r="A14" s="3291"/>
      <c r="B14" s="3451" t="s">
        <v>1983</v>
      </c>
      <c r="C14" s="2035" t="s">
        <v>1984</v>
      </c>
      <c r="D14" s="1345" t="s">
        <v>1985</v>
      </c>
      <c r="E14" s="27" t="s">
        <v>1986</v>
      </c>
      <c r="F14" s="3305" t="s">
        <v>3245</v>
      </c>
      <c r="G14" s="3305" t="s">
        <v>3245</v>
      </c>
      <c r="H14" s="3305" t="s">
        <v>3245</v>
      </c>
      <c r="I14" s="3305" t="s">
        <v>3245</v>
      </c>
      <c r="J14" s="3305" t="s">
        <v>3245</v>
      </c>
      <c r="K14" s="1114"/>
      <c r="L14" s="1114"/>
      <c r="M14" s="1114"/>
      <c r="N14" s="1114"/>
      <c r="O14" s="1114"/>
      <c r="P14" s="1114"/>
      <c r="Q14" s="1114"/>
      <c r="R14" s="1207">
        <v>13</v>
      </c>
      <c r="S14" s="1208"/>
      <c r="T14" s="3354" t="e">
        <f t="shared" si="0"/>
        <v>#DIV/0!</v>
      </c>
      <c r="U14" s="1208"/>
      <c r="V14" s="3354" t="e">
        <f t="shared" si="1"/>
        <v>#DIV/0!</v>
      </c>
      <c r="W14" s="1211"/>
      <c r="X14" s="1211"/>
      <c r="Y14" s="1211"/>
      <c r="Z14" s="1211"/>
      <c r="AA14" s="1211"/>
      <c r="AB14" s="1211"/>
      <c r="AC14" s="1212"/>
      <c r="AD14" s="2782"/>
      <c r="AE14" s="2782"/>
      <c r="AF14" s="2782"/>
      <c r="AG14" s="2782"/>
      <c r="AH14" s="2782"/>
      <c r="AI14" s="2782"/>
      <c r="AJ14" s="2783"/>
    </row>
    <row r="15" spans="1:36" ht="15">
      <c r="A15" s="3291"/>
      <c r="B15" s="3452"/>
      <c r="C15" s="2037"/>
      <c r="D15" s="2038"/>
      <c r="E15" s="2039"/>
      <c r="F15" s="3306" t="s">
        <v>3246</v>
      </c>
      <c r="G15" s="3307"/>
      <c r="H15" s="3308"/>
      <c r="I15" s="3309"/>
      <c r="J15" s="3310"/>
      <c r="K15" s="1114"/>
      <c r="L15" s="1114"/>
      <c r="M15" s="1114"/>
      <c r="N15" s="1114"/>
      <c r="O15" s="1114"/>
      <c r="P15" s="1114"/>
      <c r="Q15" s="1114"/>
      <c r="R15" s="1207">
        <v>14</v>
      </c>
      <c r="S15" s="1208"/>
      <c r="T15" s="3354" t="e">
        <f t="shared" si="0"/>
        <v>#DIV/0!</v>
      </c>
      <c r="U15" s="1208"/>
      <c r="V15" s="3354" t="e">
        <f t="shared" si="1"/>
        <v>#DIV/0!</v>
      </c>
      <c r="W15" s="1211"/>
      <c r="X15" s="1211"/>
      <c r="Y15" s="1211"/>
      <c r="Z15" s="1211"/>
      <c r="AA15" s="1211"/>
      <c r="AB15" s="1211"/>
      <c r="AC15" s="1212"/>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4"/>
      <c r="L16" s="1991"/>
      <c r="M16" s="1991"/>
      <c r="N16" s="1991"/>
      <c r="O16" s="1991"/>
      <c r="P16" s="1991"/>
      <c r="Q16" s="1114"/>
      <c r="R16" s="1207">
        <v>15</v>
      </c>
      <c r="S16" s="1208"/>
      <c r="T16" s="3354" t="e">
        <f t="shared" si="0"/>
        <v>#DIV/0!</v>
      </c>
      <c r="U16" s="1208"/>
      <c r="V16" s="3354" t="e">
        <f t="shared" si="1"/>
        <v>#DIV/0!</v>
      </c>
      <c r="W16" s="1211"/>
      <c r="X16" s="1211"/>
      <c r="Y16" s="1211"/>
      <c r="Z16" s="1211"/>
      <c r="AA16" s="1211"/>
      <c r="AB16" s="1211"/>
      <c r="AC16" s="1212"/>
      <c r="AD16" s="2782"/>
      <c r="AE16" s="2782"/>
      <c r="AF16" s="2782"/>
      <c r="AG16" s="2782"/>
      <c r="AH16" s="2782"/>
      <c r="AI16" s="2782"/>
      <c r="AJ16" s="2783"/>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6"/>
      <c r="B18" s="3450"/>
      <c r="C18" s="3321"/>
      <c r="D18" s="3316" t="s">
        <v>3250</v>
      </c>
      <c r="E18" s="3322"/>
      <c r="F18" s="3317" t="s">
        <v>3253</v>
      </c>
      <c r="G18" s="3321">
        <f>ROUND(1-(1/(POWER(1+G24,E18))),4)</f>
        <v>0</v>
      </c>
      <c r="H18" s="3317" t="s">
        <v>3255</v>
      </c>
      <c r="I18" s="3321">
        <f>ROUND(1-(1/(POWER(1+G24,J24))),4)</f>
        <v>0.88249999999999995</v>
      </c>
      <c r="J18" s="3327"/>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1"/>
    </row>
    <row r="19" spans="1:37" s="2008" customFormat="1" ht="15" thickBot="1">
      <c r="A19" s="3328"/>
      <c r="B19" s="3329"/>
      <c r="C19" s="3330"/>
      <c r="D19" s="3330" t="s">
        <v>3251</v>
      </c>
      <c r="E19" s="3331"/>
      <c r="F19" s="3332" t="s">
        <v>3254</v>
      </c>
      <c r="G19" s="3331"/>
      <c r="H19" s="3330"/>
      <c r="I19" s="3330"/>
      <c r="J19" s="3333"/>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4"/>
      <c r="AH19" s="2135"/>
      <c r="AI19" s="2785"/>
      <c r="AJ19" s="2785"/>
      <c r="AK19" s="2051"/>
    </row>
    <row r="20" spans="1:37" s="2008" customFormat="1" ht="14.25">
      <c r="A20" s="3816" t="s">
        <v>3256</v>
      </c>
      <c r="B20" s="167" t="s">
        <v>1992</v>
      </c>
      <c r="C20" s="3318" t="e">
        <f>ROUND(IF(F21="与级别开发程度一致",0,(G21-E21)/C21),0)</f>
        <v>#DIV/0!</v>
      </c>
      <c r="D20" s="3334" t="s">
        <v>1996</v>
      </c>
      <c r="E20" s="3335"/>
      <c r="F20" s="3818" t="s">
        <v>1993</v>
      </c>
      <c r="G20" s="3819"/>
      <c r="H20" s="3319" t="s">
        <v>3386</v>
      </c>
      <c r="I20" s="3319" t="s">
        <v>3387</v>
      </c>
      <c r="J20" s="3320" t="s">
        <v>3388</v>
      </c>
      <c r="K20" s="2041" t="s">
        <v>3389</v>
      </c>
      <c r="L20" s="2041" t="s">
        <v>3390</v>
      </c>
      <c r="M20" s="2041" t="s">
        <v>3391</v>
      </c>
      <c r="N20" s="2041"/>
      <c r="O20" s="2042"/>
      <c r="P20" s="1991"/>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8" customFormat="1" ht="26.25" thickBot="1">
      <c r="A21" s="3817"/>
      <c r="B21" s="2158" t="s">
        <v>1995</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0</v>
      </c>
      <c r="F21" s="2150" t="s">
        <v>3414</v>
      </c>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8" customFormat="1" ht="15.75" thickBot="1">
      <c r="A22" s="2152" t="s">
        <v>363</v>
      </c>
      <c r="B22" s="2153" t="s">
        <v>1998</v>
      </c>
      <c r="C22" s="2154">
        <f>SUMIF(修正!C20:C51,E3,修正!E20:E51)</f>
        <v>1</v>
      </c>
      <c r="D22" s="2155"/>
      <c r="E22" s="2156"/>
      <c r="F22" s="2156"/>
      <c r="G22" s="2156"/>
      <c r="H22" s="2156"/>
      <c r="I22" s="2156"/>
      <c r="J22" s="2157"/>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4" t="s">
        <v>364</v>
      </c>
      <c r="B23" s="2045" t="s">
        <v>1999</v>
      </c>
      <c r="C23" s="7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8" t="s">
        <v>2000</v>
      </c>
      <c r="E23" s="756">
        <v>44197</v>
      </c>
      <c r="F23" s="2048" t="s">
        <v>2001</v>
      </c>
      <c r="G23" s="757">
        <f>'数据-取费表'!B2</f>
        <v>45392</v>
      </c>
      <c r="H23" s="3336" t="s">
        <v>3257</v>
      </c>
      <c r="I23" s="3337" t="str">
        <f>IF(H23="季度增幅（自定义）",SUMIF(N25:N28,E2,O25:O28),"")</f>
        <v/>
      </c>
      <c r="J23" s="3439" t="s">
        <v>3407</v>
      </c>
      <c r="K23" s="1120"/>
      <c r="L23" s="2049" t="s">
        <v>2002</v>
      </c>
      <c r="M23" s="1323">
        <f>ROUND(SUMIF(地价!B2:G2,E2,地价!B16:G16),0)</f>
        <v>350</v>
      </c>
      <c r="N23" s="2050" t="s">
        <v>2003</v>
      </c>
      <c r="O23" s="758">
        <f>ROUNDDOWN(DATEDIF(E23,G23,"M")/3,0)</f>
        <v>13</v>
      </c>
      <c r="P23" s="1117"/>
      <c r="Q23" s="2781"/>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2004</v>
      </c>
      <c r="C24" s="759" t="e">
        <f>ROUND(POWER(1+G24,J24-I24)*(POWER(1+G24,I24)-1)/(POWER(1+G24,J24)-1),4)</f>
        <v>#DIV/0!</v>
      </c>
      <c r="D24" s="2054" t="s">
        <v>2005</v>
      </c>
      <c r="E24" s="1330">
        <f>存贷款利率!E24/100</f>
        <v>4.3499999999999997E-2</v>
      </c>
      <c r="F24" s="2054" t="s">
        <v>1997</v>
      </c>
      <c r="G24" s="763">
        <f>SUMIF(M30:Q30,E2,M33:Q33)</f>
        <v>5.5E-2</v>
      </c>
      <c r="H24" s="2054" t="s">
        <v>2006</v>
      </c>
      <c r="I24" s="764" t="e">
        <f>SUMIF('数据-取费表'!C6:C15,E2,'数据-取费表'!F6:F15)/COUNTIF('数据-取费表'!C6:C15,E2)</f>
        <v>#DIV/0!</v>
      </c>
      <c r="J24" s="765">
        <f>IF(E2="住宅",70,IF(E2="商业",40,50))</f>
        <v>40</v>
      </c>
      <c r="K24" s="1120"/>
      <c r="L24" s="2055" t="s">
        <v>2007</v>
      </c>
      <c r="M24" s="1324">
        <f>ROUND(SUMPRODUCT((地价!A4:A16=YEAR(G23)&amp;"-"&amp;ROUNDUP(MONTH(G23)/3,0))*(地价!B2:G2=E2)*(地价!B4:G16)),0)</f>
        <v>0</v>
      </c>
      <c r="N24" s="2056" t="s">
        <v>2008</v>
      </c>
      <c r="O24" s="2057" t="s">
        <v>2009</v>
      </c>
      <c r="P24" s="2058" t="s">
        <v>2010</v>
      </c>
      <c r="Q24" s="1991"/>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59" t="s">
        <v>366</v>
      </c>
      <c r="B25" s="2060" t="s">
        <v>3419</v>
      </c>
      <c r="C25" s="3459">
        <f>IF(B25="容积率修正",IF(G3&lt;10,D26,J26),C27)</f>
        <v>0</v>
      </c>
      <c r="D25" s="2061"/>
      <c r="E25" s="2061"/>
      <c r="F25" s="2061"/>
      <c r="G25" s="2061"/>
      <c r="H25" s="2061"/>
      <c r="I25" s="2061"/>
      <c r="J25" s="2062"/>
      <c r="K25" s="1120"/>
      <c r="L25" s="2781"/>
      <c r="M25" s="2781"/>
      <c r="N25" s="2063" t="s">
        <v>2011</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2012</v>
      </c>
      <c r="B26" s="2064" t="s">
        <v>2013</v>
      </c>
      <c r="C26" s="3338" t="s">
        <v>3258</v>
      </c>
      <c r="D26" s="3458">
        <f>IF(E26=G26,F26,IF(G3&lt;10,ROUND(F26+(H26-F26)*(G3-E26)/(G26-E26),4),"——"))</f>
        <v>0</v>
      </c>
      <c r="E26" s="747">
        <f>ROUNDDOWN(G3,1)</f>
        <v>1.9</v>
      </c>
      <c r="F26" s="34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7">
        <f>ROUNDUP(G3,1)</f>
        <v>2</v>
      </c>
      <c r="H26" s="34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3259</v>
      </c>
      <c r="J26" s="767" t="str">
        <f>IF(G3&gt;=10,D115,"——")</f>
        <v>——</v>
      </c>
      <c r="K26" s="1120"/>
      <c r="L26" s="2781"/>
      <c r="M26" s="2781"/>
      <c r="N26" s="2063" t="s">
        <v>2014</v>
      </c>
      <c r="O26" s="1168"/>
      <c r="P26" s="1169">
        <f>SUMPRODUCT((地价!A3:A40=YEAR(G23)&amp;"-"&amp;ROUNDUP(MONTH(G23)/3,0))*(地价!AD2:AH2=N26)*(地价!AD3:AH40))</f>
        <v>0</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2015</v>
      </c>
      <c r="B27" s="2065" t="s">
        <v>2016</v>
      </c>
      <c r="C27" s="836">
        <f>ROUND(IF(I3&lt;6,SUMPRODUCT((B106:B110=I3)*(C105:N105=G2)*(C106:N110)),SUMIF(C105:N105,G2,C112:N112)),4)</f>
        <v>0</v>
      </c>
      <c r="D27" s="2040"/>
      <c r="E27" s="2040"/>
      <c r="F27" s="2066"/>
      <c r="G27" s="2067"/>
      <c r="H27" s="2068"/>
      <c r="I27" s="2069"/>
      <c r="J27" s="2070"/>
      <c r="K27" s="1114"/>
      <c r="L27" s="1991"/>
      <c r="M27" s="1991"/>
      <c r="N27" s="2063" t="s">
        <v>2017</v>
      </c>
      <c r="O27" s="1168"/>
      <c r="P27" s="1169">
        <f>SUMPRODUCT((地价!A3:A40=YEAR(G23)&amp;"-"&amp;ROUNDUP(MONTH(G23)/3,0))*(地价!AD2:AH2=N27)*(地价!AD3:AH40))</f>
        <v>0</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2018</v>
      </c>
      <c r="C28" s="755">
        <f>SUMIF(A47:A101,E2,B47:B101)</f>
        <v>1.0271999999999999</v>
      </c>
      <c r="D28" s="2046"/>
      <c r="E28" s="2071"/>
      <c r="F28" s="2071"/>
      <c r="G28" s="2071"/>
      <c r="H28" s="2071"/>
      <c r="I28" s="2071"/>
      <c r="J28" s="2072"/>
      <c r="K28" s="1120"/>
      <c r="L28" s="2781"/>
      <c r="M28" s="2781"/>
      <c r="N28" s="2073" t="s">
        <v>2019</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2020</v>
      </c>
      <c r="C29" s="760"/>
      <c r="D29" s="2018"/>
      <c r="E29" s="2018"/>
      <c r="F29" s="2075"/>
      <c r="G29" s="2018"/>
      <c r="H29" s="2018"/>
      <c r="I29" s="2018"/>
      <c r="J29" s="2019"/>
      <c r="K29" s="1114"/>
      <c r="L29" s="1991"/>
      <c r="M29" s="1991"/>
      <c r="N29" s="2778" t="s">
        <v>2021</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2022</v>
      </c>
      <c r="C30" s="2315" t="e">
        <f>IF(B25="容积率修正",E33+SUM(E37:E42),SUM(V2:V16)+SUM(E37:E42))</f>
        <v>#DIV/0!</v>
      </c>
      <c r="D30" s="2077"/>
      <c r="E30" s="2040"/>
      <c r="F30" s="2078"/>
      <c r="G30" s="2040"/>
      <c r="H30" s="2040"/>
      <c r="I30" s="2040"/>
      <c r="J30" s="2079"/>
      <c r="K30" s="1114"/>
      <c r="L30" s="3344" t="s">
        <v>1934</v>
      </c>
      <c r="M30" s="3345" t="s">
        <v>1988</v>
      </c>
      <c r="N30" s="3345" t="s">
        <v>1989</v>
      </c>
      <c r="O30" s="3345" t="s">
        <v>1990</v>
      </c>
      <c r="P30" s="3345" t="s">
        <v>1991</v>
      </c>
      <c r="Q30" s="3348" t="s">
        <v>3263</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2023</v>
      </c>
      <c r="C31" s="761" t="e">
        <f>E34+SUM(I37:I42)</f>
        <v>#DIV/0!</v>
      </c>
      <c r="D31" s="2081"/>
      <c r="E31" s="2082"/>
      <c r="F31" s="2083"/>
      <c r="G31" s="2082"/>
      <c r="H31" s="2082"/>
      <c r="I31" s="2082"/>
      <c r="J31" s="2084"/>
      <c r="K31" s="1114"/>
      <c r="L31" s="3346" t="s">
        <v>1994</v>
      </c>
      <c r="M31" s="1994">
        <v>0.25</v>
      </c>
      <c r="N31" s="1994">
        <v>0.2</v>
      </c>
      <c r="O31" s="1994">
        <v>0.15</v>
      </c>
      <c r="P31" s="1994">
        <v>0.1</v>
      </c>
      <c r="Q31" s="3341">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2024</v>
      </c>
      <c r="C32" s="2087" t="s">
        <v>2025</v>
      </c>
      <c r="D32" s="2087" t="s">
        <v>2026</v>
      </c>
      <c r="E32" s="2088" t="s">
        <v>2027</v>
      </c>
      <c r="F32" s="2089"/>
      <c r="G32" s="2031"/>
      <c r="H32" s="2031"/>
      <c r="I32" s="2031"/>
      <c r="J32" s="2032"/>
      <c r="K32" s="1114"/>
      <c r="L32" s="3347" t="s">
        <v>1997</v>
      </c>
      <c r="M32" s="2564">
        <f>ROUND($E$24*(1+M31),3)</f>
        <v>5.3999999999999999E-2</v>
      </c>
      <c r="N32" s="2564">
        <f>ROUND($E$24*(1+N31),3)</f>
        <v>5.1999999999999998E-2</v>
      </c>
      <c r="O32" s="2564">
        <f>ROUND($E$24*(1+O31),3)</f>
        <v>0.05</v>
      </c>
      <c r="P32" s="2564">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2028</v>
      </c>
      <c r="C33" s="175" t="e">
        <f>ROUND(C5*C22*C23*C24*C25*C28,0)</f>
        <v>#DIV/0!</v>
      </c>
      <c r="D33" s="2092"/>
      <c r="E33" s="768" t="e">
        <f>ROUND(C33*D33/10000,0)</f>
        <v>#DIV/0!</v>
      </c>
      <c r="F33" s="3339" t="s">
        <v>3261</v>
      </c>
      <c r="G33" s="2093"/>
      <c r="H33" s="2093"/>
      <c r="I33" s="2093"/>
      <c r="J33" s="2094"/>
      <c r="K33" s="1114"/>
      <c r="L33" s="3342" t="s">
        <v>3264</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2029</v>
      </c>
      <c r="C34" s="187" t="e">
        <f>ROUND(IF(E2="工业",C33*M42,IF(B25="楼层修正",SUM(V2:V16)*M41*10000/D34,C33*M41)),0)</f>
        <v>#DIV/0!</v>
      </c>
      <c r="D34" s="2097"/>
      <c r="E34" s="768" t="e">
        <f>ROUND(IF(B25="楼层修正",SUM(V2:V16)*M40,C34*D34/10000),0)</f>
        <v>#DIV/0!</v>
      </c>
      <c r="F34" s="2098" t="s">
        <v>2030</v>
      </c>
      <c r="G34" s="2099"/>
      <c r="H34" s="2099"/>
      <c r="I34" s="2099"/>
      <c r="J34" s="2100"/>
      <c r="K34" s="1114"/>
      <c r="L34" s="3342" t="s">
        <v>3265</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2031</v>
      </c>
      <c r="C35" s="3340" t="s">
        <v>3262</v>
      </c>
      <c r="D35" s="2031"/>
      <c r="E35" s="2103"/>
      <c r="F35" s="2103"/>
      <c r="G35" s="2029" t="s">
        <v>2032</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50" t="s">
        <v>2025</v>
      </c>
      <c r="D36" s="447" t="s">
        <v>2026</v>
      </c>
      <c r="E36" s="447" t="s">
        <v>2027</v>
      </c>
      <c r="F36" s="342" t="s">
        <v>2033</v>
      </c>
      <c r="G36" s="2106" t="s">
        <v>2025</v>
      </c>
      <c r="H36" s="2106" t="s">
        <v>2026</v>
      </c>
      <c r="I36" s="2106" t="s">
        <v>2027</v>
      </c>
      <c r="J36" s="243"/>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807"/>
      <c r="B37" s="2107" t="s">
        <v>2034</v>
      </c>
      <c r="C37" s="175" t="e">
        <f>ROUND(D5*C22*C23*C24*C28*F37,0)</f>
        <v>#DIV/0!</v>
      </c>
      <c r="D37" s="2092" t="e">
        <f>#REF!</f>
        <v>#REF!</v>
      </c>
      <c r="E37" s="171" t="e">
        <f>ROUND(C37*D37/10000,0)</f>
        <v>#DIV/0!</v>
      </c>
      <c r="F37" s="171">
        <f>SUMIF(修正!A57:A68,G2,修正!B57:B68)</f>
        <v>0</v>
      </c>
      <c r="G37" s="171" t="e">
        <f>ROUND(IF(E2="工业",C37*$M$42,C37*$M$41),0)</f>
        <v>#DIV/0!</v>
      </c>
      <c r="H37" s="171" t="e">
        <f>D37</f>
        <v>#REF!</v>
      </c>
      <c r="I37" s="171" t="e">
        <f>ROUND(G37*H37/10000,0)</f>
        <v>#DIV/0!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808"/>
      <c r="B38" s="2035" t="s">
        <v>2035</v>
      </c>
      <c r="C38" s="175" t="e">
        <f>ROUND(D5*C22*C23*C24*C28*F38,0)</f>
        <v>#DIV/0!</v>
      </c>
      <c r="D38" s="2092" t="e">
        <f>#REF!</f>
        <v>#REF!</v>
      </c>
      <c r="E38" s="171" t="e">
        <f t="shared" ref="E38:E42" si="4">ROUND(C38*D38/10000,0)</f>
        <v>#DIV/0!</v>
      </c>
      <c r="F38" s="171">
        <f>SUMIF(修正!A57:A68,G2,修正!C57:C68)</f>
        <v>0</v>
      </c>
      <c r="G38" s="171" t="e">
        <f>ROUND(IF(E2="工业",C38*$M$42,C38*$M$41),0)</f>
        <v>#DIV/0!</v>
      </c>
      <c r="H38" s="171" t="e">
        <f t="shared" ref="H38:H42" si="5">D38</f>
        <v>#REF!</v>
      </c>
      <c r="I38" s="171" t="e">
        <f t="shared" ref="I38:I42" si="6">ROUND(G38*H38/10000,0)</f>
        <v>#DIV/0!</v>
      </c>
      <c r="J38" s="3466"/>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08"/>
      <c r="B39" s="2035" t="s">
        <v>3260</v>
      </c>
      <c r="C39" s="175" t="e">
        <f>ROUND(D5*C22*C23*C24*C28*F39,0)</f>
        <v>#DIV/0!</v>
      </c>
      <c r="D39" s="2092"/>
      <c r="E39" s="171" t="e">
        <f t="shared" si="4"/>
        <v>#DIV/0!</v>
      </c>
      <c r="F39" s="171">
        <f>SUMIF(修正!A57:A68,G2,修正!D57:D68)</f>
        <v>0</v>
      </c>
      <c r="G39" s="171" t="e">
        <f>ROUND(IF(E2="工业",C39*$M$42,C39*$M$41),0)</f>
        <v>#DIV/0!</v>
      </c>
      <c r="H39" s="171">
        <f t="shared" si="5"/>
        <v>0</v>
      </c>
      <c r="I39" s="171" t="e">
        <f t="shared" si="6"/>
        <v>#DIV/0!</v>
      </c>
      <c r="J39" s="346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2036</v>
      </c>
      <c r="C40" s="171" t="e">
        <f>ROUND(D5*C22*C23*C24*C28*F40,0)</f>
        <v>#DIV/0!</v>
      </c>
      <c r="D40" s="2092"/>
      <c r="E40" s="171" t="e">
        <f t="shared" si="4"/>
        <v>#DIV/0!</v>
      </c>
      <c r="F40" s="175">
        <f>SUMIF(修正!A57:A68,G2,修正!E57:E68)</f>
        <v>0</v>
      </c>
      <c r="G40" s="171" t="e">
        <f>ROUND(IF(E2="工业",C40*$M$42,C40*$M$41),0)</f>
        <v>#DIV/0!</v>
      </c>
      <c r="H40" s="171">
        <f t="shared" si="5"/>
        <v>0</v>
      </c>
      <c r="I40" s="171" t="e">
        <f t="shared" si="6"/>
        <v>#DIV/0!</v>
      </c>
      <c r="J40" s="2108"/>
      <c r="L40" s="2110" t="s">
        <v>2037</v>
      </c>
      <c r="M40" s="2111"/>
      <c r="Z40" s="1115"/>
      <c r="AA40" s="1115"/>
      <c r="AB40" s="1115"/>
      <c r="AC40" s="1115"/>
      <c r="AD40" s="1115"/>
      <c r="AE40" s="1115"/>
      <c r="AF40" s="1115"/>
      <c r="AG40" s="1115"/>
      <c r="AH40" s="1115"/>
      <c r="AI40" s="1115"/>
      <c r="AJ40" s="1115"/>
    </row>
    <row r="41" spans="1:37" s="1114" customFormat="1">
      <c r="A41" s="2109"/>
      <c r="B41" s="2035" t="s">
        <v>2038</v>
      </c>
      <c r="C41" s="171" t="e">
        <f>ROUND(D5*C22*C23*C44*C28*F41,0)</f>
        <v>#DIV/0!</v>
      </c>
      <c r="D41" s="2092"/>
      <c r="E41" s="171" t="e">
        <f t="shared" si="4"/>
        <v>#DIV/0!</v>
      </c>
      <c r="F41" s="175">
        <f>SUMIF(修正!A57:A68,G2,修正!F57:F68)</f>
        <v>0</v>
      </c>
      <c r="G41" s="171" t="e">
        <f>ROUND(IF(E2="工业",C41*$M$42,C41*$M$41),0)</f>
        <v>#DIV/0!</v>
      </c>
      <c r="H41" s="171">
        <f t="shared" si="5"/>
        <v>0</v>
      </c>
      <c r="I41" s="171" t="e">
        <f t="shared" si="6"/>
        <v>#DIV/0!</v>
      </c>
      <c r="J41" s="2108"/>
      <c r="L41" s="3353" t="s">
        <v>3268</v>
      </c>
      <c r="M41" s="2112">
        <v>0.25</v>
      </c>
      <c r="Z41" s="1115"/>
      <c r="AA41" s="1115"/>
      <c r="AB41" s="1115"/>
      <c r="AC41" s="1115"/>
      <c r="AD41" s="1115"/>
      <c r="AE41" s="1115"/>
      <c r="AF41" s="1115"/>
      <c r="AG41" s="1115"/>
      <c r="AH41" s="1115"/>
      <c r="AI41" s="1115"/>
      <c r="AJ41" s="1115"/>
    </row>
    <row r="42" spans="1:37" s="1114" customFormat="1" ht="13.5" thickBot="1">
      <c r="A42" s="2095"/>
      <c r="B42" s="2113" t="s">
        <v>2039</v>
      </c>
      <c r="C42" s="187" t="e">
        <f>ROUND(D5*C22*C23*C44*C28*F42,0)</f>
        <v>#DIV/0!</v>
      </c>
      <c r="D42" s="2097"/>
      <c r="E42" s="187" t="e">
        <f t="shared" si="4"/>
        <v>#DIV/0!</v>
      </c>
      <c r="F42" s="762">
        <f>SUMIF(修正!A57:A68,G2,修正!G57:G68)</f>
        <v>0</v>
      </c>
      <c r="G42" s="187" t="e">
        <f>ROUND(IF(E2="工业",C42*$M$42,C42*$M$41),0)</f>
        <v>#DIV/0!</v>
      </c>
      <c r="H42" s="187">
        <f t="shared" si="5"/>
        <v>0</v>
      </c>
      <c r="I42" s="187" t="e">
        <f t="shared" si="6"/>
        <v>#DIV/0!</v>
      </c>
      <c r="J42" s="2114"/>
      <c r="L42" s="2115" t="s">
        <v>1991</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2120</v>
      </c>
      <c r="C44" s="342">
        <f>ROUND(POWER(1+E44,H44-G44)*(POWER(1+E44,G44)-1)/(POWER(1+E44,H44)-1),4)</f>
        <v>0</v>
      </c>
      <c r="D44" s="171" t="s">
        <v>1997</v>
      </c>
      <c r="E44" s="2147">
        <f>G24</f>
        <v>5.5E-2</v>
      </c>
      <c r="F44" s="171" t="s">
        <v>2006</v>
      </c>
      <c r="G44" s="183">
        <f>'数据-取费表'!F8</f>
        <v>0</v>
      </c>
      <c r="H44" s="171">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2040</v>
      </c>
      <c r="B47" s="2119"/>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0" t="s">
        <v>2041</v>
      </c>
      <c r="B48" s="2121">
        <f>1+E50</f>
        <v>1.0271999999999999</v>
      </c>
      <c r="C48" s="2122"/>
      <c r="D48" s="736"/>
      <c r="E48" s="737"/>
      <c r="F48" s="2123"/>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4" t="s">
        <v>2042</v>
      </c>
      <c r="B49" s="1346" t="s">
        <v>2043</v>
      </c>
      <c r="C49" s="1346" t="s">
        <v>2044</v>
      </c>
      <c r="D49" s="1346" t="s">
        <v>2045</v>
      </c>
      <c r="E49" s="738" t="s">
        <v>2046</v>
      </c>
      <c r="F49" s="2125" t="s">
        <v>2047</v>
      </c>
      <c r="G49" s="1346" t="s">
        <v>310</v>
      </c>
      <c r="H49" s="2126" t="s">
        <v>2048</v>
      </c>
      <c r="I49" s="1346" t="s">
        <v>2049</v>
      </c>
      <c r="J49" s="552" t="s">
        <v>1720</v>
      </c>
      <c r="K49" s="552" t="s">
        <v>1721</v>
      </c>
      <c r="L49" s="552" t="s">
        <v>1722</v>
      </c>
      <c r="M49" s="552" t="s">
        <v>1723</v>
      </c>
      <c r="N49" s="552" t="s">
        <v>1724</v>
      </c>
      <c r="AA49" s="1115"/>
      <c r="AB49" s="1115"/>
      <c r="AC49" s="1115"/>
      <c r="AD49" s="1115"/>
      <c r="AE49" s="1115"/>
      <c r="AF49" s="1115"/>
      <c r="AG49" s="1115"/>
      <c r="AH49" s="1115"/>
      <c r="AI49" s="1115"/>
      <c r="AJ49" s="1115"/>
      <c r="AK49" s="1115"/>
    </row>
    <row r="50" spans="1:37" s="1114" customFormat="1" ht="38.25">
      <c r="A50" s="2124" t="s">
        <v>2050</v>
      </c>
      <c r="B50" s="2127" t="str">
        <f>估价对象房地状况!C4</f>
        <v>估价对象位于XX商圈，周边商业氛围成熟，人流量大，商业繁华度好</v>
      </c>
      <c r="C50" s="2038" t="s">
        <v>3392</v>
      </c>
      <c r="D50" s="1060">
        <f t="shared" ref="D50:D58" si="7">SUMIF($J$49:$N$49,C50,J50:N50)</f>
        <v>0</v>
      </c>
      <c r="E50" s="739">
        <f>ROUND(SUM(D50:D58),4)</f>
        <v>2.7199999999999998E-2</v>
      </c>
      <c r="F50" s="1809">
        <f>IF(E2="商业",SUMIF(L1:L12,G2,N1:N12),"——")</f>
        <v>0</v>
      </c>
      <c r="G50" s="1058">
        <v>1.4800000000000001E-2</v>
      </c>
      <c r="H50" s="1061">
        <f t="shared" ref="H50:H58" si="8">IFERROR(ROUNDDOWN($F$50*I50/2,4),"——")</f>
        <v>0</v>
      </c>
      <c r="I50" s="3360">
        <v>0.3</v>
      </c>
      <c r="J50" s="1059">
        <f t="shared" ref="J50:J58" si="9">K50+$G50</f>
        <v>2.9600000000000001E-2</v>
      </c>
      <c r="K50" s="1059">
        <f t="shared" ref="K50:K58" si="10">$L50+$G50</f>
        <v>1.4800000000000001E-2</v>
      </c>
      <c r="L50" s="1059">
        <v>0</v>
      </c>
      <c r="M50" s="1059">
        <f t="shared" ref="M50:N58" si="11">L50-$G50</f>
        <v>-1.4800000000000001E-2</v>
      </c>
      <c r="N50" s="1059">
        <f t="shared" si="11"/>
        <v>-2.9600000000000001E-2</v>
      </c>
      <c r="AA50" s="1115"/>
      <c r="AB50" s="1115"/>
      <c r="AC50" s="1115"/>
      <c r="AD50" s="1115"/>
      <c r="AE50" s="1115"/>
      <c r="AF50" s="1115"/>
      <c r="AG50" s="1115"/>
      <c r="AH50" s="1115"/>
      <c r="AI50" s="1115"/>
      <c r="AJ50" s="1115"/>
      <c r="AK50" s="1115"/>
    </row>
    <row r="51" spans="1:37" s="1114" customFormat="1" ht="38.25">
      <c r="A51" s="2124" t="s">
        <v>2051</v>
      </c>
      <c r="B51" s="2128" t="str">
        <f>估价对象房地状况!C18</f>
        <v>估价对象周边道路状况、公共交通通达情况、停车便捷程度，综合评价交通便捷度较好</v>
      </c>
      <c r="C51" s="2038" t="s">
        <v>3392</v>
      </c>
      <c r="D51" s="1060">
        <f t="shared" si="7"/>
        <v>0</v>
      </c>
      <c r="E51" s="740"/>
      <c r="F51" s="1809"/>
      <c r="G51" s="1058">
        <v>1.0800000000000001E-2</v>
      </c>
      <c r="H51" s="1061">
        <f t="shared" si="8"/>
        <v>0</v>
      </c>
      <c r="I51" s="3360">
        <v>0.22</v>
      </c>
      <c r="J51" s="1059">
        <f t="shared" si="9"/>
        <v>2.1600000000000001E-2</v>
      </c>
      <c r="K51" s="1059">
        <f t="shared" si="10"/>
        <v>1.0800000000000001E-2</v>
      </c>
      <c r="L51" s="1059">
        <v>0</v>
      </c>
      <c r="M51" s="1059">
        <f t="shared" si="11"/>
        <v>-1.0800000000000001E-2</v>
      </c>
      <c r="N51" s="1059">
        <f t="shared" si="11"/>
        <v>-2.1600000000000001E-2</v>
      </c>
      <c r="AA51" s="1115"/>
      <c r="AB51" s="1115"/>
      <c r="AC51" s="1115"/>
      <c r="AD51" s="1115"/>
      <c r="AE51" s="1115"/>
      <c r="AF51" s="1115"/>
      <c r="AG51" s="1115"/>
      <c r="AH51" s="1115"/>
      <c r="AI51" s="1115"/>
      <c r="AJ51" s="1115"/>
      <c r="AK51" s="1115"/>
    </row>
    <row r="52" spans="1:37" s="1114" customFormat="1" ht="36">
      <c r="A52" s="3362" t="s">
        <v>3270</v>
      </c>
      <c r="B52" s="2128">
        <f>估价对象房地状况!C19</f>
        <v>0</v>
      </c>
      <c r="C52" s="2038" t="s">
        <v>3393</v>
      </c>
      <c r="D52" s="1060">
        <f t="shared" si="7"/>
        <v>5.8999999999999999E-3</v>
      </c>
      <c r="E52" s="740"/>
      <c r="F52" s="1809"/>
      <c r="G52" s="1058">
        <v>5.8999999999999999E-3</v>
      </c>
      <c r="H52" s="1061">
        <f t="shared" si="8"/>
        <v>0</v>
      </c>
      <c r="I52" s="3360">
        <v>0.12</v>
      </c>
      <c r="J52" s="1059">
        <f t="shared" si="9"/>
        <v>1.18E-2</v>
      </c>
      <c r="K52" s="1059">
        <f t="shared" si="10"/>
        <v>5.8999999999999999E-3</v>
      </c>
      <c r="L52" s="1059">
        <v>0</v>
      </c>
      <c r="M52" s="1059">
        <f t="shared" si="11"/>
        <v>-5.8999999999999999E-3</v>
      </c>
      <c r="N52" s="1059">
        <f t="shared" si="11"/>
        <v>-1.18E-2</v>
      </c>
      <c r="AA52" s="1115"/>
      <c r="AB52" s="1115"/>
      <c r="AC52" s="1115"/>
      <c r="AD52" s="1115"/>
      <c r="AE52" s="1115"/>
      <c r="AF52" s="1115"/>
      <c r="AG52" s="1115"/>
      <c r="AH52" s="1115"/>
      <c r="AI52" s="1115"/>
      <c r="AJ52" s="1115"/>
      <c r="AK52" s="1115"/>
    </row>
    <row r="53" spans="1:37" s="1114" customFormat="1" ht="36.75">
      <c r="A53" s="2124" t="s">
        <v>2052</v>
      </c>
      <c r="B53" s="2129" t="s">
        <v>2053</v>
      </c>
      <c r="C53" s="2038" t="s">
        <v>3393</v>
      </c>
      <c r="D53" s="1060">
        <f t="shared" si="7"/>
        <v>2.3999999999999998E-3</v>
      </c>
      <c r="E53" s="740"/>
      <c r="F53" s="1809"/>
      <c r="G53" s="1058">
        <v>2.3999999999999998E-3</v>
      </c>
      <c r="H53" s="1061">
        <f t="shared" si="8"/>
        <v>0</v>
      </c>
      <c r="I53" s="3360">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4" t="s">
        <v>2054</v>
      </c>
      <c r="B54" s="2128">
        <f>估价对象房地状况!C24</f>
        <v>0</v>
      </c>
      <c r="C54" s="2038" t="s">
        <v>3393</v>
      </c>
      <c r="D54" s="1060">
        <f t="shared" si="7"/>
        <v>3.8999999999999998E-3</v>
      </c>
      <c r="E54" s="740"/>
      <c r="F54" s="1809"/>
      <c r="G54" s="1058">
        <v>3.8999999999999998E-3</v>
      </c>
      <c r="H54" s="1061">
        <f t="shared" si="8"/>
        <v>0</v>
      </c>
      <c r="I54" s="3360">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4" t="s">
        <v>2055</v>
      </c>
      <c r="B55" s="2130" t="s">
        <v>2056</v>
      </c>
      <c r="C55" s="2038" t="s">
        <v>3393</v>
      </c>
      <c r="D55" s="1060">
        <f t="shared" si="7"/>
        <v>2.3999999999999998E-3</v>
      </c>
      <c r="E55" s="740"/>
      <c r="F55" s="1809"/>
      <c r="G55" s="1058">
        <v>2.3999999999999998E-3</v>
      </c>
      <c r="H55" s="1061">
        <f t="shared" si="8"/>
        <v>0</v>
      </c>
      <c r="I55" s="3360">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5.5">
      <c r="A56" s="2131" t="s">
        <v>2057</v>
      </c>
      <c r="B56" s="1321" t="str">
        <f>估价对象房地状况!C21</f>
        <v>估价对象所在区域公共配套设施齐备情况</v>
      </c>
      <c r="C56" s="2038" t="s">
        <v>3393</v>
      </c>
      <c r="D56" s="1060">
        <f t="shared" si="7"/>
        <v>2.3999999999999998E-3</v>
      </c>
      <c r="E56" s="740"/>
      <c r="F56" s="1809"/>
      <c r="G56" s="1058">
        <v>2.3999999999999998E-3</v>
      </c>
      <c r="H56" s="1061">
        <f t="shared" si="8"/>
        <v>0</v>
      </c>
      <c r="I56" s="3360">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5.5">
      <c r="A57" s="2131" t="s">
        <v>2058</v>
      </c>
      <c r="B57" s="2128" t="str">
        <f>估价对象房地状况!C22</f>
        <v>估价对象所在区域基础设施水平</v>
      </c>
      <c r="C57" s="2038" t="s">
        <v>3394</v>
      </c>
      <c r="D57" s="1060">
        <f t="shared" si="7"/>
        <v>7.7999999999999996E-3</v>
      </c>
      <c r="E57" s="740"/>
      <c r="F57" s="1809"/>
      <c r="G57" s="1058">
        <v>3.8999999999999998E-3</v>
      </c>
      <c r="H57" s="1061">
        <f t="shared" si="8"/>
        <v>0</v>
      </c>
      <c r="I57" s="3360">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6.25" thickBot="1">
      <c r="A58" s="2132" t="s">
        <v>2059</v>
      </c>
      <c r="B58" s="2133" t="str">
        <f>估价对象房地状况!C20</f>
        <v>区域自然环境：；人文环境；综合评价环境状况一般</v>
      </c>
      <c r="C58" s="2038" t="s">
        <v>3393</v>
      </c>
      <c r="D58" s="1060">
        <f t="shared" si="7"/>
        <v>2.3999999999999998E-3</v>
      </c>
      <c r="E58" s="741"/>
      <c r="F58" s="1809"/>
      <c r="G58" s="1058">
        <v>2.3999999999999998E-3</v>
      </c>
      <c r="H58" s="1061">
        <f t="shared" si="8"/>
        <v>0</v>
      </c>
      <c r="I58" s="3361">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0" t="s">
        <v>2060</v>
      </c>
      <c r="B59" s="2121">
        <f>1+E61</f>
        <v>1.0370999999999999</v>
      </c>
      <c r="C59" s="736"/>
      <c r="D59" s="736"/>
      <c r="E59" s="737"/>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2042</v>
      </c>
      <c r="B60" s="1346"/>
      <c r="C60" s="1346" t="s">
        <v>2044</v>
      </c>
      <c r="D60" s="1346" t="s">
        <v>2045</v>
      </c>
      <c r="E60" s="738" t="s">
        <v>2046</v>
      </c>
      <c r="F60" s="2125" t="s">
        <v>2061</v>
      </c>
      <c r="G60" s="1346" t="s">
        <v>310</v>
      </c>
      <c r="H60" s="2126" t="s">
        <v>2048</v>
      </c>
      <c r="I60" s="1346" t="s">
        <v>2049</v>
      </c>
      <c r="J60" s="552" t="s">
        <v>1720</v>
      </c>
      <c r="K60" s="552" t="s">
        <v>1721</v>
      </c>
      <c r="L60" s="552" t="s">
        <v>1722</v>
      </c>
      <c r="M60" s="552" t="s">
        <v>1723</v>
      </c>
      <c r="N60" s="552" t="s">
        <v>1724</v>
      </c>
      <c r="AA60" s="1115"/>
      <c r="AB60" s="1115"/>
      <c r="AC60" s="1115"/>
      <c r="AD60" s="1115"/>
      <c r="AE60" s="1115"/>
      <c r="AF60" s="1115"/>
      <c r="AG60" s="1115"/>
      <c r="AH60" s="1115"/>
      <c r="AI60" s="1115"/>
      <c r="AJ60" s="1115"/>
      <c r="AK60" s="1115"/>
    </row>
    <row r="61" spans="1:37" s="1114" customFormat="1" ht="38.25">
      <c r="A61" s="2124" t="s">
        <v>2062</v>
      </c>
      <c r="B61" s="2127" t="str">
        <f>估价对象房地状况!C17</f>
        <v>估价对象位于XX商圈，周边办公楼项目较多，入驻率高，办公集聚程度较好</v>
      </c>
      <c r="C61" s="2038" t="s">
        <v>3392</v>
      </c>
      <c r="D61" s="1060">
        <f t="shared" ref="D61:D69" si="12">SUMIF($J$60:$N$60,C61,J61:N61)</f>
        <v>0</v>
      </c>
      <c r="E61" s="739">
        <f>ROUND(SUM(D61:D69),4)</f>
        <v>3.7100000000000001E-2</v>
      </c>
      <c r="F61" s="1809" t="str">
        <f>IF(E2="办公",SUMIF(L1:L12,G2,N1:N12),"——")</f>
        <v>——</v>
      </c>
      <c r="G61" s="1058">
        <v>1.18E-2</v>
      </c>
      <c r="H61" s="1061" t="str">
        <f t="shared" ref="H61:H69" si="13">IFERROR(ROUNDDOWN($F$61*I61/2,4),"——")</f>
        <v>——</v>
      </c>
      <c r="I61" s="3360">
        <v>0.25</v>
      </c>
      <c r="J61" s="1059">
        <f t="shared" ref="J61:J69" si="14">K61+$G61</f>
        <v>2.3599999999999999E-2</v>
      </c>
      <c r="K61" s="1059">
        <f t="shared" ref="K61:K69" si="15">$L61+$G61</f>
        <v>1.18E-2</v>
      </c>
      <c r="L61" s="1059">
        <v>0</v>
      </c>
      <c r="M61" s="1059">
        <f t="shared" ref="M61:N69" si="16">L61-$G61</f>
        <v>-1.18E-2</v>
      </c>
      <c r="N61" s="1059">
        <f t="shared" si="16"/>
        <v>-2.3599999999999999E-2</v>
      </c>
      <c r="AA61" s="1115"/>
      <c r="AB61" s="1115"/>
      <c r="AC61" s="1115"/>
      <c r="AD61" s="1115"/>
      <c r="AE61" s="1115"/>
      <c r="AF61" s="1115"/>
      <c r="AG61" s="1115"/>
      <c r="AH61" s="1115"/>
      <c r="AI61" s="1115"/>
      <c r="AJ61" s="1115"/>
      <c r="AK61" s="1115"/>
    </row>
    <row r="62" spans="1:37" s="1114" customFormat="1" ht="38.25">
      <c r="A62" s="2124" t="s">
        <v>2051</v>
      </c>
      <c r="B62" s="2128" t="str">
        <f>估价对象房地状况!C18</f>
        <v>估价对象周边道路状况、公共交通通达情况、停车便捷程度，综合评价交通便捷度较好</v>
      </c>
      <c r="C62" s="2038" t="s">
        <v>3393</v>
      </c>
      <c r="D62" s="1060">
        <f t="shared" si="12"/>
        <v>1.23E-2</v>
      </c>
      <c r="E62" s="740"/>
      <c r="F62" s="1809"/>
      <c r="G62" s="1058">
        <v>1.23E-2</v>
      </c>
      <c r="H62" s="1061" t="str">
        <f t="shared" si="13"/>
        <v>——</v>
      </c>
      <c r="I62" s="3360">
        <v>0.26</v>
      </c>
      <c r="J62" s="1059">
        <f t="shared" si="14"/>
        <v>2.46E-2</v>
      </c>
      <c r="K62" s="1059">
        <f t="shared" si="15"/>
        <v>1.23E-2</v>
      </c>
      <c r="L62" s="1059">
        <v>0</v>
      </c>
      <c r="M62" s="1059">
        <f t="shared" si="16"/>
        <v>-1.23E-2</v>
      </c>
      <c r="N62" s="1059">
        <f t="shared" si="16"/>
        <v>-2.46E-2</v>
      </c>
      <c r="AA62" s="1115"/>
      <c r="AB62" s="1115"/>
      <c r="AC62" s="1115"/>
      <c r="AD62" s="1115"/>
      <c r="AE62" s="1115"/>
      <c r="AF62" s="1115"/>
      <c r="AG62" s="1115"/>
      <c r="AH62" s="1115"/>
      <c r="AI62" s="1115"/>
      <c r="AJ62" s="1115"/>
      <c r="AK62" s="1115"/>
    </row>
    <row r="63" spans="1:37" s="1114" customFormat="1" ht="36">
      <c r="A63" s="3362" t="s">
        <v>3270</v>
      </c>
      <c r="B63" s="2128">
        <f>估价对象房地状况!C19</f>
        <v>0</v>
      </c>
      <c r="C63" s="2038" t="s">
        <v>3393</v>
      </c>
      <c r="D63" s="1060">
        <f t="shared" si="12"/>
        <v>5.1999999999999998E-3</v>
      </c>
      <c r="E63" s="740"/>
      <c r="F63" s="1809"/>
      <c r="G63" s="1058">
        <v>5.1999999999999998E-3</v>
      </c>
      <c r="H63" s="1061" t="str">
        <f t="shared" si="13"/>
        <v>——</v>
      </c>
      <c r="I63" s="3360">
        <v>0.11</v>
      </c>
      <c r="J63" s="1059">
        <f t="shared" si="14"/>
        <v>1.04E-2</v>
      </c>
      <c r="K63" s="1059">
        <f t="shared" si="15"/>
        <v>5.1999999999999998E-3</v>
      </c>
      <c r="L63" s="1059">
        <v>0</v>
      </c>
      <c r="M63" s="1059">
        <f t="shared" si="16"/>
        <v>-5.1999999999999998E-3</v>
      </c>
      <c r="N63" s="1059">
        <f t="shared" si="16"/>
        <v>-1.04E-2</v>
      </c>
      <c r="AA63" s="1115"/>
      <c r="AB63" s="1115"/>
      <c r="AC63" s="1115"/>
      <c r="AD63" s="1115"/>
      <c r="AE63" s="1115"/>
      <c r="AF63" s="1115"/>
      <c r="AG63" s="1115"/>
      <c r="AH63" s="1115"/>
      <c r="AI63" s="1115"/>
      <c r="AJ63" s="1115"/>
      <c r="AK63" s="1115"/>
    </row>
    <row r="64" spans="1:37" s="1114" customFormat="1" ht="36.75">
      <c r="A64" s="2124" t="s">
        <v>2052</v>
      </c>
      <c r="B64" s="2129" t="s">
        <v>2053</v>
      </c>
      <c r="C64" s="2038" t="s">
        <v>3393</v>
      </c>
      <c r="D64" s="1060">
        <f t="shared" si="12"/>
        <v>2.3E-3</v>
      </c>
      <c r="E64" s="740"/>
      <c r="F64" s="1809"/>
      <c r="G64" s="1058">
        <v>2.3E-3</v>
      </c>
      <c r="H64" s="1061" t="str">
        <f t="shared" si="13"/>
        <v>——</v>
      </c>
      <c r="I64" s="3360">
        <v>0.05</v>
      </c>
      <c r="J64" s="1059">
        <f t="shared" si="14"/>
        <v>4.5999999999999999E-3</v>
      </c>
      <c r="K64" s="1059">
        <f t="shared" si="15"/>
        <v>2.3E-3</v>
      </c>
      <c r="L64" s="1059">
        <v>0</v>
      </c>
      <c r="M64" s="1059">
        <f t="shared" si="16"/>
        <v>-2.3E-3</v>
      </c>
      <c r="N64" s="1059">
        <f t="shared" si="16"/>
        <v>-4.5999999999999999E-3</v>
      </c>
      <c r="AA64" s="1115"/>
      <c r="AB64" s="1115"/>
      <c r="AC64" s="1115"/>
      <c r="AD64" s="1115"/>
      <c r="AE64" s="1115"/>
      <c r="AF64" s="1115"/>
      <c r="AG64" s="1115"/>
      <c r="AH64" s="1115"/>
      <c r="AI64" s="1115"/>
      <c r="AJ64" s="1115"/>
      <c r="AK64" s="1115"/>
    </row>
    <row r="65" spans="1:37" s="1114" customFormat="1" ht="24">
      <c r="A65" s="2124" t="s">
        <v>2054</v>
      </c>
      <c r="B65" s="2128">
        <f>估价对象房地状况!C24</f>
        <v>0</v>
      </c>
      <c r="C65" s="2038" t="s">
        <v>3392</v>
      </c>
      <c r="D65" s="1060">
        <f t="shared" si="12"/>
        <v>0</v>
      </c>
      <c r="E65" s="740"/>
      <c r="F65" s="1809"/>
      <c r="G65" s="1058">
        <v>2.3E-3</v>
      </c>
      <c r="H65" s="1061" t="str">
        <f t="shared" si="13"/>
        <v>——</v>
      </c>
      <c r="I65" s="3360">
        <v>0.05</v>
      </c>
      <c r="J65" s="1059">
        <f t="shared" si="14"/>
        <v>4.5999999999999999E-3</v>
      </c>
      <c r="K65" s="1059">
        <f t="shared" si="15"/>
        <v>2.3E-3</v>
      </c>
      <c r="L65" s="1059">
        <v>0</v>
      </c>
      <c r="M65" s="1059">
        <f t="shared" si="16"/>
        <v>-2.3E-3</v>
      </c>
      <c r="N65" s="1059">
        <f t="shared" si="16"/>
        <v>-4.5999999999999999E-3</v>
      </c>
      <c r="AA65" s="1115"/>
      <c r="AB65" s="1115"/>
      <c r="AC65" s="1115"/>
      <c r="AD65" s="1115"/>
      <c r="AE65" s="1115"/>
      <c r="AF65" s="1115"/>
      <c r="AG65" s="1115"/>
      <c r="AH65" s="1115"/>
      <c r="AI65" s="1115"/>
      <c r="AJ65" s="1115"/>
      <c r="AK65" s="1115"/>
    </row>
    <row r="66" spans="1:37" s="1114" customFormat="1" ht="24">
      <c r="A66" s="2124" t="s">
        <v>2055</v>
      </c>
      <c r="B66" s="2130" t="s">
        <v>2056</v>
      </c>
      <c r="C66" s="2038" t="s">
        <v>3393</v>
      </c>
      <c r="D66" s="1060">
        <f t="shared" si="12"/>
        <v>2.8E-3</v>
      </c>
      <c r="E66" s="740"/>
      <c r="F66" s="1809"/>
      <c r="G66" s="1058">
        <v>2.8E-3</v>
      </c>
      <c r="H66" s="1061" t="str">
        <f t="shared" si="13"/>
        <v>——</v>
      </c>
      <c r="I66" s="3360">
        <v>0.06</v>
      </c>
      <c r="J66" s="1059">
        <f t="shared" si="14"/>
        <v>5.5999999999999999E-3</v>
      </c>
      <c r="K66" s="1059">
        <f t="shared" si="15"/>
        <v>2.8E-3</v>
      </c>
      <c r="L66" s="1059">
        <v>0</v>
      </c>
      <c r="M66" s="1059">
        <f t="shared" si="16"/>
        <v>-2.8E-3</v>
      </c>
      <c r="N66" s="1059">
        <f t="shared" si="16"/>
        <v>-5.5999999999999999E-3</v>
      </c>
      <c r="AA66" s="1115"/>
      <c r="AB66" s="1115"/>
      <c r="AC66" s="1115"/>
      <c r="AD66" s="1115"/>
      <c r="AE66" s="1115"/>
      <c r="AF66" s="1115"/>
      <c r="AG66" s="1115"/>
      <c r="AH66" s="1115"/>
      <c r="AI66" s="1115"/>
      <c r="AJ66" s="1115"/>
      <c r="AK66" s="1115"/>
    </row>
    <row r="67" spans="1:37" s="1114" customFormat="1" ht="25.5">
      <c r="A67" s="2124" t="s">
        <v>2057</v>
      </c>
      <c r="B67" s="1321" t="str">
        <f>估价对象房地状况!C21</f>
        <v>估价对象所在区域公共配套设施齐备情况</v>
      </c>
      <c r="C67" s="2038" t="s">
        <v>3393</v>
      </c>
      <c r="D67" s="1060">
        <f t="shared" si="12"/>
        <v>2.8E-3</v>
      </c>
      <c r="E67" s="740"/>
      <c r="F67" s="1809"/>
      <c r="G67" s="1058">
        <v>2.8E-3</v>
      </c>
      <c r="H67" s="1061" t="str">
        <f t="shared" si="13"/>
        <v>——</v>
      </c>
      <c r="I67" s="3360">
        <v>0.06</v>
      </c>
      <c r="J67" s="1059">
        <f t="shared" si="14"/>
        <v>5.5999999999999999E-3</v>
      </c>
      <c r="K67" s="1059">
        <f t="shared" si="15"/>
        <v>2.8E-3</v>
      </c>
      <c r="L67" s="1059">
        <v>0</v>
      </c>
      <c r="M67" s="1059">
        <f t="shared" si="16"/>
        <v>-2.8E-3</v>
      </c>
      <c r="N67" s="1059">
        <f t="shared" si="16"/>
        <v>-5.5999999999999999E-3</v>
      </c>
      <c r="AA67" s="1115"/>
      <c r="AB67" s="1115"/>
      <c r="AC67" s="1115"/>
      <c r="AD67" s="1115"/>
      <c r="AE67" s="1115"/>
      <c r="AF67" s="1115"/>
      <c r="AG67" s="1115"/>
      <c r="AH67" s="1115"/>
      <c r="AI67" s="1115"/>
      <c r="AJ67" s="1115"/>
      <c r="AK67" s="1115"/>
    </row>
    <row r="68" spans="1:37" s="1114" customFormat="1" ht="25.5">
      <c r="A68" s="2124" t="s">
        <v>2058</v>
      </c>
      <c r="B68" s="1321" t="str">
        <f>估价对象房地状况!C22</f>
        <v>估价对象所在区域基础设施水平</v>
      </c>
      <c r="C68" s="2038" t="s">
        <v>3394</v>
      </c>
      <c r="D68" s="1060">
        <f t="shared" si="12"/>
        <v>8.3999999999999995E-3</v>
      </c>
      <c r="E68" s="740"/>
      <c r="F68" s="1809"/>
      <c r="G68" s="1058">
        <v>4.1999999999999997E-3</v>
      </c>
      <c r="H68" s="1061" t="str">
        <f t="shared" si="13"/>
        <v>——</v>
      </c>
      <c r="I68" s="3360">
        <v>0.09</v>
      </c>
      <c r="J68" s="1059">
        <f t="shared" si="14"/>
        <v>8.3999999999999995E-3</v>
      </c>
      <c r="K68" s="1059">
        <f t="shared" si="15"/>
        <v>4.1999999999999997E-3</v>
      </c>
      <c r="L68" s="1059">
        <v>0</v>
      </c>
      <c r="M68" s="1059">
        <f t="shared" si="16"/>
        <v>-4.1999999999999997E-3</v>
      </c>
      <c r="N68" s="1059">
        <f t="shared" si="16"/>
        <v>-8.3999999999999995E-3</v>
      </c>
      <c r="AA68" s="1115"/>
      <c r="AB68" s="1115"/>
      <c r="AC68" s="1115"/>
      <c r="AD68" s="1115"/>
      <c r="AE68" s="1115"/>
      <c r="AF68" s="1115"/>
      <c r="AG68" s="1115"/>
      <c r="AH68" s="1115"/>
      <c r="AI68" s="1115"/>
      <c r="AJ68" s="1115"/>
      <c r="AK68" s="1115"/>
    </row>
    <row r="69" spans="1:37" s="1114" customFormat="1" ht="26.25" thickBot="1">
      <c r="A69" s="2132" t="s">
        <v>2059</v>
      </c>
      <c r="B69" s="2134" t="str">
        <f>估价对象房地状况!C20</f>
        <v>区域自然环境：；人文环境；综合评价环境状况一般</v>
      </c>
      <c r="C69" s="2038" t="s">
        <v>3393</v>
      </c>
      <c r="D69" s="1060">
        <f t="shared" si="12"/>
        <v>3.3E-3</v>
      </c>
      <c r="E69" s="741"/>
      <c r="F69" s="1809"/>
      <c r="G69" s="1058">
        <v>3.3E-3</v>
      </c>
      <c r="H69" s="1061" t="str">
        <f t="shared" si="13"/>
        <v>——</v>
      </c>
      <c r="I69" s="3361">
        <v>7.0000000000000007E-2</v>
      </c>
      <c r="J69" s="1059">
        <f t="shared" si="14"/>
        <v>6.6E-3</v>
      </c>
      <c r="K69" s="1059">
        <f t="shared" si="15"/>
        <v>3.3E-3</v>
      </c>
      <c r="L69" s="1059">
        <v>0</v>
      </c>
      <c r="M69" s="1059">
        <f t="shared" si="16"/>
        <v>-3.3E-3</v>
      </c>
      <c r="N69" s="1059">
        <f t="shared" si="16"/>
        <v>-6.6E-3</v>
      </c>
      <c r="AA69" s="1115"/>
      <c r="AB69" s="1115"/>
      <c r="AC69" s="1115"/>
      <c r="AD69" s="1115"/>
      <c r="AE69" s="1115"/>
      <c r="AF69" s="1115"/>
      <c r="AG69" s="1115"/>
      <c r="AH69" s="1115"/>
      <c r="AI69" s="1115"/>
      <c r="AJ69" s="1115"/>
      <c r="AK69" s="1115"/>
    </row>
    <row r="70" spans="1:37" s="1114" customFormat="1" ht="15">
      <c r="A70" s="2120" t="s">
        <v>2063</v>
      </c>
      <c r="B70" s="2121">
        <f>1+E72</f>
        <v>1</v>
      </c>
      <c r="C70" s="736"/>
      <c r="D70" s="736"/>
      <c r="E70" s="737"/>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2042</v>
      </c>
      <c r="B71" s="1346"/>
      <c r="C71" s="1346" t="s">
        <v>2044</v>
      </c>
      <c r="D71" s="1346" t="s">
        <v>2045</v>
      </c>
      <c r="E71" s="738" t="s">
        <v>2046</v>
      </c>
      <c r="F71" s="2125" t="s">
        <v>2061</v>
      </c>
      <c r="G71" s="1346" t="s">
        <v>310</v>
      </c>
      <c r="H71" s="2126" t="s">
        <v>2048</v>
      </c>
      <c r="I71" s="1346" t="s">
        <v>2049</v>
      </c>
      <c r="J71" s="552" t="s">
        <v>1720</v>
      </c>
      <c r="K71" s="552" t="s">
        <v>1721</v>
      </c>
      <c r="L71" s="552" t="s">
        <v>1722</v>
      </c>
      <c r="M71" s="552" t="s">
        <v>1723</v>
      </c>
      <c r="N71" s="552" t="s">
        <v>1724</v>
      </c>
      <c r="AA71" s="1115"/>
      <c r="AB71" s="1115"/>
      <c r="AC71" s="1115"/>
      <c r="AD71" s="1115"/>
      <c r="AE71" s="1115"/>
      <c r="AF71" s="1115"/>
      <c r="AG71" s="1115"/>
      <c r="AH71" s="1115"/>
      <c r="AI71" s="1115"/>
      <c r="AJ71" s="1115"/>
      <c r="AK71" s="1115"/>
    </row>
    <row r="72" spans="1:37" s="1114" customFormat="1" ht="51">
      <c r="A72" s="2124" t="s">
        <v>2064</v>
      </c>
      <c r="B72" s="2127" t="str">
        <f>估价对象房地状况!C15</f>
        <v>估价对象周边居住用地比例、居住小区规模和社区发展完善程度，综合评价居住社区成熟度一般</v>
      </c>
      <c r="C72" s="2038"/>
      <c r="D72" s="1060">
        <f t="shared" ref="D72:D80" si="17">SUMIF($J$71:$N$71,C72,J72:N72)</f>
        <v>0</v>
      </c>
      <c r="E72" s="739">
        <f>ROUND(SUM(D72:D80),4)</f>
        <v>0</v>
      </c>
      <c r="F72" s="1809"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4" t="s">
        <v>2051</v>
      </c>
      <c r="B73" s="2128" t="str">
        <f>估价对象房地状况!C18</f>
        <v>估价对象周边道路状况、公共交通通达情况、停车便捷程度，综合评价交通便捷度较好</v>
      </c>
      <c r="C73" s="2038"/>
      <c r="D73" s="1060">
        <f t="shared" si="17"/>
        <v>0</v>
      </c>
      <c r="E73" s="742"/>
      <c r="F73" s="1809"/>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2" t="s">
        <v>3270</v>
      </c>
      <c r="B74" s="2128">
        <f>估价对象房地状况!C19</f>
        <v>0</v>
      </c>
      <c r="C74" s="2038"/>
      <c r="D74" s="1060">
        <f t="shared" si="17"/>
        <v>0</v>
      </c>
      <c r="E74" s="742"/>
      <c r="F74" s="1809"/>
      <c r="G74" s="1058"/>
      <c r="H74" s="1061" t="str">
        <f t="shared" si="18"/>
        <v>——</v>
      </c>
      <c r="I74" s="3360">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2065</v>
      </c>
      <c r="B75" s="2128">
        <f>估价对象房地状况!C24</f>
        <v>0</v>
      </c>
      <c r="C75" s="2038"/>
      <c r="D75" s="1060">
        <f t="shared" si="17"/>
        <v>0</v>
      </c>
      <c r="E75" s="742"/>
      <c r="F75" s="1809"/>
      <c r="G75" s="1058"/>
      <c r="H75" s="1061" t="str">
        <f t="shared" si="18"/>
        <v>——</v>
      </c>
      <c r="I75" s="3360">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25.5">
      <c r="A76" s="2124" t="s">
        <v>2057</v>
      </c>
      <c r="B76" s="1321" t="str">
        <f>估价对象房地状况!C21</f>
        <v>估价对象所在区域公共配套设施齐备情况</v>
      </c>
      <c r="C76" s="2038"/>
      <c r="D76" s="1060">
        <f t="shared" si="17"/>
        <v>0</v>
      </c>
      <c r="E76" s="742"/>
      <c r="F76" s="1809"/>
      <c r="G76" s="1058"/>
      <c r="H76" s="1061" t="str">
        <f t="shared" si="18"/>
        <v>——</v>
      </c>
      <c r="I76" s="3360">
        <v>0.08</v>
      </c>
      <c r="J76" s="1059">
        <f t="shared" si="19"/>
        <v>0</v>
      </c>
      <c r="K76" s="1059">
        <f t="shared" si="20"/>
        <v>0</v>
      </c>
      <c r="L76" s="1059">
        <v>0</v>
      </c>
      <c r="M76" s="1059">
        <f t="shared" si="21"/>
        <v>0</v>
      </c>
      <c r="N76" s="1059">
        <f t="shared" si="21"/>
        <v>0</v>
      </c>
      <c r="O76" s="1114"/>
      <c r="P76" s="1114"/>
      <c r="Z76" s="1992"/>
      <c r="AA76" s="2047"/>
      <c r="AG76" s="1116"/>
      <c r="AK76" s="2047"/>
    </row>
    <row r="77" spans="1:37" ht="25.5">
      <c r="A77" s="2124" t="s">
        <v>2058</v>
      </c>
      <c r="B77" s="1321" t="str">
        <f>估价对象房地状况!C22</f>
        <v>估价对象所在区域基础设施水平</v>
      </c>
      <c r="C77" s="2038"/>
      <c r="D77" s="1060">
        <f t="shared" si="17"/>
        <v>0</v>
      </c>
      <c r="E77" s="742"/>
      <c r="F77" s="1809"/>
      <c r="G77" s="1058"/>
      <c r="H77" s="1061" t="str">
        <f t="shared" si="18"/>
        <v>——</v>
      </c>
      <c r="I77" s="3360">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2055</v>
      </c>
      <c r="B78" s="2130" t="s">
        <v>2056</v>
      </c>
      <c r="C78" s="2038"/>
      <c r="D78" s="1060">
        <f t="shared" si="17"/>
        <v>0</v>
      </c>
      <c r="E78" s="742"/>
      <c r="F78" s="1809"/>
      <c r="G78" s="1058"/>
      <c r="H78" s="1061" t="str">
        <f t="shared" si="18"/>
        <v>——</v>
      </c>
      <c r="I78" s="3360">
        <v>0.05</v>
      </c>
      <c r="J78" s="1059">
        <f t="shared" si="19"/>
        <v>0</v>
      </c>
      <c r="K78" s="1059">
        <f t="shared" si="20"/>
        <v>0</v>
      </c>
      <c r="L78" s="1059">
        <v>0</v>
      </c>
      <c r="M78" s="1059">
        <f t="shared" si="21"/>
        <v>0</v>
      </c>
      <c r="N78" s="1059">
        <f t="shared" si="21"/>
        <v>0</v>
      </c>
      <c r="O78" s="1991"/>
      <c r="P78" s="1991"/>
      <c r="Z78" s="1992"/>
      <c r="AA78" s="2047"/>
      <c r="AG78" s="1116"/>
      <c r="AK78" s="2047"/>
    </row>
    <row r="79" spans="1:37" ht="25.5">
      <c r="A79" s="2124" t="s">
        <v>2059</v>
      </c>
      <c r="B79" s="2127" t="str">
        <f>估价对象房地状况!C20</f>
        <v>区域自然环境：；人文环境；综合评价环境状况一般</v>
      </c>
      <c r="C79" s="2038"/>
      <c r="D79" s="1060">
        <f t="shared" si="17"/>
        <v>0</v>
      </c>
      <c r="E79" s="742"/>
      <c r="F79" s="1809"/>
      <c r="G79" s="1058"/>
      <c r="H79" s="1061" t="str">
        <f t="shared" si="18"/>
        <v>——</v>
      </c>
      <c r="I79" s="3360">
        <v>0.12</v>
      </c>
      <c r="J79" s="1059">
        <f t="shared" si="19"/>
        <v>0</v>
      </c>
      <c r="K79" s="1059">
        <f t="shared" si="20"/>
        <v>0</v>
      </c>
      <c r="L79" s="1059">
        <v>0</v>
      </c>
      <c r="M79" s="1059">
        <f t="shared" si="21"/>
        <v>0</v>
      </c>
      <c r="N79" s="1059">
        <f t="shared" si="21"/>
        <v>0</v>
      </c>
      <c r="Z79" s="1992"/>
      <c r="AA79" s="2047"/>
      <c r="AG79" s="1116"/>
      <c r="AK79" s="2047"/>
    </row>
    <row r="80" spans="1:37" ht="24.75" thickBot="1">
      <c r="A80" s="2132" t="s">
        <v>2066</v>
      </c>
      <c r="B80" s="2136"/>
      <c r="C80" s="2038"/>
      <c r="D80" s="1060">
        <f t="shared" si="17"/>
        <v>0</v>
      </c>
      <c r="E80" s="743"/>
      <c r="F80" s="1809"/>
      <c r="G80" s="1058"/>
      <c r="H80" s="1061" t="str">
        <f t="shared" si="18"/>
        <v>——</v>
      </c>
      <c r="I80" s="3361">
        <v>0.05</v>
      </c>
      <c r="J80" s="1059">
        <f t="shared" si="19"/>
        <v>0</v>
      </c>
      <c r="K80" s="1059">
        <f t="shared" si="20"/>
        <v>0</v>
      </c>
      <c r="L80" s="1059">
        <v>0</v>
      </c>
      <c r="M80" s="1059">
        <f t="shared" si="21"/>
        <v>0</v>
      </c>
      <c r="N80" s="1059">
        <f t="shared" si="21"/>
        <v>0</v>
      </c>
      <c r="Z80" s="1992"/>
      <c r="AA80" s="2047"/>
      <c r="AG80" s="1116"/>
      <c r="AK80" s="2047"/>
    </row>
    <row r="81" spans="1:37" ht="15">
      <c r="A81" s="2120" t="s">
        <v>2067</v>
      </c>
      <c r="B81" s="2121">
        <f>1+E83</f>
        <v>1.0314000000000001</v>
      </c>
      <c r="C81" s="736"/>
      <c r="D81" s="736"/>
      <c r="E81" s="737"/>
      <c r="F81" s="2123"/>
      <c r="G81" s="3"/>
      <c r="H81" s="3"/>
      <c r="I81" s="3"/>
      <c r="J81" s="4"/>
      <c r="K81" s="4"/>
      <c r="L81" s="4"/>
      <c r="M81" s="4"/>
      <c r="N81" s="4"/>
      <c r="Z81" s="1992"/>
      <c r="AA81" s="2047"/>
      <c r="AG81" s="1116"/>
      <c r="AK81" s="2047"/>
    </row>
    <row r="82" spans="1:37" ht="24.75">
      <c r="A82" s="2124" t="s">
        <v>2042</v>
      </c>
      <c r="B82" s="1346"/>
      <c r="C82" s="1346" t="s">
        <v>2044</v>
      </c>
      <c r="D82" s="1346" t="s">
        <v>2045</v>
      </c>
      <c r="E82" s="738" t="s">
        <v>2046</v>
      </c>
      <c r="F82" s="2125" t="s">
        <v>2061</v>
      </c>
      <c r="G82" s="1346" t="s">
        <v>310</v>
      </c>
      <c r="H82" s="2126" t="s">
        <v>2048</v>
      </c>
      <c r="I82" s="1346" t="s">
        <v>2049</v>
      </c>
      <c r="J82" s="552" t="s">
        <v>1720</v>
      </c>
      <c r="K82" s="552" t="s">
        <v>1721</v>
      </c>
      <c r="L82" s="552" t="s">
        <v>1722</v>
      </c>
      <c r="M82" s="552" t="s">
        <v>1723</v>
      </c>
      <c r="N82" s="552" t="s">
        <v>1724</v>
      </c>
      <c r="Z82" s="1992"/>
      <c r="AA82" s="2047"/>
      <c r="AG82" s="1116"/>
      <c r="AK82" s="2047"/>
    </row>
    <row r="83" spans="1:37" ht="38.25">
      <c r="A83" s="2124" t="s">
        <v>2068</v>
      </c>
      <c r="B83" s="2128" t="str">
        <f>估价对象房地状况!G15</f>
        <v>估价对象位于XX开发区，园区建设成熟度XX，产业集聚程度XX</v>
      </c>
      <c r="C83" s="2038" t="s">
        <v>3393</v>
      </c>
      <c r="D83" s="1060">
        <f t="shared" ref="D83:D90" si="22">SUMIF($J$82:$N$82,C83,J83:N83)</f>
        <v>1.67E-2</v>
      </c>
      <c r="E83" s="739">
        <f>ROUND(SUM(D83:D90),4)</f>
        <v>3.1399999999999997E-2</v>
      </c>
      <c r="F83" s="1809" t="str">
        <f>IF(E2="工业",SUMIF(L1:L12,G2,N1:N12),"——")</f>
        <v>——</v>
      </c>
      <c r="G83" s="1058">
        <v>1.67E-2</v>
      </c>
      <c r="H83" s="1061" t="str">
        <f t="shared" ref="H83:H90" si="23">IFERROR(ROUNDDOWN($F$83*I83/2,4),"——")</f>
        <v>——</v>
      </c>
      <c r="I83" s="3360">
        <v>0.26</v>
      </c>
      <c r="J83" s="1059">
        <f t="shared" ref="J83:J90" si="24">K83+$G83</f>
        <v>3.3399999999999999E-2</v>
      </c>
      <c r="K83" s="1059">
        <f t="shared" ref="K83:K90" si="25">$L83+$G83</f>
        <v>1.67E-2</v>
      </c>
      <c r="L83" s="1059">
        <v>0</v>
      </c>
      <c r="M83" s="1059">
        <f t="shared" ref="M83:N90" si="26">L83-$G83</f>
        <v>-1.67E-2</v>
      </c>
      <c r="N83" s="1059">
        <f t="shared" si="26"/>
        <v>-3.3399999999999999E-2</v>
      </c>
      <c r="Z83" s="1992"/>
      <c r="AA83" s="2047"/>
      <c r="AG83" s="1116"/>
      <c r="AK83" s="2047"/>
    </row>
    <row r="84" spans="1:37" ht="38.25">
      <c r="A84" s="2124" t="s">
        <v>2051</v>
      </c>
      <c r="B84" s="2128" t="str">
        <f>估价对象房地状况!G16</f>
        <v>估价对象周边道路状况、公共交通通达情况、停车便捷程度，综合评价交通便捷度较好</v>
      </c>
      <c r="C84" s="2038" t="s">
        <v>3392</v>
      </c>
      <c r="D84" s="1060">
        <f t="shared" si="22"/>
        <v>0</v>
      </c>
      <c r="E84" s="742"/>
      <c r="F84" s="1809"/>
      <c r="G84" s="1058">
        <v>1.9300000000000001E-2</v>
      </c>
      <c r="H84" s="1061" t="str">
        <f t="shared" si="23"/>
        <v>——</v>
      </c>
      <c r="I84" s="3360">
        <v>0.3</v>
      </c>
      <c r="J84" s="1059">
        <f t="shared" si="24"/>
        <v>3.8600000000000002E-2</v>
      </c>
      <c r="K84" s="1059">
        <f t="shared" si="25"/>
        <v>1.9300000000000001E-2</v>
      </c>
      <c r="L84" s="1059">
        <v>0</v>
      </c>
      <c r="M84" s="1059">
        <f t="shared" si="26"/>
        <v>-1.9300000000000001E-2</v>
      </c>
      <c r="N84" s="1059">
        <f t="shared" si="26"/>
        <v>-3.8600000000000002E-2</v>
      </c>
      <c r="Z84" s="1992"/>
      <c r="AA84" s="2047"/>
      <c r="AG84" s="1116"/>
      <c r="AK84" s="2047"/>
    </row>
    <row r="85" spans="1:37" ht="36">
      <c r="A85" s="3362" t="s">
        <v>3270</v>
      </c>
      <c r="B85" s="2128">
        <f>估价对象房地状况!G17</f>
        <v>0</v>
      </c>
      <c r="C85" s="2038" t="s">
        <v>3393</v>
      </c>
      <c r="D85" s="1060">
        <f t="shared" si="22"/>
        <v>6.4000000000000003E-3</v>
      </c>
      <c r="E85" s="742"/>
      <c r="F85" s="1809"/>
      <c r="G85" s="1058">
        <v>6.4000000000000003E-3</v>
      </c>
      <c r="H85" s="1061" t="str">
        <f t="shared" si="23"/>
        <v>——</v>
      </c>
      <c r="I85" s="3360">
        <v>0.1</v>
      </c>
      <c r="J85" s="1059">
        <f t="shared" si="24"/>
        <v>1.2800000000000001E-2</v>
      </c>
      <c r="K85" s="1059">
        <f t="shared" si="25"/>
        <v>6.4000000000000003E-3</v>
      </c>
      <c r="L85" s="1059">
        <v>0</v>
      </c>
      <c r="M85" s="1059">
        <f t="shared" si="26"/>
        <v>-6.4000000000000003E-3</v>
      </c>
      <c r="N85" s="1059">
        <f t="shared" si="26"/>
        <v>-1.2800000000000001E-2</v>
      </c>
      <c r="Z85" s="1992"/>
      <c r="AA85" s="2047"/>
      <c r="AG85" s="1116"/>
      <c r="AK85" s="2047"/>
    </row>
    <row r="86" spans="1:37" ht="14.25">
      <c r="A86" s="2124" t="s">
        <v>2065</v>
      </c>
      <c r="B86" s="2128">
        <f>估价对象房地状况!G22</f>
        <v>0</v>
      </c>
      <c r="C86" s="2038" t="s">
        <v>3415</v>
      </c>
      <c r="D86" s="1060">
        <f t="shared" si="22"/>
        <v>-3.2000000000000002E-3</v>
      </c>
      <c r="E86" s="742"/>
      <c r="F86" s="1809"/>
      <c r="G86" s="1058">
        <v>3.2000000000000002E-3</v>
      </c>
      <c r="H86" s="1061" t="str">
        <f t="shared" si="23"/>
        <v>——</v>
      </c>
      <c r="I86" s="3360">
        <v>0.05</v>
      </c>
      <c r="J86" s="1059">
        <f t="shared" si="24"/>
        <v>6.4000000000000003E-3</v>
      </c>
      <c r="K86" s="1059">
        <f t="shared" si="25"/>
        <v>3.2000000000000002E-3</v>
      </c>
      <c r="L86" s="1059">
        <v>0</v>
      </c>
      <c r="M86" s="1059">
        <f t="shared" si="26"/>
        <v>-3.2000000000000002E-3</v>
      </c>
      <c r="N86" s="1059">
        <f t="shared" si="26"/>
        <v>-6.4000000000000003E-3</v>
      </c>
      <c r="Z86" s="1992"/>
      <c r="AA86" s="2047"/>
      <c r="AG86" s="1116"/>
      <c r="AK86" s="2047"/>
    </row>
    <row r="87" spans="1:37" ht="25.5">
      <c r="A87" s="2124" t="s">
        <v>2057</v>
      </c>
      <c r="B87" s="1321" t="str">
        <f>估价对象房地状况!G19</f>
        <v>估价对象所在区域公共配套设施齐备情况</v>
      </c>
      <c r="C87" s="2038" t="s">
        <v>3392</v>
      </c>
      <c r="D87" s="1060">
        <f t="shared" si="22"/>
        <v>0</v>
      </c>
      <c r="E87" s="742"/>
      <c r="F87" s="1809"/>
      <c r="G87" s="1058">
        <v>3.8E-3</v>
      </c>
      <c r="H87" s="1061" t="str">
        <f t="shared" si="23"/>
        <v>——</v>
      </c>
      <c r="I87" s="3360">
        <v>0.06</v>
      </c>
      <c r="J87" s="1059">
        <f t="shared" si="24"/>
        <v>7.6E-3</v>
      </c>
      <c r="K87" s="1059">
        <f t="shared" si="25"/>
        <v>3.8E-3</v>
      </c>
      <c r="L87" s="1059">
        <v>0</v>
      </c>
      <c r="M87" s="1059">
        <f t="shared" si="26"/>
        <v>-3.8E-3</v>
      </c>
      <c r="N87" s="1059">
        <f t="shared" si="26"/>
        <v>-7.6E-3</v>
      </c>
    </row>
    <row r="88" spans="1:37" ht="25.5">
      <c r="A88" s="2124" t="s">
        <v>2058</v>
      </c>
      <c r="B88" s="1321" t="str">
        <f>估价对象房地状况!G20</f>
        <v>估价对象所在区域基础设施水平</v>
      </c>
      <c r="C88" s="2038" t="s">
        <v>3393</v>
      </c>
      <c r="D88" s="1060">
        <f t="shared" si="22"/>
        <v>7.7000000000000002E-3</v>
      </c>
      <c r="E88" s="742"/>
      <c r="F88" s="1809"/>
      <c r="G88" s="1058">
        <v>7.7000000000000002E-3</v>
      </c>
      <c r="H88" s="1061" t="str">
        <f t="shared" si="23"/>
        <v>——</v>
      </c>
      <c r="I88" s="3360">
        <v>0.12</v>
      </c>
      <c r="J88" s="1059">
        <f t="shared" si="24"/>
        <v>1.54E-2</v>
      </c>
      <c r="K88" s="1059">
        <f t="shared" si="25"/>
        <v>7.7000000000000002E-3</v>
      </c>
      <c r="L88" s="1059">
        <v>0</v>
      </c>
      <c r="M88" s="1059">
        <f t="shared" si="26"/>
        <v>-7.7000000000000002E-3</v>
      </c>
      <c r="N88" s="1059">
        <f t="shared" si="26"/>
        <v>-1.54E-2</v>
      </c>
    </row>
    <row r="89" spans="1:37" ht="24">
      <c r="A89" s="2124" t="s">
        <v>2055</v>
      </c>
      <c r="B89" s="2130" t="s">
        <v>2069</v>
      </c>
      <c r="C89" s="2038" t="s">
        <v>3393</v>
      </c>
      <c r="D89" s="1060">
        <f t="shared" si="22"/>
        <v>3.8E-3</v>
      </c>
      <c r="E89" s="742"/>
      <c r="F89" s="1809"/>
      <c r="G89" s="1058">
        <v>3.8E-3</v>
      </c>
      <c r="H89" s="1061" t="str">
        <f t="shared" si="23"/>
        <v>——</v>
      </c>
      <c r="I89" s="3360">
        <v>0.06</v>
      </c>
      <c r="J89" s="1059">
        <f t="shared" si="24"/>
        <v>7.6E-3</v>
      </c>
      <c r="K89" s="1059">
        <f t="shared" si="25"/>
        <v>3.8E-3</v>
      </c>
      <c r="L89" s="1059">
        <v>0</v>
      </c>
      <c r="M89" s="1059">
        <f t="shared" si="26"/>
        <v>-3.8E-3</v>
      </c>
      <c r="N89" s="1059">
        <f t="shared" si="26"/>
        <v>-7.6E-3</v>
      </c>
    </row>
    <row r="90" spans="1:37" ht="39" thickBot="1">
      <c r="A90" s="2132" t="s">
        <v>2070</v>
      </c>
      <c r="B90" s="2137" t="str">
        <f>估价对象房地状况!G18</f>
        <v>该园区内是否有污染型企业，绿化情况，卫生条件，整体环境状况判断</v>
      </c>
      <c r="C90" s="2038" t="s">
        <v>3392</v>
      </c>
      <c r="D90" s="1060">
        <f t="shared" si="22"/>
        <v>0</v>
      </c>
      <c r="E90" s="743"/>
      <c r="F90" s="1809"/>
      <c r="G90" s="1058">
        <v>3.2000000000000002E-3</v>
      </c>
      <c r="H90" s="1061" t="str">
        <f t="shared" si="23"/>
        <v>——</v>
      </c>
      <c r="I90" s="3361">
        <v>0.05</v>
      </c>
      <c r="J90" s="1059">
        <f t="shared" si="24"/>
        <v>6.4000000000000003E-3</v>
      </c>
      <c r="K90" s="1059">
        <f t="shared" si="25"/>
        <v>3.2000000000000002E-3</v>
      </c>
      <c r="L90" s="1059">
        <v>0</v>
      </c>
      <c r="M90" s="1059">
        <f t="shared" si="26"/>
        <v>-3.2000000000000002E-3</v>
      </c>
      <c r="N90" s="1059">
        <f t="shared" si="26"/>
        <v>-6.4000000000000003E-3</v>
      </c>
    </row>
    <row r="91" spans="1:37" ht="15">
      <c r="A91" s="3370" t="s">
        <v>2614</v>
      </c>
      <c r="B91" s="3371">
        <f>1+E93</f>
        <v>1</v>
      </c>
      <c r="C91" s="3364"/>
      <c r="D91" s="3365"/>
      <c r="E91" s="1809"/>
      <c r="F91" s="1809"/>
      <c r="G91" s="3366"/>
      <c r="H91" s="3367"/>
      <c r="I91" s="3368"/>
      <c r="J91" s="3369"/>
      <c r="K91" s="3369"/>
      <c r="L91" s="3369"/>
      <c r="M91" s="3369"/>
      <c r="N91" s="3369"/>
    </row>
    <row r="92" spans="1:37" ht="24.75">
      <c r="A92" s="3372" t="s">
        <v>2042</v>
      </c>
      <c r="B92" s="3359"/>
      <c r="C92" s="3359" t="s">
        <v>2044</v>
      </c>
      <c r="D92" s="3359" t="s">
        <v>2045</v>
      </c>
      <c r="E92" s="3341" t="s">
        <v>2046</v>
      </c>
      <c r="F92" s="3374" t="s">
        <v>3284</v>
      </c>
      <c r="G92" s="3359" t="s">
        <v>1987</v>
      </c>
      <c r="H92" s="3381" t="s">
        <v>3288</v>
      </c>
      <c r="I92" s="3359" t="s">
        <v>2049</v>
      </c>
      <c r="J92" s="3382" t="s">
        <v>1720</v>
      </c>
      <c r="K92" s="3382" t="s">
        <v>1721</v>
      </c>
      <c r="L92" s="3382" t="s">
        <v>1722</v>
      </c>
      <c r="M92" s="3382" t="s">
        <v>1723</v>
      </c>
      <c r="N92" s="3382" t="s">
        <v>1724</v>
      </c>
    </row>
    <row r="93" spans="1:37" ht="24">
      <c r="A93" s="3362" t="s">
        <v>3273</v>
      </c>
      <c r="B93" s="1301"/>
      <c r="C93" s="2038"/>
      <c r="D93" s="3359">
        <f>SUMIF($J$92:$N$92,C93,J93:N93)</f>
        <v>0</v>
      </c>
      <c r="E93" s="3375">
        <f>ROUND(SUM(D93:D101),4)</f>
        <v>0</v>
      </c>
      <c r="F93" s="1809"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2051</v>
      </c>
      <c r="B94" s="3363" t="str">
        <f>估价对象房地状况!C18</f>
        <v>估价对象周边道路状况、公共交通通达情况、停车便捷程度，综合评价交通便捷度较好</v>
      </c>
      <c r="C94" s="2038"/>
      <c r="D94" s="3359">
        <f t="shared" ref="D94:D101" si="30">SUMIF($J$60:$N$60,C94,J94:N94)</f>
        <v>0</v>
      </c>
      <c r="E94" s="3376"/>
      <c r="F94" s="1809"/>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3270</v>
      </c>
      <c r="B95" s="3363">
        <f>估价对象房地状况!C19</f>
        <v>0</v>
      </c>
      <c r="C95" s="2038"/>
      <c r="D95" s="3359">
        <f t="shared" si="30"/>
        <v>0</v>
      </c>
      <c r="E95" s="3376"/>
      <c r="F95" s="1809"/>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2052</v>
      </c>
      <c r="B96" s="3378" t="s">
        <v>3286</v>
      </c>
      <c r="C96" s="2038"/>
      <c r="D96" s="3359">
        <f t="shared" si="30"/>
        <v>0</v>
      </c>
      <c r="E96" s="3376"/>
      <c r="F96" s="1809"/>
      <c r="G96" s="3366"/>
      <c r="H96" s="3414" t="str">
        <f t="shared" si="31"/>
        <v>——</v>
      </c>
      <c r="I96" s="3360">
        <v>0.05</v>
      </c>
      <c r="J96" s="3338">
        <f t="shared" si="27"/>
        <v>0</v>
      </c>
      <c r="K96" s="3338">
        <f t="shared" si="28"/>
        <v>0</v>
      </c>
      <c r="L96" s="3338">
        <v>0</v>
      </c>
      <c r="M96" s="3338">
        <f t="shared" si="29"/>
        <v>0</v>
      </c>
      <c r="N96" s="3338">
        <f t="shared" si="29"/>
        <v>0</v>
      </c>
    </row>
    <row r="97" spans="1:14" ht="24">
      <c r="A97" s="3372" t="s">
        <v>2054</v>
      </c>
      <c r="B97" s="3363">
        <f>估价对象房地状况!C24</f>
        <v>0</v>
      </c>
      <c r="C97" s="2038"/>
      <c r="D97" s="3359">
        <f t="shared" si="30"/>
        <v>0</v>
      </c>
      <c r="E97" s="3376"/>
      <c r="F97" s="1809"/>
      <c r="G97" s="3366"/>
      <c r="H97" s="3414" t="str">
        <f t="shared" si="31"/>
        <v>——</v>
      </c>
      <c r="I97" s="3360">
        <v>0.05</v>
      </c>
      <c r="J97" s="3338">
        <f t="shared" si="27"/>
        <v>0</v>
      </c>
      <c r="K97" s="3338">
        <f t="shared" si="28"/>
        <v>0</v>
      </c>
      <c r="L97" s="3338">
        <v>0</v>
      </c>
      <c r="M97" s="3338">
        <f t="shared" si="29"/>
        <v>0</v>
      </c>
      <c r="N97" s="3338">
        <f t="shared" si="29"/>
        <v>0</v>
      </c>
    </row>
    <row r="98" spans="1:14" ht="24">
      <c r="A98" s="3372" t="s">
        <v>2055</v>
      </c>
      <c r="B98" s="3379" t="s">
        <v>3287</v>
      </c>
      <c r="C98" s="2038"/>
      <c r="D98" s="3359">
        <f t="shared" si="30"/>
        <v>0</v>
      </c>
      <c r="E98" s="3376"/>
      <c r="F98" s="1809"/>
      <c r="G98" s="3366"/>
      <c r="H98" s="3414" t="str">
        <f t="shared" si="31"/>
        <v>——</v>
      </c>
      <c r="I98" s="3360">
        <v>0.06</v>
      </c>
      <c r="J98" s="3338">
        <f t="shared" si="27"/>
        <v>0</v>
      </c>
      <c r="K98" s="3338">
        <f t="shared" si="28"/>
        <v>0</v>
      </c>
      <c r="L98" s="3338">
        <v>0</v>
      </c>
      <c r="M98" s="3338">
        <f t="shared" si="29"/>
        <v>0</v>
      </c>
      <c r="N98" s="3338">
        <f t="shared" si="29"/>
        <v>0</v>
      </c>
    </row>
    <row r="99" spans="1:14" ht="25.5">
      <c r="A99" s="3372" t="s">
        <v>2057</v>
      </c>
      <c r="B99" s="3363" t="str">
        <f>估价对象房地状况!C21</f>
        <v>估价对象所在区域公共配套设施齐备情况</v>
      </c>
      <c r="C99" s="2038"/>
      <c r="D99" s="3359">
        <f t="shared" si="30"/>
        <v>0</v>
      </c>
      <c r="E99" s="3376"/>
      <c r="F99" s="1809"/>
      <c r="G99" s="3366"/>
      <c r="H99" s="3414" t="str">
        <f t="shared" si="31"/>
        <v>——</v>
      </c>
      <c r="I99" s="3360">
        <v>0.06</v>
      </c>
      <c r="J99" s="3338">
        <f t="shared" si="27"/>
        <v>0</v>
      </c>
      <c r="K99" s="3338">
        <f t="shared" si="28"/>
        <v>0</v>
      </c>
      <c r="L99" s="3338">
        <v>0</v>
      </c>
      <c r="M99" s="3338">
        <f t="shared" si="29"/>
        <v>0</v>
      </c>
      <c r="N99" s="3338">
        <f t="shared" si="29"/>
        <v>0</v>
      </c>
    </row>
    <row r="100" spans="1:14" ht="25.5">
      <c r="A100" s="3372" t="s">
        <v>2058</v>
      </c>
      <c r="B100" s="3363" t="str">
        <f>估价对象房地状况!C22</f>
        <v>估价对象所在区域基础设施水平</v>
      </c>
      <c r="C100" s="2038"/>
      <c r="D100" s="3359">
        <f t="shared" si="30"/>
        <v>0</v>
      </c>
      <c r="E100" s="3376"/>
      <c r="F100" s="1809"/>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2059</v>
      </c>
      <c r="B101" s="3380" t="str">
        <f>估价对象房地状况!C20</f>
        <v>区域自然环境：；人文环境；综合评价环境状况一般</v>
      </c>
      <c r="C101" s="2038"/>
      <c r="D101" s="3359">
        <f t="shared" si="30"/>
        <v>0</v>
      </c>
      <c r="E101" s="3377"/>
      <c r="F101" s="1809"/>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01" t="s">
        <v>3295</v>
      </c>
      <c r="B103" s="3801"/>
      <c r="C103" s="3801"/>
      <c r="D103" s="3801"/>
      <c r="E103" s="3801"/>
      <c r="F103" s="3801"/>
      <c r="G103" s="3801"/>
      <c r="H103" s="3801"/>
      <c r="I103" s="3801"/>
      <c r="J103" s="3801"/>
      <c r="K103" s="3464"/>
      <c r="L103" s="3464"/>
      <c r="M103" s="3464"/>
      <c r="N103" s="3464"/>
    </row>
    <row r="104" spans="1:14">
      <c r="A104" s="3802" t="s">
        <v>3296</v>
      </c>
      <c r="B104" s="3802" t="s">
        <v>3297</v>
      </c>
      <c r="C104" s="3384" t="s">
        <v>3298</v>
      </c>
      <c r="D104" s="3385"/>
      <c r="E104" s="3385"/>
      <c r="F104" s="3385"/>
      <c r="G104" s="3385"/>
      <c r="H104" s="3385"/>
      <c r="I104" s="3385"/>
      <c r="J104" s="3386"/>
      <c r="K104" s="3387"/>
      <c r="L104" s="3387"/>
      <c r="M104" s="3387"/>
      <c r="N104" s="3387"/>
    </row>
    <row r="105" spans="1:14">
      <c r="A105" s="3802"/>
      <c r="B105" s="3802"/>
      <c r="C105" s="3465" t="s">
        <v>1959</v>
      </c>
      <c r="D105" s="3465" t="s">
        <v>1960</v>
      </c>
      <c r="E105" s="3465" t="s">
        <v>1961</v>
      </c>
      <c r="F105" s="3465" t="s">
        <v>1962</v>
      </c>
      <c r="G105" s="3465" t="s">
        <v>1963</v>
      </c>
      <c r="H105" s="3465" t="s">
        <v>1964</v>
      </c>
      <c r="I105" s="3465" t="s">
        <v>1965</v>
      </c>
      <c r="J105" s="3465" t="s">
        <v>1966</v>
      </c>
      <c r="K105" s="3465" t="s">
        <v>1967</v>
      </c>
      <c r="L105" s="3465" t="s">
        <v>1968</v>
      </c>
      <c r="M105" s="3465" t="s">
        <v>1969</v>
      </c>
      <c r="N105" s="3465" t="s">
        <v>1970</v>
      </c>
    </row>
    <row r="106" spans="1:14">
      <c r="A106" s="3803" t="s">
        <v>3311</v>
      </c>
      <c r="B106" s="3465">
        <v>1</v>
      </c>
      <c r="C106" s="3465">
        <v>1.5206</v>
      </c>
      <c r="D106" s="3465">
        <v>1.5206</v>
      </c>
      <c r="E106" s="3465">
        <v>1.5019</v>
      </c>
      <c r="F106" s="3465">
        <v>1.5019</v>
      </c>
      <c r="G106" s="3465">
        <v>1.5019</v>
      </c>
      <c r="H106" s="3465">
        <v>1.5019</v>
      </c>
      <c r="I106" s="3465">
        <v>1.5019</v>
      </c>
      <c r="J106" s="3465">
        <v>1.5418000000000001</v>
      </c>
      <c r="K106" s="3465">
        <v>1.5418000000000001</v>
      </c>
      <c r="L106" s="3465">
        <v>1.5418000000000001</v>
      </c>
      <c r="M106" s="3465">
        <v>1.5418000000000001</v>
      </c>
      <c r="N106" s="3465">
        <v>1.5418000000000001</v>
      </c>
    </row>
    <row r="107" spans="1:14">
      <c r="A107" s="3804"/>
      <c r="B107" s="3465">
        <v>2</v>
      </c>
      <c r="C107" s="3465">
        <v>1.2072000000000001</v>
      </c>
      <c r="D107" s="3465">
        <v>1.2072000000000001</v>
      </c>
      <c r="E107" s="3465">
        <v>1.1838</v>
      </c>
      <c r="F107" s="3465">
        <v>1.1838</v>
      </c>
      <c r="G107" s="3465">
        <v>1.1838</v>
      </c>
      <c r="H107" s="3465">
        <v>1.1838</v>
      </c>
      <c r="I107" s="3465">
        <v>1.1838</v>
      </c>
      <c r="J107" s="3465">
        <v>1.1883999999999999</v>
      </c>
      <c r="K107" s="3465">
        <v>1.1883999999999999</v>
      </c>
      <c r="L107" s="3465">
        <v>1.1883999999999999</v>
      </c>
      <c r="M107" s="3465">
        <v>1.1883999999999999</v>
      </c>
      <c r="N107" s="3465">
        <v>1.1883999999999999</v>
      </c>
    </row>
    <row r="108" spans="1:14">
      <c r="A108" s="3804"/>
      <c r="B108" s="3465">
        <v>3</v>
      </c>
      <c r="C108" s="3465">
        <v>1.0430999999999999</v>
      </c>
      <c r="D108" s="3465">
        <v>1.0430999999999999</v>
      </c>
      <c r="E108" s="3465">
        <v>1.0004999999999999</v>
      </c>
      <c r="F108" s="3465">
        <v>1.0004999999999999</v>
      </c>
      <c r="G108" s="3465">
        <v>1.0004999999999999</v>
      </c>
      <c r="H108" s="3465">
        <v>1.0004999999999999</v>
      </c>
      <c r="I108" s="3465">
        <v>1.0004999999999999</v>
      </c>
      <c r="J108" s="3465">
        <v>0.96940000000000004</v>
      </c>
      <c r="K108" s="3465">
        <v>0.96940000000000004</v>
      </c>
      <c r="L108" s="3465">
        <v>0.96940000000000004</v>
      </c>
      <c r="M108" s="3465">
        <v>0.96940000000000004</v>
      </c>
      <c r="N108" s="3465">
        <v>0.96940000000000004</v>
      </c>
    </row>
    <row r="109" spans="1:14">
      <c r="A109" s="3804"/>
      <c r="B109" s="3465">
        <v>4</v>
      </c>
      <c r="C109" s="3465">
        <v>0.94389999999999996</v>
      </c>
      <c r="D109" s="3465">
        <v>0.94389999999999996</v>
      </c>
      <c r="E109" s="3465">
        <v>0.88239999999999996</v>
      </c>
      <c r="F109" s="3465">
        <v>0.88239999999999996</v>
      </c>
      <c r="G109" s="3465">
        <v>0.88239999999999996</v>
      </c>
      <c r="H109" s="3465">
        <v>0.88239999999999996</v>
      </c>
      <c r="I109" s="3465">
        <v>0.88239999999999996</v>
      </c>
      <c r="J109" s="3465">
        <v>0.82299999999999995</v>
      </c>
      <c r="K109" s="3465">
        <v>0.82299999999999995</v>
      </c>
      <c r="L109" s="3465">
        <v>0.82299999999999995</v>
      </c>
      <c r="M109" s="3465">
        <v>0.82299999999999995</v>
      </c>
      <c r="N109" s="3465">
        <v>0.82299999999999995</v>
      </c>
    </row>
    <row r="110" spans="1:14">
      <c r="A110" s="3804"/>
      <c r="B110" s="3465">
        <v>5</v>
      </c>
      <c r="C110" s="3465">
        <v>0.89959999999999996</v>
      </c>
      <c r="D110" s="3465">
        <v>0.89959999999999996</v>
      </c>
      <c r="E110" s="3465">
        <v>0.84799999999999998</v>
      </c>
      <c r="F110" s="3465">
        <v>0.84799999999999998</v>
      </c>
      <c r="G110" s="3465">
        <v>0.84799999999999998</v>
      </c>
      <c r="H110" s="3465">
        <v>0.84799999999999998</v>
      </c>
      <c r="I110" s="3465">
        <v>0.84799999999999998</v>
      </c>
      <c r="J110" s="3465">
        <v>0.74980000000000002</v>
      </c>
      <c r="K110" s="3465">
        <v>0.74980000000000002</v>
      </c>
      <c r="L110" s="3465">
        <v>0.74980000000000002</v>
      </c>
      <c r="M110" s="3465">
        <v>0.74980000000000002</v>
      </c>
      <c r="N110" s="3465">
        <v>0.74980000000000002</v>
      </c>
    </row>
    <row r="111" spans="1:14">
      <c r="A111" s="3804"/>
      <c r="B111" s="3465" t="s">
        <v>3269</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05"/>
      <c r="B112" s="3465">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06" t="s">
        <v>3312</v>
      </c>
      <c r="B113" s="3806"/>
      <c r="C113" s="3806"/>
      <c r="D113" s="3806"/>
      <c r="E113" s="3806"/>
      <c r="F113" s="3806"/>
      <c r="G113" s="3806"/>
      <c r="H113" s="3806"/>
      <c r="I113" s="3806"/>
      <c r="J113" s="3806"/>
      <c r="K113" s="3462"/>
      <c r="L113" s="3462"/>
      <c r="M113" s="3462"/>
      <c r="N113" s="3462"/>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1.99</v>
      </c>
      <c r="C116" s="3393" t="s">
        <v>3314</v>
      </c>
      <c r="D116" s="3394">
        <f>SUMPRODUCT((A118:A122=F116)*(B117:M117=H116)*B118:M122)</f>
        <v>0</v>
      </c>
      <c r="E116" s="1994" t="s">
        <v>1934</v>
      </c>
      <c r="F116" s="3395" t="str">
        <f>E2</f>
        <v>商业</v>
      </c>
      <c r="G116" s="1994" t="s">
        <v>1935</v>
      </c>
      <c r="H116" s="3395">
        <f>G2</f>
        <v>0</v>
      </c>
      <c r="I116" s="1994"/>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1988</v>
      </c>
      <c r="B118" s="3381">
        <f>ROUND(0.9968-0.011*B116,4)</f>
        <v>0.97489999999999999</v>
      </c>
      <c r="C118" s="3381">
        <f>B118</f>
        <v>0.97489999999999999</v>
      </c>
      <c r="D118" s="3381">
        <f>ROUND(0.949-0.014*B116,4)</f>
        <v>0.92110000000000003</v>
      </c>
      <c r="E118" s="3381">
        <f>D118</f>
        <v>0.92110000000000003</v>
      </c>
      <c r="F118" s="3381">
        <f>E118</f>
        <v>0.92110000000000003</v>
      </c>
      <c r="G118" s="3381">
        <f>F118</f>
        <v>0.92110000000000003</v>
      </c>
      <c r="H118" s="3381">
        <f>G118</f>
        <v>0.92110000000000003</v>
      </c>
      <c r="I118" s="3381">
        <f>ROUND(0.8486-0.018*B116,4)</f>
        <v>0.81279999999999997</v>
      </c>
      <c r="J118" s="3381">
        <f t="shared" ref="J118:M122" si="35">I118</f>
        <v>0.81279999999999997</v>
      </c>
      <c r="K118" s="3381">
        <f t="shared" si="35"/>
        <v>0.81279999999999997</v>
      </c>
      <c r="L118" s="3381">
        <f t="shared" si="35"/>
        <v>0.81279999999999997</v>
      </c>
      <c r="M118" s="3404">
        <f t="shared" si="35"/>
        <v>0.81279999999999997</v>
      </c>
      <c r="N118" s="3391"/>
    </row>
    <row r="119" spans="1:14">
      <c r="A119" s="3403" t="s">
        <v>1989</v>
      </c>
      <c r="B119" s="3381">
        <f>ROUND(0.993-0.0112*B116,4)</f>
        <v>0.97070000000000001</v>
      </c>
      <c r="C119" s="3381">
        <f>B119</f>
        <v>0.97070000000000001</v>
      </c>
      <c r="D119" s="3381">
        <f>ROUND(0.9415-0.0142*B116,4)</f>
        <v>0.91320000000000001</v>
      </c>
      <c r="E119" s="3381">
        <f t="shared" ref="E119:H120" si="36">D119</f>
        <v>0.91320000000000001</v>
      </c>
      <c r="F119" s="3381">
        <f t="shared" si="36"/>
        <v>0.91320000000000001</v>
      </c>
      <c r="G119" s="3381">
        <f t="shared" si="36"/>
        <v>0.91320000000000001</v>
      </c>
      <c r="H119" s="3381">
        <f t="shared" si="36"/>
        <v>0.91320000000000001</v>
      </c>
      <c r="I119" s="3381">
        <f>ROUND(0.838-0.0182*B116,4)</f>
        <v>0.80179999999999996</v>
      </c>
      <c r="J119" s="3381">
        <f t="shared" si="35"/>
        <v>0.80179999999999996</v>
      </c>
      <c r="K119" s="3381">
        <f t="shared" si="35"/>
        <v>0.80179999999999996</v>
      </c>
      <c r="L119" s="3381">
        <f t="shared" si="35"/>
        <v>0.80179999999999996</v>
      </c>
      <c r="M119" s="3404">
        <f t="shared" si="35"/>
        <v>0.80179999999999996</v>
      </c>
      <c r="N119" s="3391"/>
    </row>
    <row r="120" spans="1:14">
      <c r="A120" s="3403" t="s">
        <v>1990</v>
      </c>
      <c r="B120" s="3381">
        <f>ROUND(0.9448-0.0115*B116,4)</f>
        <v>0.92190000000000005</v>
      </c>
      <c r="C120" s="3381">
        <f>B120</f>
        <v>0.92190000000000005</v>
      </c>
      <c r="D120" s="3381">
        <f>ROUND(0.937-0.0145*B116,4)</f>
        <v>0.90810000000000002</v>
      </c>
      <c r="E120" s="3381">
        <f t="shared" si="36"/>
        <v>0.90810000000000002</v>
      </c>
      <c r="F120" s="3381">
        <f t="shared" si="36"/>
        <v>0.90810000000000002</v>
      </c>
      <c r="G120" s="3381">
        <f t="shared" si="36"/>
        <v>0.90810000000000002</v>
      </c>
      <c r="H120" s="3381">
        <f t="shared" si="36"/>
        <v>0.90810000000000002</v>
      </c>
      <c r="I120" s="3381">
        <f>ROUND(0.7965-0.0185*B116,4)</f>
        <v>0.75970000000000004</v>
      </c>
      <c r="J120" s="3381">
        <f t="shared" si="35"/>
        <v>0.75970000000000004</v>
      </c>
      <c r="K120" s="3381">
        <f t="shared" si="35"/>
        <v>0.75970000000000004</v>
      </c>
      <c r="L120" s="3381">
        <f t="shared" si="35"/>
        <v>0.75970000000000004</v>
      </c>
      <c r="M120" s="3404">
        <f t="shared" si="35"/>
        <v>0.75970000000000004</v>
      </c>
      <c r="N120" s="3391"/>
    </row>
    <row r="121" spans="1:14" ht="13.5" thickBot="1">
      <c r="A121" s="3405" t="s">
        <v>1991</v>
      </c>
      <c r="B121" s="3406">
        <f>ROUND(0.7836-0.012*B116,4)</f>
        <v>0.75970000000000004</v>
      </c>
      <c r="C121" s="3406">
        <f>B121</f>
        <v>0.75970000000000004</v>
      </c>
      <c r="D121" s="3406">
        <f>ROUND(0.753-0.015*B116,4)</f>
        <v>0.72319999999999995</v>
      </c>
      <c r="E121" s="3406">
        <f>D121</f>
        <v>0.72319999999999995</v>
      </c>
      <c r="F121" s="3406">
        <f>E121</f>
        <v>0.72319999999999995</v>
      </c>
      <c r="G121" s="3406">
        <f>ROUND(0.6612-0.018*B116,4)</f>
        <v>0.62539999999999996</v>
      </c>
      <c r="H121" s="3406">
        <f>G121</f>
        <v>0.62539999999999996</v>
      </c>
      <c r="I121" s="3406">
        <f>ROUND(0.5905-0.019*B116,4)</f>
        <v>0.55269999999999997</v>
      </c>
      <c r="J121" s="3406">
        <f t="shared" si="35"/>
        <v>0.55269999999999997</v>
      </c>
      <c r="K121" s="3406">
        <f t="shared" si="35"/>
        <v>0.55269999999999997</v>
      </c>
      <c r="L121" s="3406">
        <f t="shared" si="35"/>
        <v>0.55269999999999997</v>
      </c>
      <c r="M121" s="3407">
        <f t="shared" si="35"/>
        <v>0.55269999999999997</v>
      </c>
      <c r="N121" s="3391"/>
    </row>
    <row r="122" spans="1:14">
      <c r="A122" s="3408" t="s">
        <v>2614</v>
      </c>
      <c r="B122" s="3381">
        <f>ROUND(0.9404-0.0106*B116,4)</f>
        <v>0.91930000000000001</v>
      </c>
      <c r="C122" s="3381">
        <f>B122</f>
        <v>0.91930000000000001</v>
      </c>
      <c r="D122" s="3381">
        <f>ROUND(0.8955-0.0135*B116,4)</f>
        <v>0.86860000000000004</v>
      </c>
      <c r="E122" s="3381">
        <f t="shared" ref="E122:H122" si="37">D122</f>
        <v>0.86860000000000004</v>
      </c>
      <c r="F122" s="3381">
        <f t="shared" si="37"/>
        <v>0.86860000000000004</v>
      </c>
      <c r="G122" s="3381">
        <f t="shared" si="37"/>
        <v>0.86860000000000004</v>
      </c>
      <c r="H122" s="3381">
        <f t="shared" si="37"/>
        <v>0.86860000000000004</v>
      </c>
      <c r="I122" s="3381">
        <f>ROUND(0.7632-0.0166*B116,4)</f>
        <v>0.73019999999999996</v>
      </c>
      <c r="J122" s="3381">
        <f t="shared" si="35"/>
        <v>0.73019999999999996</v>
      </c>
      <c r="K122" s="3381">
        <f t="shared" si="35"/>
        <v>0.73019999999999996</v>
      </c>
      <c r="L122" s="3381">
        <f t="shared" si="35"/>
        <v>0.73019999999999996</v>
      </c>
      <c r="M122" s="3404">
        <f t="shared" si="35"/>
        <v>0.73019999999999996</v>
      </c>
      <c r="N122" s="33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3" sqref="P4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6" t="s">
        <v>1924</v>
      </c>
      <c r="B1" s="197"/>
      <c r="C1" s="201" t="s">
        <v>1925</v>
      </c>
      <c r="D1" s="342">
        <f>SUM(D33:D34,D37:D42)</f>
        <v>0</v>
      </c>
      <c r="E1" s="1989"/>
      <c r="F1" s="1989"/>
      <c r="G1" s="1989"/>
      <c r="H1" s="1989"/>
      <c r="I1" s="1989"/>
      <c r="J1" s="1989"/>
      <c r="K1" s="1114"/>
      <c r="L1" s="1990" t="s">
        <v>1926</v>
      </c>
      <c r="M1" s="858">
        <f>SUMPRODUCT((区片价!B5:B9=I2)*(区片价!C3:G3=E2)*(区片价!C5:G9))</f>
        <v>0</v>
      </c>
      <c r="N1" s="861">
        <f>SUMPRODUCT((因素修正幅度!B5:B9=I2)*(因素修正幅度!C3:G3=E2)*(因素修正幅度!C5:G9))</f>
        <v>0</v>
      </c>
      <c r="O1" s="1991"/>
      <c r="P1" s="1991"/>
      <c r="Q1" s="1114"/>
      <c r="R1" s="1207" t="s">
        <v>1927</v>
      </c>
      <c r="S1" s="1207" t="s">
        <v>1928</v>
      </c>
      <c r="T1" s="1207" t="s">
        <v>1929</v>
      </c>
      <c r="U1" s="1207" t="s">
        <v>1930</v>
      </c>
      <c r="V1" s="1207" t="s">
        <v>1931</v>
      </c>
      <c r="W1" s="1211"/>
      <c r="X1" s="1211"/>
      <c r="Y1" s="1211"/>
      <c r="Z1" s="1211"/>
      <c r="AA1" s="1211"/>
      <c r="AB1" s="1211"/>
      <c r="AC1" s="1212"/>
      <c r="AD1" s="1213"/>
      <c r="AE1" s="1213"/>
      <c r="AF1" s="1213"/>
      <c r="AG1" s="1213"/>
      <c r="AH1" s="1213"/>
      <c r="AI1" s="1213"/>
      <c r="AJ1" s="1214"/>
    </row>
    <row r="2" spans="1:36" ht="15.75">
      <c r="A2" s="201" t="s">
        <v>1932</v>
      </c>
      <c r="B2" s="204" t="e">
        <f>C30</f>
        <v>#DIV/0!</v>
      </c>
      <c r="C2" s="1993" t="s">
        <v>1933</v>
      </c>
      <c r="D2" s="1994" t="s">
        <v>1934</v>
      </c>
      <c r="E2" s="3415" t="s">
        <v>21</v>
      </c>
      <c r="F2" s="1994" t="s">
        <v>1935</v>
      </c>
      <c r="G2" s="1995">
        <f>IF(E2="商业",项目基本情况!B37,IF(E2="办公",项目基本情况!C37,IF(E2="住宅",项目基本情况!D37,IF(E2="工业",项目基本情况!E37,项目基本情况!F37))))</f>
        <v>0</v>
      </c>
      <c r="H2" s="1994" t="s">
        <v>1936</v>
      </c>
      <c r="I2" s="1995">
        <f>IF(E2="商业",项目基本情况!B38,IF(E2="办公",项目基本情况!C38,IF(E2="住宅",项目基本情况!D38,IF(E2="工业",项目基本情况!E38,项目基本情况!F38))))</f>
        <v>0</v>
      </c>
      <c r="J2" s="1996"/>
      <c r="K2" s="1114"/>
      <c r="L2" s="1997" t="s">
        <v>1937</v>
      </c>
      <c r="M2" s="859">
        <f>SUMPRODUCT((区片价!B10:B29=I2)*(区片价!C3:G3=E2)*(区片价!C10:G29))</f>
        <v>0</v>
      </c>
      <c r="N2" s="861">
        <f>SUMPRODUCT((因素修正幅度!B10:B29=I2)*(因素修正幅度!C3:G3=E2)*(因素修正幅度!C10:G29))</f>
        <v>0</v>
      </c>
      <c r="O2" s="1114"/>
      <c r="P2" s="1114"/>
      <c r="Q2" s="1114"/>
      <c r="R2" s="1207">
        <v>1</v>
      </c>
      <c r="S2" s="3354">
        <f>ROUND(SUMPRODUCT((B106:B110=R2)*(C105:N105=G2)*(C106:N110)),4)</f>
        <v>0</v>
      </c>
      <c r="T2" s="3354" t="e">
        <f t="shared" ref="T2:T16" si="0">ROUND($C$5*$C$22*$C$23*$C$24*S2*$C$28,0)</f>
        <v>#DIV/0!</v>
      </c>
      <c r="U2" s="1208"/>
      <c r="V2" s="3354" t="e">
        <f>ROUND(T2*U2/10000,0)</f>
        <v>#DIV/0!</v>
      </c>
      <c r="W2" s="1211"/>
      <c r="X2" s="1211"/>
      <c r="Y2" s="1211"/>
      <c r="Z2" s="1211"/>
      <c r="AA2" s="1211"/>
      <c r="AB2" s="1211"/>
      <c r="AC2" s="1212"/>
      <c r="AD2" s="1213"/>
      <c r="AE2" s="1213"/>
      <c r="AF2" s="1213"/>
      <c r="AG2" s="1213"/>
      <c r="AH2" s="1213"/>
      <c r="AI2" s="1213"/>
      <c r="AJ2" s="1214"/>
    </row>
    <row r="3" spans="1:36" ht="15.75">
      <c r="A3" s="203" t="s">
        <v>1938</v>
      </c>
      <c r="B3" s="204" t="e">
        <f>ROUND(B2*10000/D1,0)</f>
        <v>#DIV/0!</v>
      </c>
      <c r="C3" s="1993" t="s">
        <v>1939</v>
      </c>
      <c r="D3" s="1994" t="s">
        <v>1940</v>
      </c>
      <c r="E3" s="3413" t="s">
        <v>3401</v>
      </c>
      <c r="F3" s="1998" t="s">
        <v>3384</v>
      </c>
      <c r="G3" s="747">
        <f>IF(F3="宗地容积率",'数据-汇总表'!I4,IF(F3="估价对象容积率",'数据-汇总表'!I6,'数据-汇总表'!I7))</f>
        <v>1.99</v>
      </c>
      <c r="H3" s="170" t="s">
        <v>1941</v>
      </c>
      <c r="I3" s="770"/>
      <c r="J3" s="1996" t="s">
        <v>1942</v>
      </c>
      <c r="K3" s="1114"/>
      <c r="L3" s="1997" t="s">
        <v>1943</v>
      </c>
      <c r="M3" s="859">
        <f>SUMPRODUCT((区片价!B30:B54=I2)*(区片价!C3:G3=E2)*(区片价!C30:G54))</f>
        <v>0</v>
      </c>
      <c r="N3" s="861">
        <f>SUMPRODUCT((因素修正幅度!B30:B54=I2)*(因素修正幅度!C3:G3=E2)*(因素修正幅度!C30:G54))</f>
        <v>0</v>
      </c>
      <c r="O3" s="1114"/>
      <c r="P3" s="1114"/>
      <c r="Q3" s="1114"/>
      <c r="R3" s="1207">
        <v>2</v>
      </c>
      <c r="S3" s="3354">
        <f>ROUND(SUMPRODUCT((B106:B110=R3)*(C105:N105=G2)*(C106:N110)),4)</f>
        <v>0</v>
      </c>
      <c r="T3" s="3354" t="e">
        <f t="shared" si="0"/>
        <v>#DIV/0!</v>
      </c>
      <c r="U3" s="1208"/>
      <c r="V3" s="3354" t="e">
        <f t="shared" ref="V3:V16" si="1">ROUND(T3*U3/10000,0)</f>
        <v>#DIV/0!</v>
      </c>
      <c r="W3" s="1211"/>
      <c r="X3" s="1211"/>
      <c r="Y3" s="1211"/>
      <c r="Z3" s="1211"/>
      <c r="AA3" s="1211"/>
      <c r="AB3" s="1211"/>
      <c r="AC3" s="1212"/>
      <c r="AD3" s="1213"/>
      <c r="AE3" s="1213"/>
      <c r="AF3" s="1213"/>
      <c r="AG3" s="1213"/>
      <c r="AH3" s="1213"/>
      <c r="AI3" s="1213"/>
      <c r="AJ3" s="1214"/>
    </row>
    <row r="4" spans="1:36" ht="15.75">
      <c r="A4" s="3809"/>
      <c r="B4" s="3810"/>
      <c r="C4" s="3810"/>
      <c r="D4" s="3811"/>
      <c r="E4" s="3811"/>
      <c r="F4" s="3811"/>
      <c r="G4" s="3811"/>
      <c r="H4" s="3811"/>
      <c r="I4" s="3811"/>
      <c r="J4" s="3812"/>
      <c r="K4" s="1114"/>
      <c r="L4" s="1997" t="s">
        <v>1944</v>
      </c>
      <c r="M4" s="859">
        <f>SUMPRODUCT((区片价!B55:B86=I2)*(区片价!C3:G3=E2)*(区片价!C55:G86))</f>
        <v>0</v>
      </c>
      <c r="N4" s="861">
        <f>SUMPRODUCT((因素修正幅度!B55:B86=I2)*(因素修正幅度!C3:G3=E2)*(因素修正幅度!C55:G86))</f>
        <v>0</v>
      </c>
      <c r="O4" s="1114"/>
      <c r="P4" s="1114"/>
      <c r="Q4" s="1114"/>
      <c r="R4" s="1207">
        <v>3</v>
      </c>
      <c r="S4" s="3354">
        <f>ROUND(SUMPRODUCT((B106:B110=R4)*(C105:N105=G2)*(C106:N110)),4)</f>
        <v>0</v>
      </c>
      <c r="T4" s="3354" t="e">
        <f t="shared" si="0"/>
        <v>#DIV/0!</v>
      </c>
      <c r="U4" s="1208"/>
      <c r="V4" s="3354" t="e">
        <f t="shared" si="1"/>
        <v>#DIV/0!</v>
      </c>
      <c r="W4" s="1211"/>
      <c r="X4" s="1211"/>
      <c r="Y4" s="1211"/>
      <c r="Z4" s="1211"/>
      <c r="AA4" s="1211"/>
      <c r="AB4" s="1211"/>
      <c r="AC4" s="1212"/>
      <c r="AD4" s="1213"/>
      <c r="AE4" s="1213"/>
      <c r="AF4" s="1213"/>
      <c r="AG4" s="1213"/>
      <c r="AH4" s="1213"/>
      <c r="AI4" s="1213"/>
      <c r="AJ4" s="1214"/>
    </row>
    <row r="5" spans="1:36" s="2008" customFormat="1" ht="15.75" thickBot="1">
      <c r="A5" s="1999" t="s">
        <v>362</v>
      </c>
      <c r="B5" s="2000" t="s">
        <v>1945</v>
      </c>
      <c r="C5" s="748" t="e">
        <f>ROUND(IF(E2="商业",C6*C7*C17+C20,(IF(E2="住宅",C6*C13*C17+C20,IF(E2="办公",C6*C12*C17+C20,C6+C20)))),0)</f>
        <v>#DIV/0!</v>
      </c>
      <c r="D5" s="1334" t="e">
        <f>ROUND(C6*C17+C20,0)</f>
        <v>#DIV/0!</v>
      </c>
      <c r="E5" s="1334"/>
      <c r="F5" s="2001"/>
      <c r="G5" s="2002"/>
      <c r="H5" s="2002"/>
      <c r="I5" s="2002"/>
      <c r="J5" s="2003"/>
      <c r="K5" s="2004"/>
      <c r="L5" s="1997" t="s">
        <v>1946</v>
      </c>
      <c r="M5" s="859">
        <f>SUMPRODUCT((区片价!B87:B126=I2)*(区片价!C3:G3=E2)*(区片价!C87:G126))</f>
        <v>0</v>
      </c>
      <c r="N5" s="861">
        <f>SUMPRODUCT((因素修正幅度!B87:B126=I2)*(因素修正幅度!C3:G3=E2)*(因素修正幅度!C87:G126))</f>
        <v>0</v>
      </c>
      <c r="O5" s="1114"/>
      <c r="P5" s="1114"/>
      <c r="Q5" s="1114"/>
      <c r="R5" s="1207">
        <v>4</v>
      </c>
      <c r="S5" s="3354">
        <f>ROUND(SUMPRODUCT((B106:B110=R5)*(C105:N105=G2)*(C106:N110)),4)</f>
        <v>0</v>
      </c>
      <c r="T5" s="3354" t="e">
        <f t="shared" si="0"/>
        <v>#DIV/0!</v>
      </c>
      <c r="U5" s="1208"/>
      <c r="V5" s="3354" t="e">
        <f t="shared" si="1"/>
        <v>#DIV/0!</v>
      </c>
      <c r="W5" s="1211"/>
      <c r="X5" s="1211"/>
      <c r="Y5" s="1211"/>
      <c r="Z5" s="1211"/>
      <c r="AA5" s="1211"/>
      <c r="AB5" s="1211"/>
      <c r="AC5" s="2005"/>
      <c r="AD5" s="2006"/>
      <c r="AE5" s="2006"/>
      <c r="AF5" s="2006"/>
      <c r="AG5" s="2006"/>
      <c r="AH5" s="2006"/>
      <c r="AI5" s="2006"/>
      <c r="AJ5" s="2007"/>
    </row>
    <row r="6" spans="1:36" ht="15.75" thickBot="1">
      <c r="A6" s="2009" t="s">
        <v>1947</v>
      </c>
      <c r="B6" s="2010" t="s">
        <v>1948</v>
      </c>
      <c r="C6" s="749">
        <f>SUMIF(L1:L12,G2,M1:M12)</f>
        <v>0</v>
      </c>
      <c r="D6" s="2011"/>
      <c r="E6" s="2012"/>
      <c r="F6" s="2012"/>
      <c r="G6" s="2013"/>
      <c r="H6" s="2013"/>
      <c r="I6" s="2013"/>
      <c r="J6" s="2014"/>
      <c r="K6" s="1379"/>
      <c r="L6" s="1997" t="s">
        <v>1949</v>
      </c>
      <c r="M6" s="859">
        <f>SUMPRODUCT((区片价!B127:B189=I2)*(区片价!C3:G3=E2)*(区片价!C127:G189))</f>
        <v>0</v>
      </c>
      <c r="N6" s="861">
        <f>SUMPRODUCT((因素修正幅度!B127:B189=I2)*(因素修正幅度!C3:G3=E2)*(因素修正幅度!C127:G189))</f>
        <v>0</v>
      </c>
      <c r="O6" s="1114"/>
      <c r="P6" s="1114"/>
      <c r="Q6" s="1114"/>
      <c r="R6" s="1207">
        <v>5</v>
      </c>
      <c r="S6" s="3354">
        <f>ROUND(SUMPRODUCT((B106:B110=R6)*(C105:N105=G2)*(C106:N110)),4)</f>
        <v>0</v>
      </c>
      <c r="T6" s="3354" t="e">
        <f t="shared" si="0"/>
        <v>#DIV/0!</v>
      </c>
      <c r="U6" s="1208"/>
      <c r="V6" s="3354" t="e">
        <f t="shared" si="1"/>
        <v>#DIV/0!</v>
      </c>
      <c r="W6" s="1211"/>
      <c r="X6" s="1211"/>
      <c r="Y6" s="1211"/>
      <c r="Z6" s="1211"/>
      <c r="AA6" s="1211"/>
      <c r="AB6" s="1211"/>
      <c r="AC6" s="2005"/>
      <c r="AD6" s="2006"/>
      <c r="AE6" s="2006"/>
      <c r="AF6" s="2006"/>
      <c r="AG6" s="2006"/>
      <c r="AH6" s="2006"/>
      <c r="AI6" s="2006"/>
      <c r="AJ6" s="2007"/>
    </row>
    <row r="7" spans="1:36" ht="24.75" thickBot="1">
      <c r="A7" s="3297" t="s">
        <v>3239</v>
      </c>
      <c r="B7" s="2015" t="s">
        <v>1950</v>
      </c>
      <c r="C7" s="750">
        <f>IF(C8="不临65条商业街",1,ROUND(1+(1.6*E8+1.2*E9+0.8*E10+0.4*E11)*C9,4))</f>
        <v>1</v>
      </c>
      <c r="D7" s="2016" t="s">
        <v>1951</v>
      </c>
      <c r="E7" s="771"/>
      <c r="F7" s="2017"/>
      <c r="G7" s="2018"/>
      <c r="H7" s="2018"/>
      <c r="I7" s="2018"/>
      <c r="J7" s="2019"/>
      <c r="K7" s="1379"/>
      <c r="L7" s="1997" t="s">
        <v>1952</v>
      </c>
      <c r="M7" s="859">
        <f>SUMPRODUCT((区片价!B190:B233=I2)*(区片价!C3:G3=E2)*(区片价!C190:G233))</f>
        <v>0</v>
      </c>
      <c r="N7" s="861">
        <f>SUMPRODUCT((因素修正幅度!B190:B233=I2)*(因素修正幅度!C3:G3=E2)*(因素修正幅度!C190:G233))</f>
        <v>0</v>
      </c>
      <c r="O7" s="1114"/>
      <c r="P7" s="1114"/>
      <c r="Q7" s="1114"/>
      <c r="R7" s="1207">
        <v>6</v>
      </c>
      <c r="S7" s="3412"/>
      <c r="T7" s="3354" t="e">
        <f t="shared" si="0"/>
        <v>#DIV/0!</v>
      </c>
      <c r="U7" s="1208"/>
      <c r="V7" s="3354" t="e">
        <f t="shared" si="1"/>
        <v>#DIV/0!</v>
      </c>
      <c r="W7" s="1353" t="s">
        <v>1953</v>
      </c>
      <c r="X7" s="1209">
        <f>G2</f>
        <v>0</v>
      </c>
      <c r="Y7" s="1209" t="s">
        <v>1954</v>
      </c>
      <c r="Z7" s="1210">
        <f>G3</f>
        <v>1.99</v>
      </c>
      <c r="AA7" s="1211"/>
      <c r="AB7" s="1211"/>
      <c r="AC7" s="1212"/>
      <c r="AD7" s="1213"/>
      <c r="AE7" s="1213"/>
      <c r="AF7" s="1213"/>
      <c r="AG7" s="1213"/>
      <c r="AH7" s="1213"/>
      <c r="AI7" s="1213"/>
      <c r="AJ7" s="1214"/>
    </row>
    <row r="8" spans="1:36" ht="25.5">
      <c r="A8" s="3292"/>
      <c r="B8" s="170" t="s">
        <v>1955</v>
      </c>
      <c r="C8" s="2020" t="s">
        <v>3385</v>
      </c>
      <c r="D8" s="751" t="s">
        <v>112</v>
      </c>
      <c r="E8" s="752" t="e">
        <f>ROUND(C11/E7,4)</f>
        <v>#DIV/0!</v>
      </c>
      <c r="F8" s="2021" t="s">
        <v>1956</v>
      </c>
      <c r="G8" s="2022"/>
      <c r="H8" s="2022"/>
      <c r="I8" s="2022"/>
      <c r="J8" s="2023"/>
      <c r="K8" s="1114"/>
      <c r="L8" s="1997" t="s">
        <v>1957</v>
      </c>
      <c r="M8" s="859">
        <f>SUMPRODUCT((区片价!B234:B276=I2)*(区片价!C3:G3=E2)*(区片价!C234:G276))</f>
        <v>0</v>
      </c>
      <c r="N8" s="861">
        <f>SUMPRODUCT((因素修正幅度!B234:B276=I2)*(因素修正幅度!C3:G3=E2)*(因素修正幅度!C234:G276))</f>
        <v>0</v>
      </c>
      <c r="O8" s="1114"/>
      <c r="P8" s="1114"/>
      <c r="Q8" s="1114"/>
      <c r="R8" s="1207">
        <v>7</v>
      </c>
      <c r="S8" s="1208"/>
      <c r="T8" s="3354" t="e">
        <f t="shared" si="0"/>
        <v>#DIV/0!</v>
      </c>
      <c r="U8" s="1208"/>
      <c r="V8" s="3354" t="e">
        <f t="shared" si="1"/>
        <v>#DIV/0!</v>
      </c>
      <c r="W8" s="3813" t="s">
        <v>1958</v>
      </c>
      <c r="X8" s="3814"/>
      <c r="Y8" s="1215" t="s">
        <v>1959</v>
      </c>
      <c r="Z8" s="1215" t="s">
        <v>1960</v>
      </c>
      <c r="AA8" s="1215" t="s">
        <v>1961</v>
      </c>
      <c r="AB8" s="1215" t="s">
        <v>1962</v>
      </c>
      <c r="AC8" s="1215" t="s">
        <v>1963</v>
      </c>
      <c r="AD8" s="1215" t="s">
        <v>1964</v>
      </c>
      <c r="AE8" s="1215" t="s">
        <v>1965</v>
      </c>
      <c r="AF8" s="1215" t="s">
        <v>1966</v>
      </c>
      <c r="AG8" s="1215" t="s">
        <v>1967</v>
      </c>
      <c r="AH8" s="1215" t="s">
        <v>1968</v>
      </c>
      <c r="AI8" s="1215" t="s">
        <v>1969</v>
      </c>
      <c r="AJ8" s="1215" t="s">
        <v>1970</v>
      </c>
    </row>
    <row r="9" spans="1:36" ht="15">
      <c r="A9" s="3292"/>
      <c r="B9" s="170" t="s">
        <v>1971</v>
      </c>
      <c r="C9" s="753">
        <f>SUMIF(修正!C71:C138,C8,修正!E71:E138)</f>
        <v>0</v>
      </c>
      <c r="D9" s="171" t="s">
        <v>113</v>
      </c>
      <c r="E9" s="171" t="e">
        <f>ROUND(C11/E7,4)</f>
        <v>#DIV/0!</v>
      </c>
      <c r="F9" s="2021" t="s">
        <v>1972</v>
      </c>
      <c r="G9" s="2022"/>
      <c r="H9" s="2022"/>
      <c r="I9" s="2022"/>
      <c r="J9" s="2023"/>
      <c r="K9" s="1114"/>
      <c r="L9" s="1997" t="s">
        <v>1973</v>
      </c>
      <c r="M9" s="859">
        <f>SUMPRODUCT((区片价!B277:B326=I2)*(区片价!C3:G3=E2)*(区片价!C277:G326))</f>
        <v>0</v>
      </c>
      <c r="N9" s="861">
        <f>SUMPRODUCT((因素修正幅度!B277:B326=I2)*(因素修正幅度!C3:G3=E2)*(因素修正幅度!C277:G326))</f>
        <v>0</v>
      </c>
      <c r="O9" s="1114"/>
      <c r="P9" s="1114"/>
      <c r="Q9" s="1114"/>
      <c r="R9" s="1207">
        <v>8</v>
      </c>
      <c r="S9" s="1208"/>
      <c r="T9" s="3354" t="e">
        <f t="shared" si="0"/>
        <v>#DIV/0!</v>
      </c>
      <c r="U9" s="1208"/>
      <c r="V9" s="3354" t="e">
        <f t="shared" si="1"/>
        <v>#DIV/0!</v>
      </c>
      <c r="W9" s="3815"/>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1" t="s">
        <v>1975</v>
      </c>
      <c r="G10" s="2022"/>
      <c r="H10" s="2022"/>
      <c r="I10" s="2022"/>
      <c r="J10" s="2023"/>
      <c r="K10" s="1114"/>
      <c r="L10" s="1997" t="s">
        <v>1976</v>
      </c>
      <c r="M10" s="859">
        <f>SUMPRODUCT((区片价!B327:B357=I2)*(区片价!C3:G3=E2)*(区片价!C327:G357))</f>
        <v>0</v>
      </c>
      <c r="N10" s="861">
        <f>SUMPRODUCT((因素修正幅度!B327:B357=I2)*(因素修正幅度!C3:G3=E2)*(因素修正幅度!C327:G357))</f>
        <v>0</v>
      </c>
      <c r="O10" s="1114"/>
      <c r="P10" s="1114"/>
      <c r="Q10" s="1114"/>
      <c r="R10" s="1207">
        <v>9</v>
      </c>
      <c r="S10" s="1208"/>
      <c r="T10" s="3354" t="e">
        <f t="shared" si="0"/>
        <v>#DIV/0!</v>
      </c>
      <c r="U10" s="1208"/>
      <c r="V10" s="3354" t="e">
        <f t="shared" si="1"/>
        <v>#DIV/0!</v>
      </c>
      <c r="W10" s="381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1977</v>
      </c>
      <c r="C11" s="754">
        <f>C10/4</f>
        <v>0</v>
      </c>
      <c r="D11" s="754" t="s">
        <v>115</v>
      </c>
      <c r="E11" s="754" t="e">
        <f>ROUND(C11/E7,4)</f>
        <v>#DIV/0!</v>
      </c>
      <c r="F11" s="2025" t="s">
        <v>1978</v>
      </c>
      <c r="G11" s="2026"/>
      <c r="H11" s="2026"/>
      <c r="I11" s="2026"/>
      <c r="J11" s="2027"/>
      <c r="K11" s="1114"/>
      <c r="L11" s="1997" t="s">
        <v>1979</v>
      </c>
      <c r="M11" s="859">
        <f>SUMPRODUCT((区片价!B358:B377=I2)*(区片价!C3:G3=E2)*(区片价!C358:G377))</f>
        <v>0</v>
      </c>
      <c r="N11" s="861">
        <f>SUMPRODUCT((因素修正幅度!B358:B377=I2)*(因素修正幅度!C3:G3=E2)*(因素修正幅度!C358:G377))</f>
        <v>0</v>
      </c>
      <c r="O11" s="1114"/>
      <c r="P11" s="1114"/>
      <c r="Q11" s="1114"/>
      <c r="R11" s="1207">
        <v>10</v>
      </c>
      <c r="S11" s="1208"/>
      <c r="T11" s="3354" t="e">
        <f t="shared" si="0"/>
        <v>#DIV/0!</v>
      </c>
      <c r="U11" s="1208"/>
      <c r="V11" s="3354" t="e">
        <f t="shared" si="1"/>
        <v>#DIV/0!</v>
      </c>
      <c r="W11" s="1211"/>
      <c r="X11" s="1211"/>
      <c r="Y11" s="1211"/>
      <c r="Z11" s="1211"/>
      <c r="AA11" s="1211"/>
      <c r="AB11" s="1211"/>
      <c r="AC11" s="1212"/>
      <c r="AD11" s="2782"/>
      <c r="AE11" s="2782"/>
      <c r="AF11" s="2782"/>
      <c r="AG11" s="2782"/>
      <c r="AH11" s="2782"/>
      <c r="AI11" s="2782"/>
      <c r="AJ11" s="2783"/>
    </row>
    <row r="12" spans="1:36" ht="25.5" thickBot="1">
      <c r="A12" s="3297" t="s">
        <v>3240</v>
      </c>
      <c r="B12" s="3298" t="s">
        <v>3241</v>
      </c>
      <c r="C12" s="3299">
        <v>1</v>
      </c>
      <c r="D12" s="3300" t="s">
        <v>3242</v>
      </c>
      <c r="E12" s="3301" t="s">
        <v>3243</v>
      </c>
      <c r="F12" s="3302"/>
      <c r="G12" s="3303"/>
      <c r="H12" s="3303"/>
      <c r="I12" s="3303"/>
      <c r="J12" s="3304"/>
      <c r="K12" s="1114"/>
      <c r="L12" s="2033" t="s">
        <v>1982</v>
      </c>
      <c r="M12" s="860">
        <f>SUMPRODUCT((区片价!B378:B384=I2)*(区片价!C3:G3=E2)*(区片价!C378:G384))</f>
        <v>0</v>
      </c>
      <c r="N12" s="861">
        <f>SUMPRODUCT((因素修正幅度!B378:B384=I2)*(因素修正幅度!C3:G3=E2)*(因素修正幅度!C378:G384))</f>
        <v>0</v>
      </c>
      <c r="O12" s="1114"/>
      <c r="P12" s="1114"/>
      <c r="Q12" s="1114"/>
      <c r="R12" s="1207">
        <v>11</v>
      </c>
      <c r="S12" s="1208"/>
      <c r="T12" s="3354" t="e">
        <f t="shared" si="0"/>
        <v>#DIV/0!</v>
      </c>
      <c r="U12" s="1208"/>
      <c r="V12" s="3354" t="e">
        <f t="shared" si="1"/>
        <v>#DIV/0!</v>
      </c>
      <c r="W12" s="1211"/>
      <c r="X12" s="1211"/>
      <c r="Y12" s="1211"/>
      <c r="Z12" s="1211"/>
      <c r="AA12" s="1211"/>
      <c r="AB12" s="1211"/>
      <c r="AC12" s="1212"/>
      <c r="AD12" s="2782"/>
      <c r="AE12" s="2782"/>
      <c r="AF12" s="2782"/>
      <c r="AG12" s="2782"/>
      <c r="AH12" s="2782"/>
      <c r="AI12" s="2782"/>
      <c r="AJ12" s="2783"/>
    </row>
    <row r="13" spans="1:36" ht="15.75" thickBot="1">
      <c r="A13" s="3297" t="s">
        <v>3244</v>
      </c>
      <c r="B13" s="2028" t="s">
        <v>1980</v>
      </c>
      <c r="C13" s="750">
        <f>ROUND(C16*D16*E16*F16*G16*H16*I16*J16,4)</f>
        <v>0</v>
      </c>
      <c r="D13" s="2029" t="s">
        <v>1981</v>
      </c>
      <c r="E13" s="2030"/>
      <c r="F13" s="2030"/>
      <c r="G13" s="2031"/>
      <c r="H13" s="2031"/>
      <c r="I13" s="2031"/>
      <c r="J13" s="2032"/>
      <c r="K13" s="1114"/>
      <c r="L13" s="3293"/>
      <c r="M13" s="3294"/>
      <c r="N13" s="3295"/>
      <c r="O13" s="1114"/>
      <c r="P13" s="1114"/>
      <c r="Q13" s="1114"/>
      <c r="R13" s="1207">
        <v>12</v>
      </c>
      <c r="S13" s="1208"/>
      <c r="T13" s="3354" t="e">
        <f t="shared" si="0"/>
        <v>#DIV/0!</v>
      </c>
      <c r="U13" s="1208"/>
      <c r="V13" s="3354" t="e">
        <f t="shared" si="1"/>
        <v>#DIV/0!</v>
      </c>
      <c r="W13" s="1211"/>
      <c r="X13" s="1211"/>
      <c r="Y13" s="1211"/>
      <c r="Z13" s="1211"/>
      <c r="AA13" s="1211"/>
      <c r="AB13" s="1211"/>
      <c r="AC13" s="1212"/>
      <c r="AD13" s="2782"/>
      <c r="AE13" s="2782"/>
      <c r="AF13" s="2782"/>
      <c r="AG13" s="2782"/>
      <c r="AH13" s="2782"/>
      <c r="AI13" s="2782"/>
      <c r="AJ13" s="2783"/>
    </row>
    <row r="14" spans="1:36" ht="15">
      <c r="A14" s="3291"/>
      <c r="B14" s="2034" t="s">
        <v>1983</v>
      </c>
      <c r="C14" s="2035" t="s">
        <v>1984</v>
      </c>
      <c r="D14" s="1345" t="s">
        <v>1985</v>
      </c>
      <c r="E14" s="27" t="s">
        <v>1986</v>
      </c>
      <c r="F14" s="3305" t="s">
        <v>3245</v>
      </c>
      <c r="G14" s="3305" t="s">
        <v>3245</v>
      </c>
      <c r="H14" s="3305" t="s">
        <v>3245</v>
      </c>
      <c r="I14" s="3305" t="s">
        <v>3245</v>
      </c>
      <c r="J14" s="3305" t="s">
        <v>3245</v>
      </c>
      <c r="K14" s="1114"/>
      <c r="L14" s="1114"/>
      <c r="M14" s="1114"/>
      <c r="N14" s="1114"/>
      <c r="O14" s="1114"/>
      <c r="P14" s="1114"/>
      <c r="Q14" s="1114"/>
      <c r="R14" s="1207">
        <v>13</v>
      </c>
      <c r="S14" s="1208"/>
      <c r="T14" s="3354" t="e">
        <f t="shared" si="0"/>
        <v>#DIV/0!</v>
      </c>
      <c r="U14" s="1208"/>
      <c r="V14" s="3354" t="e">
        <f t="shared" si="1"/>
        <v>#DIV/0!</v>
      </c>
      <c r="W14" s="1211"/>
      <c r="X14" s="1211"/>
      <c r="Y14" s="1211"/>
      <c r="Z14" s="1211"/>
      <c r="AA14" s="1211"/>
      <c r="AB14" s="1211"/>
      <c r="AC14" s="1212"/>
      <c r="AD14" s="2782"/>
      <c r="AE14" s="2782"/>
      <c r="AF14" s="2782"/>
      <c r="AG14" s="2782"/>
      <c r="AH14" s="2782"/>
      <c r="AI14" s="2782"/>
      <c r="AJ14" s="2783"/>
    </row>
    <row r="15" spans="1:36" ht="15">
      <c r="A15" s="3291"/>
      <c r="B15" s="2036"/>
      <c r="C15" s="2037"/>
      <c r="D15" s="2038"/>
      <c r="E15" s="2039"/>
      <c r="F15" s="3306" t="s">
        <v>3246</v>
      </c>
      <c r="G15" s="3307"/>
      <c r="H15" s="3308"/>
      <c r="I15" s="3309"/>
      <c r="J15" s="3310"/>
      <c r="K15" s="1114"/>
      <c r="L15" s="1114"/>
      <c r="M15" s="1114"/>
      <c r="N15" s="1114"/>
      <c r="O15" s="1114"/>
      <c r="P15" s="1114"/>
      <c r="Q15" s="1114"/>
      <c r="R15" s="1207">
        <v>14</v>
      </c>
      <c r="S15" s="1208"/>
      <c r="T15" s="3354" t="e">
        <f t="shared" si="0"/>
        <v>#DIV/0!</v>
      </c>
      <c r="U15" s="1208"/>
      <c r="V15" s="3354" t="e">
        <f t="shared" si="1"/>
        <v>#DIV/0!</v>
      </c>
      <c r="W15" s="1211"/>
      <c r="X15" s="1211"/>
      <c r="Y15" s="1211"/>
      <c r="Z15" s="1211"/>
      <c r="AA15" s="1211"/>
      <c r="AB15" s="1211"/>
      <c r="AC15" s="1212"/>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4"/>
      <c r="L16" s="1991"/>
      <c r="M16" s="1991"/>
      <c r="N16" s="1991"/>
      <c r="O16" s="1991"/>
      <c r="P16" s="1991"/>
      <c r="Q16" s="1114"/>
      <c r="R16" s="1207">
        <v>15</v>
      </c>
      <c r="S16" s="1208"/>
      <c r="T16" s="3354" t="e">
        <f t="shared" si="0"/>
        <v>#DIV/0!</v>
      </c>
      <c r="U16" s="1208"/>
      <c r="V16" s="3354" t="e">
        <f t="shared" si="1"/>
        <v>#DIV/0!</v>
      </c>
      <c r="W16" s="1211"/>
      <c r="X16" s="1211"/>
      <c r="Y16" s="1211"/>
      <c r="Z16" s="1211"/>
      <c r="AA16" s="1211"/>
      <c r="AB16" s="1211"/>
      <c r="AC16" s="1212"/>
      <c r="AD16" s="2782"/>
      <c r="AE16" s="2782"/>
      <c r="AF16" s="2782"/>
      <c r="AG16" s="2782"/>
      <c r="AH16" s="2782"/>
      <c r="AI16" s="2782"/>
      <c r="AJ16" s="2783"/>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6"/>
      <c r="B18" s="3003"/>
      <c r="C18" s="3321"/>
      <c r="D18" s="3316" t="s">
        <v>3250</v>
      </c>
      <c r="E18" s="3322"/>
      <c r="F18" s="3317" t="s">
        <v>3253</v>
      </c>
      <c r="G18" s="3321">
        <f>ROUND(1-(1/(POWER(1+G24,E18))),4)</f>
        <v>0</v>
      </c>
      <c r="H18" s="3317" t="s">
        <v>3255</v>
      </c>
      <c r="I18" s="3321">
        <f>ROUND(1-(1/(POWER(1+G24,J24))),4)</f>
        <v>0.93120000000000003</v>
      </c>
      <c r="J18" s="3327"/>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1"/>
    </row>
    <row r="19" spans="1:37" s="2008" customFormat="1" ht="15" thickBot="1">
      <c r="A19" s="3328"/>
      <c r="B19" s="3329"/>
      <c r="C19" s="3330"/>
      <c r="D19" s="3330" t="s">
        <v>3251</v>
      </c>
      <c r="E19" s="3331"/>
      <c r="F19" s="3332" t="s">
        <v>3254</v>
      </c>
      <c r="G19" s="3331"/>
      <c r="H19" s="3330"/>
      <c r="I19" s="3330"/>
      <c r="J19" s="3333"/>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4"/>
      <c r="AH19" s="2135"/>
      <c r="AI19" s="2785"/>
      <c r="AJ19" s="2785"/>
      <c r="AK19" s="2051"/>
    </row>
    <row r="20" spans="1:37" s="2008" customFormat="1" ht="14.25">
      <c r="A20" s="3816" t="s">
        <v>3256</v>
      </c>
      <c r="B20" s="167" t="s">
        <v>1992</v>
      </c>
      <c r="C20" s="3318" t="e">
        <f>ROUND(IF(F21="与级别开发程度一致",0,(G21-E21)/C21),0)</f>
        <v>#DIV/0!</v>
      </c>
      <c r="D20" s="3334" t="s">
        <v>1996</v>
      </c>
      <c r="E20" s="3335"/>
      <c r="F20" s="3818" t="s">
        <v>1993</v>
      </c>
      <c r="G20" s="3819"/>
      <c r="H20" s="3319" t="s">
        <v>3386</v>
      </c>
      <c r="I20" s="3319" t="s">
        <v>3387</v>
      </c>
      <c r="J20" s="3320" t="s">
        <v>3388</v>
      </c>
      <c r="K20" s="2041" t="s">
        <v>3389</v>
      </c>
      <c r="L20" s="2041" t="s">
        <v>3390</v>
      </c>
      <c r="M20" s="2041" t="s">
        <v>3391</v>
      </c>
      <c r="N20" s="2041"/>
      <c r="O20" s="2042"/>
      <c r="P20" s="1991"/>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8" customFormat="1" ht="26.25" thickBot="1">
      <c r="A21" s="3817"/>
      <c r="B21" s="2158" t="s">
        <v>1995</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0</v>
      </c>
      <c r="F21" s="2150" t="s">
        <v>3414</v>
      </c>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8" customFormat="1" ht="15.75" thickBot="1">
      <c r="A22" s="2152" t="s">
        <v>363</v>
      </c>
      <c r="B22" s="2153" t="s">
        <v>1998</v>
      </c>
      <c r="C22" s="2154">
        <f>SUMIF(修正!C20:C51,E3,修正!E20:E51)</f>
        <v>1</v>
      </c>
      <c r="D22" s="2155"/>
      <c r="E22" s="2156"/>
      <c r="F22" s="2156"/>
      <c r="G22" s="2156"/>
      <c r="H22" s="2156"/>
      <c r="I22" s="2156"/>
      <c r="J22" s="2157"/>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4" t="s">
        <v>364</v>
      </c>
      <c r="B23" s="2045" t="s">
        <v>1999</v>
      </c>
      <c r="C23" s="7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8" t="s">
        <v>2000</v>
      </c>
      <c r="E23" s="756">
        <v>44197</v>
      </c>
      <c r="F23" s="2048" t="s">
        <v>2001</v>
      </c>
      <c r="G23" s="757">
        <f>'数据-取费表'!B2</f>
        <v>45392</v>
      </c>
      <c r="H23" s="3336" t="s">
        <v>3257</v>
      </c>
      <c r="I23" s="3337" t="str">
        <f>IF(H23="季度增幅（自定义）",SUMIF(N25:N28,E2,O25:O28),"")</f>
        <v/>
      </c>
      <c r="J23" s="3439" t="s">
        <v>3407</v>
      </c>
      <c r="K23" s="1120"/>
      <c r="L23" s="2049" t="s">
        <v>2002</v>
      </c>
      <c r="M23" s="1323">
        <f>ROUND(SUMIF(地价!B2:G2,E2,地价!B16:G16),0)</f>
        <v>350</v>
      </c>
      <c r="N23" s="2050" t="s">
        <v>2003</v>
      </c>
      <c r="O23" s="758">
        <f>ROUNDDOWN(DATEDIF(E23,G23,"M")/3,0)</f>
        <v>13</v>
      </c>
      <c r="P23" s="1117"/>
      <c r="Q23" s="2781"/>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2004</v>
      </c>
      <c r="C24" s="759" t="e">
        <f>ROUND(POWER(1+G24,J24-I24)*(POWER(1+G24,I24)-1)/(POWER(1+G24,J24)-1),4)</f>
        <v>#DIV/0!</v>
      </c>
      <c r="D24" s="2054" t="s">
        <v>2005</v>
      </c>
      <c r="E24" s="1330">
        <f>存贷款利率!E24/100</f>
        <v>4.3499999999999997E-2</v>
      </c>
      <c r="F24" s="2054" t="s">
        <v>1997</v>
      </c>
      <c r="G24" s="763">
        <f>SUMIF(M30:Q30,E2,M33:Q33)</f>
        <v>5.5E-2</v>
      </c>
      <c r="H24" s="2054" t="s">
        <v>2006</v>
      </c>
      <c r="I24" s="764" t="e">
        <f>SUMIF('数据-取费表'!C6:C15,E2,'数据-取费表'!F6:F15)/COUNTIF('数据-取费表'!C6:C15,E2)</f>
        <v>#DIV/0!</v>
      </c>
      <c r="J24" s="765">
        <f>IF(E2="住宅",70,IF(E2="商业",40,50))</f>
        <v>50</v>
      </c>
      <c r="K24" s="1120"/>
      <c r="L24" s="2055" t="s">
        <v>2007</v>
      </c>
      <c r="M24" s="1324">
        <f>ROUND(SUMPRODUCT((地价!A4:A16=YEAR(G23)&amp;"-"&amp;ROUNDUP(MONTH(G23)/3,0))*(地价!B2:G2=E2)*(地价!B4:G16)),0)</f>
        <v>0</v>
      </c>
      <c r="N24" s="2056" t="s">
        <v>2008</v>
      </c>
      <c r="O24" s="2057" t="s">
        <v>2009</v>
      </c>
      <c r="P24" s="2058" t="s">
        <v>2010</v>
      </c>
      <c r="Q24" s="1991"/>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59" t="s">
        <v>366</v>
      </c>
      <c r="B25" s="2060" t="s">
        <v>3400</v>
      </c>
      <c r="C25" s="766">
        <f>IF(B25="容积率修正",IF(G3&lt;10,D26,J26),C27)</f>
        <v>0</v>
      </c>
      <c r="D25" s="2061"/>
      <c r="E25" s="2061"/>
      <c r="F25" s="2061"/>
      <c r="G25" s="2061"/>
      <c r="H25" s="2061"/>
      <c r="I25" s="2061"/>
      <c r="J25" s="2062"/>
      <c r="K25" s="1120"/>
      <c r="L25" s="2781"/>
      <c r="M25" s="2781"/>
      <c r="N25" s="2063" t="s">
        <v>2011</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2012</v>
      </c>
      <c r="B26" s="2064" t="s">
        <v>2013</v>
      </c>
      <c r="C26" s="3338" t="s">
        <v>3258</v>
      </c>
      <c r="D26" s="1347">
        <f>IF(E26=G26,F26,IF(G3&lt;10,ROUND(F26+(H26-F26)*(G3-E26)/(G26-E26),4),"——"))</f>
        <v>0</v>
      </c>
      <c r="E26" s="747">
        <f>ROUNDDOWN(G3,1)</f>
        <v>1.9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7">
        <f>ROUNDUP(G3,1)</f>
        <v>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3259</v>
      </c>
      <c r="J26" s="767" t="str">
        <f>IF(G3&gt;=10,D115,"——")</f>
        <v>——</v>
      </c>
      <c r="K26" s="1120"/>
      <c r="L26" s="2781"/>
      <c r="M26" s="2781"/>
      <c r="N26" s="2063" t="s">
        <v>2014</v>
      </c>
      <c r="O26" s="1168"/>
      <c r="P26" s="1169">
        <f>SUMPRODUCT((地价!A3:A40=YEAR(G23)&amp;"-"&amp;ROUNDUP(MONTH(G23)/3,0))*(地价!AD2:AH2=N26)*(地价!AD3:AH40))</f>
        <v>0</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2015</v>
      </c>
      <c r="B27" s="2065" t="s">
        <v>2016</v>
      </c>
      <c r="C27" s="836">
        <f>ROUND(IF(I3&lt;6,SUMPRODUCT((B106:B110=I3)*(C105:N105=G2)*(C106:N110)),SUMIF(C105:N105,G2,C112:N112)),4)</f>
        <v>0</v>
      </c>
      <c r="D27" s="2040"/>
      <c r="E27" s="2040"/>
      <c r="F27" s="2066"/>
      <c r="G27" s="2067"/>
      <c r="H27" s="2068"/>
      <c r="I27" s="2069"/>
      <c r="J27" s="2070"/>
      <c r="K27" s="1114"/>
      <c r="L27" s="1991"/>
      <c r="M27" s="1991"/>
      <c r="N27" s="2063" t="s">
        <v>2017</v>
      </c>
      <c r="O27" s="1168"/>
      <c r="P27" s="1169">
        <f>SUMPRODUCT((地价!A3:A40=YEAR(G23)&amp;"-"&amp;ROUNDUP(MONTH(G23)/3,0))*(地价!AD2:AH2=N27)*(地价!AD3:AH40))</f>
        <v>0</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2018</v>
      </c>
      <c r="C28" s="755">
        <f>SUMIF(A47:A101,E2,B47:B101)</f>
        <v>1.0370999999999999</v>
      </c>
      <c r="D28" s="2046"/>
      <c r="E28" s="2071"/>
      <c r="F28" s="2071"/>
      <c r="G28" s="2071"/>
      <c r="H28" s="2071"/>
      <c r="I28" s="2071"/>
      <c r="J28" s="2072"/>
      <c r="K28" s="1120"/>
      <c r="L28" s="2781"/>
      <c r="M28" s="2781"/>
      <c r="N28" s="2073" t="s">
        <v>2019</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2020</v>
      </c>
      <c r="C29" s="760"/>
      <c r="D29" s="2018"/>
      <c r="E29" s="2018"/>
      <c r="F29" s="2075"/>
      <c r="G29" s="2018"/>
      <c r="H29" s="2018"/>
      <c r="I29" s="2018"/>
      <c r="J29" s="2019"/>
      <c r="K29" s="1114"/>
      <c r="L29" s="1991"/>
      <c r="M29" s="1991"/>
      <c r="N29" s="2778" t="s">
        <v>2021</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2022</v>
      </c>
      <c r="C30" s="2315" t="e">
        <f>IF(B25="容积率修正",E33+SUM(E37:E42),SUM(V2:V16)+SUM(E37:E42))</f>
        <v>#DIV/0!</v>
      </c>
      <c r="D30" s="2077"/>
      <c r="E30" s="2040"/>
      <c r="F30" s="2078"/>
      <c r="G30" s="2040"/>
      <c r="H30" s="2040"/>
      <c r="I30" s="2040"/>
      <c r="J30" s="2079"/>
      <c r="K30" s="1114"/>
      <c r="L30" s="3344" t="s">
        <v>1934</v>
      </c>
      <c r="M30" s="3345" t="s">
        <v>1988</v>
      </c>
      <c r="N30" s="3345" t="s">
        <v>1989</v>
      </c>
      <c r="O30" s="3345" t="s">
        <v>1990</v>
      </c>
      <c r="P30" s="3345" t="s">
        <v>1991</v>
      </c>
      <c r="Q30" s="3348" t="s">
        <v>3263</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2023</v>
      </c>
      <c r="C31" s="761" t="e">
        <f>E34+SUM(I37:I42)</f>
        <v>#DIV/0!</v>
      </c>
      <c r="D31" s="2081"/>
      <c r="E31" s="2082"/>
      <c r="F31" s="2083"/>
      <c r="G31" s="2082"/>
      <c r="H31" s="2082"/>
      <c r="I31" s="2082"/>
      <c r="J31" s="2084"/>
      <c r="K31" s="1114"/>
      <c r="L31" s="3346" t="s">
        <v>1994</v>
      </c>
      <c r="M31" s="1994">
        <v>0.25</v>
      </c>
      <c r="N31" s="1994">
        <v>0.2</v>
      </c>
      <c r="O31" s="1994">
        <v>0.15</v>
      </c>
      <c r="P31" s="1994">
        <v>0.1</v>
      </c>
      <c r="Q31" s="3341">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2024</v>
      </c>
      <c r="C32" s="2087" t="s">
        <v>2025</v>
      </c>
      <c r="D32" s="2087" t="s">
        <v>2026</v>
      </c>
      <c r="E32" s="2088" t="s">
        <v>2027</v>
      </c>
      <c r="F32" s="2089"/>
      <c r="G32" s="2031"/>
      <c r="H32" s="2031"/>
      <c r="I32" s="2031"/>
      <c r="J32" s="2032"/>
      <c r="K32" s="1114"/>
      <c r="L32" s="3347" t="s">
        <v>1997</v>
      </c>
      <c r="M32" s="2564">
        <f>ROUND($E$24*(1+M31),3)</f>
        <v>5.3999999999999999E-2</v>
      </c>
      <c r="N32" s="2564">
        <f>ROUND($E$24*(1+N31),3)</f>
        <v>5.1999999999999998E-2</v>
      </c>
      <c r="O32" s="2564">
        <f>ROUND($E$24*(1+O31),3)</f>
        <v>0.05</v>
      </c>
      <c r="P32" s="2564">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2028</v>
      </c>
      <c r="C33" s="175" t="e">
        <f>ROUND(C5*C22*C23*C24*C25*C28,0)</f>
        <v>#DIV/0!</v>
      </c>
      <c r="D33" s="2092">
        <f>'数据-汇总表'!F20</f>
        <v>0</v>
      </c>
      <c r="E33" s="768" t="e">
        <f>ROUND(C33*D33/10000,0)</f>
        <v>#DIV/0!</v>
      </c>
      <c r="F33" s="3339" t="s">
        <v>3261</v>
      </c>
      <c r="G33" s="2093"/>
      <c r="H33" s="2093"/>
      <c r="I33" s="2093"/>
      <c r="J33" s="2094"/>
      <c r="K33" s="1114"/>
      <c r="L33" s="3342" t="s">
        <v>3264</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2029</v>
      </c>
      <c r="C34" s="187" t="e">
        <f>ROUND(IF(E2="工业",C33*M42,IF(B25="楼层修正",SUM(V2:V16)*M41*10000/D34,C33*M41)),0)</f>
        <v>#DIV/0!</v>
      </c>
      <c r="D34" s="2097"/>
      <c r="E34" s="768" t="e">
        <f>ROUND(IF(B25="楼层修正",SUM(V2:V16)*M40,C34*D34/10000),0)</f>
        <v>#DIV/0!</v>
      </c>
      <c r="F34" s="2098" t="s">
        <v>2030</v>
      </c>
      <c r="G34" s="2099"/>
      <c r="H34" s="2099"/>
      <c r="I34" s="2099"/>
      <c r="J34" s="2100"/>
      <c r="K34" s="1114"/>
      <c r="L34" s="3342" t="s">
        <v>3265</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2031</v>
      </c>
      <c r="C35" s="3340" t="s">
        <v>3262</v>
      </c>
      <c r="D35" s="2031"/>
      <c r="E35" s="2103"/>
      <c r="F35" s="2103"/>
      <c r="G35" s="2029" t="s">
        <v>2032</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50" t="s">
        <v>2025</v>
      </c>
      <c r="D36" s="447" t="s">
        <v>2026</v>
      </c>
      <c r="E36" s="447" t="s">
        <v>2027</v>
      </c>
      <c r="F36" s="342" t="s">
        <v>2033</v>
      </c>
      <c r="G36" s="2106" t="s">
        <v>2025</v>
      </c>
      <c r="H36" s="2106" t="s">
        <v>2026</v>
      </c>
      <c r="I36" s="2106" t="s">
        <v>2027</v>
      </c>
      <c r="J36" s="243"/>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807"/>
      <c r="B37" s="2107" t="s">
        <v>2034</v>
      </c>
      <c r="C37" s="175" t="e">
        <f>ROUND(D5*C22*C23*C24*C28*F37,0)</f>
        <v>#DIV/0!</v>
      </c>
      <c r="D37" s="2092"/>
      <c r="E37" s="171" t="e">
        <f>ROUND(C37*D37/10000,0)</f>
        <v>#DIV/0!</v>
      </c>
      <c r="F37" s="171">
        <f>SUMIF(修正!A57:A68,G2,修正!B57:B68)</f>
        <v>0</v>
      </c>
      <c r="G37" s="171" t="e">
        <f>ROUND(IF(E2="工业",C37*$M$42,C37*$M$41),0)</f>
        <v>#DIV/0!</v>
      </c>
      <c r="H37" s="171">
        <f>D37</f>
        <v>0</v>
      </c>
      <c r="I37" s="171" t="e">
        <f>ROUND(G37*H37/10000,0)</f>
        <v>#DIV/0!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808"/>
      <c r="B38" s="2035" t="s">
        <v>2035</v>
      </c>
      <c r="C38" s="175" t="e">
        <f>ROUND(D5*C22*C23*C24*C28*F38,0)</f>
        <v>#DIV/0!</v>
      </c>
      <c r="D38" s="2092"/>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08"/>
      <c r="B39" s="2035" t="s">
        <v>3260</v>
      </c>
      <c r="C39" s="175" t="e">
        <f>ROUND(D5*C22*C23*C24*C28*F39,0)</f>
        <v>#DIV/0!</v>
      </c>
      <c r="D39" s="2092"/>
      <c r="E39" s="171" t="e">
        <f t="shared" si="4"/>
        <v>#DIV/0!</v>
      </c>
      <c r="F39" s="171">
        <f>SUMIF(修正!A57:A68,G2,修正!D57:D68)</f>
        <v>0</v>
      </c>
      <c r="G39" s="171" t="e">
        <f>ROUND(IF(E2="工业",C39*$M$42,C39*$M$41),0)</f>
        <v>#DIV/0!</v>
      </c>
      <c r="H39" s="171">
        <f t="shared" si="5"/>
        <v>0</v>
      </c>
      <c r="I39" s="171" t="e">
        <f t="shared" si="6"/>
        <v>#DIV/0!</v>
      </c>
      <c r="J39" s="3004"/>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2036</v>
      </c>
      <c r="C40" s="171" t="e">
        <f>ROUND(D5*C22*C23*C24*C28*F40,0)</f>
        <v>#DIV/0!</v>
      </c>
      <c r="D40" s="2092"/>
      <c r="E40" s="171" t="e">
        <f t="shared" si="4"/>
        <v>#DIV/0!</v>
      </c>
      <c r="F40" s="175">
        <f>SUMIF(修正!A57:A68,G2,修正!E57:E68)</f>
        <v>0</v>
      </c>
      <c r="G40" s="171" t="e">
        <f>ROUND(IF(E2="工业",C40*$M$42,C40*$M$41),0)</f>
        <v>#DIV/0!</v>
      </c>
      <c r="H40" s="171">
        <f t="shared" si="5"/>
        <v>0</v>
      </c>
      <c r="I40" s="171" t="e">
        <f t="shared" si="6"/>
        <v>#DIV/0!</v>
      </c>
      <c r="J40" s="2108"/>
      <c r="L40" s="2110" t="s">
        <v>2037</v>
      </c>
      <c r="M40" s="2111"/>
      <c r="Z40" s="1115"/>
      <c r="AA40" s="1115"/>
      <c r="AB40" s="1115"/>
      <c r="AC40" s="1115"/>
      <c r="AD40" s="1115"/>
      <c r="AE40" s="1115"/>
      <c r="AF40" s="1115"/>
      <c r="AG40" s="1115"/>
      <c r="AH40" s="1115"/>
      <c r="AI40" s="1115"/>
      <c r="AJ40" s="1115"/>
    </row>
    <row r="41" spans="1:37" s="1114" customFormat="1">
      <c r="A41" s="2109"/>
      <c r="B41" s="2035" t="s">
        <v>2038</v>
      </c>
      <c r="C41" s="171" t="e">
        <f>ROUND(D5*C22*C23*C44*C28*F41,0)</f>
        <v>#DIV/0!</v>
      </c>
      <c r="D41" s="2092"/>
      <c r="E41" s="171" t="e">
        <f t="shared" si="4"/>
        <v>#DIV/0!</v>
      </c>
      <c r="F41" s="175">
        <f>SUMIF(修正!A57:A68,G2,修正!F57:F68)</f>
        <v>0</v>
      </c>
      <c r="G41" s="171" t="e">
        <f>ROUND(IF(E2="工业",C41*$M$42,C41*$M$41),0)</f>
        <v>#DIV/0!</v>
      </c>
      <c r="H41" s="171">
        <f t="shared" si="5"/>
        <v>0</v>
      </c>
      <c r="I41" s="171" t="e">
        <f t="shared" si="6"/>
        <v>#DIV/0!</v>
      </c>
      <c r="J41" s="2108"/>
      <c r="L41" s="3353" t="s">
        <v>3268</v>
      </c>
      <c r="M41" s="2112">
        <v>0.25</v>
      </c>
      <c r="Z41" s="1115"/>
      <c r="AA41" s="1115"/>
      <c r="AB41" s="1115"/>
      <c r="AC41" s="1115"/>
      <c r="AD41" s="1115"/>
      <c r="AE41" s="1115"/>
      <c r="AF41" s="1115"/>
      <c r="AG41" s="1115"/>
      <c r="AH41" s="1115"/>
      <c r="AI41" s="1115"/>
      <c r="AJ41" s="1115"/>
    </row>
    <row r="42" spans="1:37" s="1114" customFormat="1" ht="13.5" thickBot="1">
      <c r="A42" s="2095"/>
      <c r="B42" s="2113" t="s">
        <v>2039</v>
      </c>
      <c r="C42" s="187" t="e">
        <f>ROUND(D5*C22*C23*C44*C28*F42,0)</f>
        <v>#DIV/0!</v>
      </c>
      <c r="D42" s="2097"/>
      <c r="E42" s="187" t="e">
        <f t="shared" si="4"/>
        <v>#DIV/0!</v>
      </c>
      <c r="F42" s="762">
        <f>SUMIF(修正!A57:A68,G2,修正!G57:G68)</f>
        <v>0</v>
      </c>
      <c r="G42" s="187" t="e">
        <f>ROUND(IF(E2="工业",C42*$M$42,C42*$M$41),0)</f>
        <v>#DIV/0!</v>
      </c>
      <c r="H42" s="187">
        <f t="shared" si="5"/>
        <v>0</v>
      </c>
      <c r="I42" s="187" t="e">
        <f t="shared" si="6"/>
        <v>#DIV/0!</v>
      </c>
      <c r="J42" s="2114"/>
      <c r="L42" s="2115" t="s">
        <v>1991</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2120</v>
      </c>
      <c r="C44" s="342">
        <f>ROUND(POWER(1+E44,H44-G44)*(POWER(1+E44,G44)-1)/(POWER(1+E44,H44)-1),4)</f>
        <v>0</v>
      </c>
      <c r="D44" s="171" t="s">
        <v>1997</v>
      </c>
      <c r="E44" s="2147">
        <f>G24</f>
        <v>5.5E-2</v>
      </c>
      <c r="F44" s="171" t="s">
        <v>2006</v>
      </c>
      <c r="G44" s="183"/>
      <c r="H44" s="171">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2040</v>
      </c>
      <c r="B47" s="2119"/>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0" t="s">
        <v>2041</v>
      </c>
      <c r="B48" s="2121">
        <f>1+E50</f>
        <v>1.0339</v>
      </c>
      <c r="C48" s="2122"/>
      <c r="D48" s="736"/>
      <c r="E48" s="737"/>
      <c r="F48" s="2123"/>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4" t="s">
        <v>2042</v>
      </c>
      <c r="B49" s="1346" t="s">
        <v>2043</v>
      </c>
      <c r="C49" s="1346" t="s">
        <v>2044</v>
      </c>
      <c r="D49" s="1346" t="s">
        <v>2045</v>
      </c>
      <c r="E49" s="738" t="s">
        <v>2046</v>
      </c>
      <c r="F49" s="2125" t="s">
        <v>2047</v>
      </c>
      <c r="G49" s="1346" t="s">
        <v>310</v>
      </c>
      <c r="H49" s="2126" t="s">
        <v>2048</v>
      </c>
      <c r="I49" s="1346" t="s">
        <v>2049</v>
      </c>
      <c r="J49" s="552" t="s">
        <v>1720</v>
      </c>
      <c r="K49" s="552" t="s">
        <v>1721</v>
      </c>
      <c r="L49" s="552" t="s">
        <v>1722</v>
      </c>
      <c r="M49" s="552" t="s">
        <v>1723</v>
      </c>
      <c r="N49" s="552" t="s">
        <v>1724</v>
      </c>
      <c r="AA49" s="1115"/>
      <c r="AB49" s="1115"/>
      <c r="AC49" s="1115"/>
      <c r="AD49" s="1115"/>
      <c r="AE49" s="1115"/>
      <c r="AF49" s="1115"/>
      <c r="AG49" s="1115"/>
      <c r="AH49" s="1115"/>
      <c r="AI49" s="1115"/>
      <c r="AJ49" s="1115"/>
      <c r="AK49" s="1115"/>
    </row>
    <row r="50" spans="1:37" s="1114" customFormat="1" ht="38.25">
      <c r="A50" s="2124" t="s">
        <v>2050</v>
      </c>
      <c r="B50" s="2127" t="str">
        <f>估价对象房地状况!C4</f>
        <v>估价对象位于XX商圈，周边商业氛围成熟，人流量大，商业繁华度好</v>
      </c>
      <c r="C50" s="2038" t="s">
        <v>3392</v>
      </c>
      <c r="D50" s="1060">
        <f t="shared" ref="D50:D58" si="7">SUMIF($J$49:$N$49,C50,J50:N50)</f>
        <v>0</v>
      </c>
      <c r="E50" s="739">
        <f>ROUND(SUM(D50:D58),4)</f>
        <v>3.39E-2</v>
      </c>
      <c r="F50" s="1809" t="str">
        <f>IF(E2="商业",SUMIF(L1:L12,G2,N1:N12),"——")</f>
        <v>——</v>
      </c>
      <c r="G50" s="1058">
        <v>1.47E-2</v>
      </c>
      <c r="H50" s="1061" t="str">
        <f t="shared" ref="H50:H58" si="8">IFERROR(ROUNDDOWN($F$50*I50/2,4),"——")</f>
        <v>——</v>
      </c>
      <c r="I50" s="3360">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38.25">
      <c r="A51" s="2124" t="s">
        <v>2051</v>
      </c>
      <c r="B51" s="2128" t="str">
        <f>估价对象房地状况!C18</f>
        <v>估价对象周边道路状况、公共交通通达情况、停车便捷程度，综合评价交通便捷度较好</v>
      </c>
      <c r="C51" s="2038" t="s">
        <v>3393</v>
      </c>
      <c r="D51" s="1060">
        <f t="shared" si="7"/>
        <v>1.0699999999999999E-2</v>
      </c>
      <c r="E51" s="740"/>
      <c r="F51" s="1809"/>
      <c r="G51" s="1058">
        <v>1.0699999999999999E-2</v>
      </c>
      <c r="H51" s="1061" t="str">
        <f t="shared" si="8"/>
        <v>——</v>
      </c>
      <c r="I51" s="3360">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2" t="s">
        <v>3270</v>
      </c>
      <c r="B52" s="2128">
        <f>估价对象房地状况!C19</f>
        <v>0</v>
      </c>
      <c r="C52" s="2038" t="s">
        <v>3393</v>
      </c>
      <c r="D52" s="1060">
        <f t="shared" si="7"/>
        <v>5.7999999999999996E-3</v>
      </c>
      <c r="E52" s="740"/>
      <c r="F52" s="1809"/>
      <c r="G52" s="1058">
        <v>5.7999999999999996E-3</v>
      </c>
      <c r="H52" s="1061" t="str">
        <f t="shared" si="8"/>
        <v>——</v>
      </c>
      <c r="I52" s="3360">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4" t="s">
        <v>2052</v>
      </c>
      <c r="B53" s="2129" t="s">
        <v>2053</v>
      </c>
      <c r="C53" s="2038" t="s">
        <v>3393</v>
      </c>
      <c r="D53" s="1060">
        <f t="shared" si="7"/>
        <v>2.3999999999999998E-3</v>
      </c>
      <c r="E53" s="740"/>
      <c r="F53" s="1809"/>
      <c r="G53" s="1058">
        <v>2.3999999999999998E-3</v>
      </c>
      <c r="H53" s="1061" t="str">
        <f t="shared" si="8"/>
        <v>——</v>
      </c>
      <c r="I53" s="3360">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4" t="s">
        <v>2054</v>
      </c>
      <c r="B54" s="2128">
        <f>估价对象房地状况!C24</f>
        <v>0</v>
      </c>
      <c r="C54" s="2038" t="s">
        <v>3392</v>
      </c>
      <c r="D54" s="1060">
        <f t="shared" si="7"/>
        <v>0</v>
      </c>
      <c r="E54" s="740"/>
      <c r="F54" s="1809"/>
      <c r="G54" s="1058">
        <v>3.8999999999999998E-3</v>
      </c>
      <c r="H54" s="1061" t="str">
        <f t="shared" si="8"/>
        <v>——</v>
      </c>
      <c r="I54" s="3360">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4" t="s">
        <v>2055</v>
      </c>
      <c r="B55" s="2130" t="s">
        <v>2056</v>
      </c>
      <c r="C55" s="2038" t="s">
        <v>3393</v>
      </c>
      <c r="D55" s="1060">
        <f t="shared" si="7"/>
        <v>2.3999999999999998E-3</v>
      </c>
      <c r="E55" s="740"/>
      <c r="F55" s="1809"/>
      <c r="G55" s="1058">
        <v>2.3999999999999998E-3</v>
      </c>
      <c r="H55" s="1061" t="str">
        <f t="shared" si="8"/>
        <v>——</v>
      </c>
      <c r="I55" s="3360">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5.5">
      <c r="A56" s="2131" t="s">
        <v>2057</v>
      </c>
      <c r="B56" s="1321" t="str">
        <f>估价对象房地状况!C21</f>
        <v>估价对象所在区域公共配套设施齐备情况</v>
      </c>
      <c r="C56" s="2038" t="s">
        <v>3393</v>
      </c>
      <c r="D56" s="1060">
        <f t="shared" si="7"/>
        <v>2.3999999999999998E-3</v>
      </c>
      <c r="E56" s="740"/>
      <c r="F56" s="1809"/>
      <c r="G56" s="1058">
        <v>2.3999999999999998E-3</v>
      </c>
      <c r="H56" s="1061" t="str">
        <f t="shared" si="8"/>
        <v>——</v>
      </c>
      <c r="I56" s="3360">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5.5">
      <c r="A57" s="2131" t="s">
        <v>2058</v>
      </c>
      <c r="B57" s="2128" t="str">
        <f>估价对象房地状况!C22</f>
        <v>估价对象所在区域基础设施水平</v>
      </c>
      <c r="C57" s="2038" t="s">
        <v>3394</v>
      </c>
      <c r="D57" s="1060">
        <f t="shared" si="7"/>
        <v>7.7999999999999996E-3</v>
      </c>
      <c r="E57" s="740"/>
      <c r="F57" s="1809"/>
      <c r="G57" s="1058">
        <v>3.8999999999999998E-3</v>
      </c>
      <c r="H57" s="1061" t="str">
        <f t="shared" si="8"/>
        <v>——</v>
      </c>
      <c r="I57" s="3360">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6.25" thickBot="1">
      <c r="A58" s="2132" t="s">
        <v>2059</v>
      </c>
      <c r="B58" s="2133" t="str">
        <f>估价对象房地状况!C20</f>
        <v>区域自然环境：；人文环境；综合评价环境状况一般</v>
      </c>
      <c r="C58" s="2038" t="s">
        <v>3393</v>
      </c>
      <c r="D58" s="1060">
        <f t="shared" si="7"/>
        <v>2.3999999999999998E-3</v>
      </c>
      <c r="E58" s="741"/>
      <c r="F58" s="1809"/>
      <c r="G58" s="1058">
        <v>2.3999999999999998E-3</v>
      </c>
      <c r="H58" s="1061" t="str">
        <f t="shared" si="8"/>
        <v>——</v>
      </c>
      <c r="I58" s="3361">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0" t="s">
        <v>2060</v>
      </c>
      <c r="B59" s="2121">
        <f>1+E61</f>
        <v>1.0370999999999999</v>
      </c>
      <c r="C59" s="736"/>
      <c r="D59" s="736"/>
      <c r="E59" s="737"/>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2042</v>
      </c>
      <c r="B60" s="1346"/>
      <c r="C60" s="1346" t="s">
        <v>2044</v>
      </c>
      <c r="D60" s="1346" t="s">
        <v>2045</v>
      </c>
      <c r="E60" s="738" t="s">
        <v>2046</v>
      </c>
      <c r="F60" s="2125" t="s">
        <v>2061</v>
      </c>
      <c r="G60" s="1346" t="s">
        <v>310</v>
      </c>
      <c r="H60" s="2126" t="s">
        <v>2048</v>
      </c>
      <c r="I60" s="1346" t="s">
        <v>2049</v>
      </c>
      <c r="J60" s="552" t="s">
        <v>1720</v>
      </c>
      <c r="K60" s="552" t="s">
        <v>1721</v>
      </c>
      <c r="L60" s="552" t="s">
        <v>1722</v>
      </c>
      <c r="M60" s="552" t="s">
        <v>1723</v>
      </c>
      <c r="N60" s="552" t="s">
        <v>1724</v>
      </c>
      <c r="AA60" s="1115"/>
      <c r="AB60" s="1115"/>
      <c r="AC60" s="1115"/>
      <c r="AD60" s="1115"/>
      <c r="AE60" s="1115"/>
      <c r="AF60" s="1115"/>
      <c r="AG60" s="1115"/>
      <c r="AH60" s="1115"/>
      <c r="AI60" s="1115"/>
      <c r="AJ60" s="1115"/>
      <c r="AK60" s="1115"/>
    </row>
    <row r="61" spans="1:37" s="1114" customFormat="1" ht="38.25">
      <c r="A61" s="2124" t="s">
        <v>2062</v>
      </c>
      <c r="B61" s="2127" t="str">
        <f>估价对象房地状况!C17</f>
        <v>估价对象位于XX商圈，周边办公楼项目较多，入驻率高，办公集聚程度较好</v>
      </c>
      <c r="C61" s="2038" t="s">
        <v>3392</v>
      </c>
      <c r="D61" s="1060">
        <f t="shared" ref="D61:D69" si="12">SUMIF($J$60:$N$60,C61,J61:N61)</f>
        <v>0</v>
      </c>
      <c r="E61" s="739">
        <f>ROUND(SUM(D61:D69),4)</f>
        <v>3.7100000000000001E-2</v>
      </c>
      <c r="F61" s="1809">
        <f>IF(E2="办公",SUMIF(L1:L12,G2,N1:N12),"——")</f>
        <v>0</v>
      </c>
      <c r="G61" s="1058">
        <v>1.18E-2</v>
      </c>
      <c r="H61" s="1061">
        <f t="shared" ref="H61:H69" si="13">IFERROR(ROUNDDOWN($F$61*I61/2,4),"——")</f>
        <v>0</v>
      </c>
      <c r="I61" s="3360">
        <v>0.25</v>
      </c>
      <c r="J61" s="1059">
        <f t="shared" ref="J61:J69" si="14">K61+$G61</f>
        <v>2.3599999999999999E-2</v>
      </c>
      <c r="K61" s="1059">
        <f t="shared" ref="K61:K69" si="15">$L61+$G61</f>
        <v>1.18E-2</v>
      </c>
      <c r="L61" s="1059">
        <v>0</v>
      </c>
      <c r="M61" s="1059">
        <f t="shared" ref="M61:N69" si="16">L61-$G61</f>
        <v>-1.18E-2</v>
      </c>
      <c r="N61" s="1059">
        <f t="shared" si="16"/>
        <v>-2.3599999999999999E-2</v>
      </c>
      <c r="AA61" s="1115"/>
      <c r="AB61" s="1115"/>
      <c r="AC61" s="1115"/>
      <c r="AD61" s="1115"/>
      <c r="AE61" s="1115"/>
      <c r="AF61" s="1115"/>
      <c r="AG61" s="1115"/>
      <c r="AH61" s="1115"/>
      <c r="AI61" s="1115"/>
      <c r="AJ61" s="1115"/>
      <c r="AK61" s="1115"/>
    </row>
    <row r="62" spans="1:37" s="1114" customFormat="1" ht="38.25">
      <c r="A62" s="2124" t="s">
        <v>2051</v>
      </c>
      <c r="B62" s="2128" t="str">
        <f>估价对象房地状况!C18</f>
        <v>估价对象周边道路状况、公共交通通达情况、停车便捷程度，综合评价交通便捷度较好</v>
      </c>
      <c r="C62" s="2038" t="s">
        <v>3393</v>
      </c>
      <c r="D62" s="1060">
        <f t="shared" si="12"/>
        <v>1.23E-2</v>
      </c>
      <c r="E62" s="740"/>
      <c r="F62" s="1809"/>
      <c r="G62" s="1058">
        <v>1.23E-2</v>
      </c>
      <c r="H62" s="1061">
        <f t="shared" si="13"/>
        <v>0</v>
      </c>
      <c r="I62" s="3360">
        <v>0.26</v>
      </c>
      <c r="J62" s="1059">
        <f t="shared" si="14"/>
        <v>2.46E-2</v>
      </c>
      <c r="K62" s="1059">
        <f t="shared" si="15"/>
        <v>1.23E-2</v>
      </c>
      <c r="L62" s="1059">
        <v>0</v>
      </c>
      <c r="M62" s="1059">
        <f t="shared" si="16"/>
        <v>-1.23E-2</v>
      </c>
      <c r="N62" s="1059">
        <f t="shared" si="16"/>
        <v>-2.46E-2</v>
      </c>
      <c r="AA62" s="1115"/>
      <c r="AB62" s="1115"/>
      <c r="AC62" s="1115"/>
      <c r="AD62" s="1115"/>
      <c r="AE62" s="1115"/>
      <c r="AF62" s="1115"/>
      <c r="AG62" s="1115"/>
      <c r="AH62" s="1115"/>
      <c r="AI62" s="1115"/>
      <c r="AJ62" s="1115"/>
      <c r="AK62" s="1115"/>
    </row>
    <row r="63" spans="1:37" s="1114" customFormat="1" ht="36">
      <c r="A63" s="3362" t="s">
        <v>3270</v>
      </c>
      <c r="B63" s="2128">
        <f>估价对象房地状况!C19</f>
        <v>0</v>
      </c>
      <c r="C63" s="2038" t="s">
        <v>3393</v>
      </c>
      <c r="D63" s="1060">
        <f t="shared" si="12"/>
        <v>5.1999999999999998E-3</v>
      </c>
      <c r="E63" s="740"/>
      <c r="F63" s="1809"/>
      <c r="G63" s="1058">
        <v>5.1999999999999998E-3</v>
      </c>
      <c r="H63" s="1061">
        <f t="shared" si="13"/>
        <v>0</v>
      </c>
      <c r="I63" s="3360">
        <v>0.11</v>
      </c>
      <c r="J63" s="1059">
        <f t="shared" si="14"/>
        <v>1.04E-2</v>
      </c>
      <c r="K63" s="1059">
        <f t="shared" si="15"/>
        <v>5.1999999999999998E-3</v>
      </c>
      <c r="L63" s="1059">
        <v>0</v>
      </c>
      <c r="M63" s="1059">
        <f t="shared" si="16"/>
        <v>-5.1999999999999998E-3</v>
      </c>
      <c r="N63" s="1059">
        <f t="shared" si="16"/>
        <v>-1.04E-2</v>
      </c>
      <c r="AA63" s="1115"/>
      <c r="AB63" s="1115"/>
      <c r="AC63" s="1115"/>
      <c r="AD63" s="1115"/>
      <c r="AE63" s="1115"/>
      <c r="AF63" s="1115"/>
      <c r="AG63" s="1115"/>
      <c r="AH63" s="1115"/>
      <c r="AI63" s="1115"/>
      <c r="AJ63" s="1115"/>
      <c r="AK63" s="1115"/>
    </row>
    <row r="64" spans="1:37" s="1114" customFormat="1" ht="36.75">
      <c r="A64" s="2124" t="s">
        <v>2052</v>
      </c>
      <c r="B64" s="2129" t="s">
        <v>2053</v>
      </c>
      <c r="C64" s="2038" t="s">
        <v>3393</v>
      </c>
      <c r="D64" s="1060">
        <f t="shared" si="12"/>
        <v>2.3E-3</v>
      </c>
      <c r="E64" s="740"/>
      <c r="F64" s="1809"/>
      <c r="G64" s="1058">
        <v>2.3E-3</v>
      </c>
      <c r="H64" s="1061">
        <f t="shared" si="13"/>
        <v>0</v>
      </c>
      <c r="I64" s="3360">
        <v>0.05</v>
      </c>
      <c r="J64" s="1059">
        <f t="shared" si="14"/>
        <v>4.5999999999999999E-3</v>
      </c>
      <c r="K64" s="1059">
        <f t="shared" si="15"/>
        <v>2.3E-3</v>
      </c>
      <c r="L64" s="1059">
        <v>0</v>
      </c>
      <c r="M64" s="1059">
        <f t="shared" si="16"/>
        <v>-2.3E-3</v>
      </c>
      <c r="N64" s="1059">
        <f t="shared" si="16"/>
        <v>-4.5999999999999999E-3</v>
      </c>
      <c r="AA64" s="1115"/>
      <c r="AB64" s="1115"/>
      <c r="AC64" s="1115"/>
      <c r="AD64" s="1115"/>
      <c r="AE64" s="1115"/>
      <c r="AF64" s="1115"/>
      <c r="AG64" s="1115"/>
      <c r="AH64" s="1115"/>
      <c r="AI64" s="1115"/>
      <c r="AJ64" s="1115"/>
      <c r="AK64" s="1115"/>
    </row>
    <row r="65" spans="1:37" s="1114" customFormat="1" ht="24">
      <c r="A65" s="2124" t="s">
        <v>2054</v>
      </c>
      <c r="B65" s="2128">
        <f>估价对象房地状况!C24</f>
        <v>0</v>
      </c>
      <c r="C65" s="2038" t="s">
        <v>3392</v>
      </c>
      <c r="D65" s="1060">
        <f t="shared" si="12"/>
        <v>0</v>
      </c>
      <c r="E65" s="740"/>
      <c r="F65" s="1809"/>
      <c r="G65" s="1058">
        <v>2.3E-3</v>
      </c>
      <c r="H65" s="1061">
        <f t="shared" si="13"/>
        <v>0</v>
      </c>
      <c r="I65" s="3360">
        <v>0.05</v>
      </c>
      <c r="J65" s="1059">
        <f t="shared" si="14"/>
        <v>4.5999999999999999E-3</v>
      </c>
      <c r="K65" s="1059">
        <f t="shared" si="15"/>
        <v>2.3E-3</v>
      </c>
      <c r="L65" s="1059">
        <v>0</v>
      </c>
      <c r="M65" s="1059">
        <f t="shared" si="16"/>
        <v>-2.3E-3</v>
      </c>
      <c r="N65" s="1059">
        <f t="shared" si="16"/>
        <v>-4.5999999999999999E-3</v>
      </c>
      <c r="AA65" s="1115"/>
      <c r="AB65" s="1115"/>
      <c r="AC65" s="1115"/>
      <c r="AD65" s="1115"/>
      <c r="AE65" s="1115"/>
      <c r="AF65" s="1115"/>
      <c r="AG65" s="1115"/>
      <c r="AH65" s="1115"/>
      <c r="AI65" s="1115"/>
      <c r="AJ65" s="1115"/>
      <c r="AK65" s="1115"/>
    </row>
    <row r="66" spans="1:37" s="1114" customFormat="1" ht="24">
      <c r="A66" s="2124" t="s">
        <v>2055</v>
      </c>
      <c r="B66" s="2130" t="s">
        <v>2056</v>
      </c>
      <c r="C66" s="2038" t="s">
        <v>3393</v>
      </c>
      <c r="D66" s="1060">
        <f t="shared" si="12"/>
        <v>2.8E-3</v>
      </c>
      <c r="E66" s="740"/>
      <c r="F66" s="1809"/>
      <c r="G66" s="1058">
        <v>2.8E-3</v>
      </c>
      <c r="H66" s="1061">
        <f t="shared" si="13"/>
        <v>0</v>
      </c>
      <c r="I66" s="3360">
        <v>0.06</v>
      </c>
      <c r="J66" s="1059">
        <f t="shared" si="14"/>
        <v>5.5999999999999999E-3</v>
      </c>
      <c r="K66" s="1059">
        <f t="shared" si="15"/>
        <v>2.8E-3</v>
      </c>
      <c r="L66" s="1059">
        <v>0</v>
      </c>
      <c r="M66" s="1059">
        <f t="shared" si="16"/>
        <v>-2.8E-3</v>
      </c>
      <c r="N66" s="1059">
        <f t="shared" si="16"/>
        <v>-5.5999999999999999E-3</v>
      </c>
      <c r="AA66" s="1115"/>
      <c r="AB66" s="1115"/>
      <c r="AC66" s="1115"/>
      <c r="AD66" s="1115"/>
      <c r="AE66" s="1115"/>
      <c r="AF66" s="1115"/>
      <c r="AG66" s="1115"/>
      <c r="AH66" s="1115"/>
      <c r="AI66" s="1115"/>
      <c r="AJ66" s="1115"/>
      <c r="AK66" s="1115"/>
    </row>
    <row r="67" spans="1:37" s="1114" customFormat="1" ht="25.5">
      <c r="A67" s="2124" t="s">
        <v>2057</v>
      </c>
      <c r="B67" s="1321" t="str">
        <f>估价对象房地状况!C21</f>
        <v>估价对象所在区域公共配套设施齐备情况</v>
      </c>
      <c r="C67" s="2038" t="s">
        <v>3393</v>
      </c>
      <c r="D67" s="1060">
        <f t="shared" si="12"/>
        <v>2.8E-3</v>
      </c>
      <c r="E67" s="740"/>
      <c r="F67" s="1809"/>
      <c r="G67" s="1058">
        <v>2.8E-3</v>
      </c>
      <c r="H67" s="1061">
        <f t="shared" si="13"/>
        <v>0</v>
      </c>
      <c r="I67" s="3360">
        <v>0.06</v>
      </c>
      <c r="J67" s="1059">
        <f t="shared" si="14"/>
        <v>5.5999999999999999E-3</v>
      </c>
      <c r="K67" s="1059">
        <f t="shared" si="15"/>
        <v>2.8E-3</v>
      </c>
      <c r="L67" s="1059">
        <v>0</v>
      </c>
      <c r="M67" s="1059">
        <f t="shared" si="16"/>
        <v>-2.8E-3</v>
      </c>
      <c r="N67" s="1059">
        <f t="shared" si="16"/>
        <v>-5.5999999999999999E-3</v>
      </c>
      <c r="AA67" s="1115"/>
      <c r="AB67" s="1115"/>
      <c r="AC67" s="1115"/>
      <c r="AD67" s="1115"/>
      <c r="AE67" s="1115"/>
      <c r="AF67" s="1115"/>
      <c r="AG67" s="1115"/>
      <c r="AH67" s="1115"/>
      <c r="AI67" s="1115"/>
      <c r="AJ67" s="1115"/>
      <c r="AK67" s="1115"/>
    </row>
    <row r="68" spans="1:37" s="1114" customFormat="1" ht="25.5">
      <c r="A68" s="2124" t="s">
        <v>2058</v>
      </c>
      <c r="B68" s="1321" t="str">
        <f>估价对象房地状况!C22</f>
        <v>估价对象所在区域基础设施水平</v>
      </c>
      <c r="C68" s="2038" t="s">
        <v>3394</v>
      </c>
      <c r="D68" s="1060">
        <f t="shared" si="12"/>
        <v>8.3999999999999995E-3</v>
      </c>
      <c r="E68" s="740"/>
      <c r="F68" s="1809"/>
      <c r="G68" s="1058">
        <v>4.1999999999999997E-3</v>
      </c>
      <c r="H68" s="1061">
        <f t="shared" si="13"/>
        <v>0</v>
      </c>
      <c r="I68" s="3360">
        <v>0.09</v>
      </c>
      <c r="J68" s="1059">
        <f t="shared" si="14"/>
        <v>8.3999999999999995E-3</v>
      </c>
      <c r="K68" s="1059">
        <f t="shared" si="15"/>
        <v>4.1999999999999997E-3</v>
      </c>
      <c r="L68" s="1059">
        <v>0</v>
      </c>
      <c r="M68" s="1059">
        <f t="shared" si="16"/>
        <v>-4.1999999999999997E-3</v>
      </c>
      <c r="N68" s="1059">
        <f t="shared" si="16"/>
        <v>-8.3999999999999995E-3</v>
      </c>
      <c r="AA68" s="1115"/>
      <c r="AB68" s="1115"/>
      <c r="AC68" s="1115"/>
      <c r="AD68" s="1115"/>
      <c r="AE68" s="1115"/>
      <c r="AF68" s="1115"/>
      <c r="AG68" s="1115"/>
      <c r="AH68" s="1115"/>
      <c r="AI68" s="1115"/>
      <c r="AJ68" s="1115"/>
      <c r="AK68" s="1115"/>
    </row>
    <row r="69" spans="1:37" s="1114" customFormat="1" ht="26.25" thickBot="1">
      <c r="A69" s="2132" t="s">
        <v>2059</v>
      </c>
      <c r="B69" s="2134" t="str">
        <f>估价对象房地状况!C20</f>
        <v>区域自然环境：；人文环境；综合评价环境状况一般</v>
      </c>
      <c r="C69" s="2038" t="s">
        <v>3393</v>
      </c>
      <c r="D69" s="1060">
        <f t="shared" si="12"/>
        <v>3.3E-3</v>
      </c>
      <c r="E69" s="741"/>
      <c r="F69" s="1809"/>
      <c r="G69" s="1058">
        <v>3.3E-3</v>
      </c>
      <c r="H69" s="1061">
        <f t="shared" si="13"/>
        <v>0</v>
      </c>
      <c r="I69" s="3361">
        <v>7.0000000000000007E-2</v>
      </c>
      <c r="J69" s="1059">
        <f t="shared" si="14"/>
        <v>6.6E-3</v>
      </c>
      <c r="K69" s="1059">
        <f t="shared" si="15"/>
        <v>3.3E-3</v>
      </c>
      <c r="L69" s="1059">
        <v>0</v>
      </c>
      <c r="M69" s="1059">
        <f t="shared" si="16"/>
        <v>-3.3E-3</v>
      </c>
      <c r="N69" s="1059">
        <f t="shared" si="16"/>
        <v>-6.6E-3</v>
      </c>
      <c r="AA69" s="1115"/>
      <c r="AB69" s="1115"/>
      <c r="AC69" s="1115"/>
      <c r="AD69" s="1115"/>
      <c r="AE69" s="1115"/>
      <c r="AF69" s="1115"/>
      <c r="AG69" s="1115"/>
      <c r="AH69" s="1115"/>
      <c r="AI69" s="1115"/>
      <c r="AJ69" s="1115"/>
      <c r="AK69" s="1115"/>
    </row>
    <row r="70" spans="1:37" s="1114" customFormat="1" ht="15">
      <c r="A70" s="2120" t="s">
        <v>2063</v>
      </c>
      <c r="B70" s="2121">
        <f>1+E72</f>
        <v>1</v>
      </c>
      <c r="C70" s="736"/>
      <c r="D70" s="736"/>
      <c r="E70" s="737"/>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2042</v>
      </c>
      <c r="B71" s="1346"/>
      <c r="C71" s="1346" t="s">
        <v>2044</v>
      </c>
      <c r="D71" s="1346" t="s">
        <v>2045</v>
      </c>
      <c r="E71" s="738" t="s">
        <v>2046</v>
      </c>
      <c r="F71" s="2125" t="s">
        <v>2061</v>
      </c>
      <c r="G71" s="1346" t="s">
        <v>310</v>
      </c>
      <c r="H71" s="2126" t="s">
        <v>2048</v>
      </c>
      <c r="I71" s="1346" t="s">
        <v>2049</v>
      </c>
      <c r="J71" s="552" t="s">
        <v>1720</v>
      </c>
      <c r="K71" s="552" t="s">
        <v>1721</v>
      </c>
      <c r="L71" s="552" t="s">
        <v>1722</v>
      </c>
      <c r="M71" s="552" t="s">
        <v>1723</v>
      </c>
      <c r="N71" s="552" t="s">
        <v>1724</v>
      </c>
      <c r="AA71" s="1115"/>
      <c r="AB71" s="1115"/>
      <c r="AC71" s="1115"/>
      <c r="AD71" s="1115"/>
      <c r="AE71" s="1115"/>
      <c r="AF71" s="1115"/>
      <c r="AG71" s="1115"/>
      <c r="AH71" s="1115"/>
      <c r="AI71" s="1115"/>
      <c r="AJ71" s="1115"/>
      <c r="AK71" s="1115"/>
    </row>
    <row r="72" spans="1:37" s="1114" customFormat="1" ht="51">
      <c r="A72" s="2124" t="s">
        <v>2064</v>
      </c>
      <c r="B72" s="2127" t="str">
        <f>估价对象房地状况!C15</f>
        <v>估价对象周边居住用地比例、居住小区规模和社区发展完善程度，综合评价居住社区成熟度一般</v>
      </c>
      <c r="C72" s="2038"/>
      <c r="D72" s="1060">
        <f t="shared" ref="D72:D80" si="17">SUMIF($J$71:$N$71,C72,J72:N72)</f>
        <v>0</v>
      </c>
      <c r="E72" s="739">
        <f>ROUND(SUM(D72:D80),4)</f>
        <v>0</v>
      </c>
      <c r="F72" s="1809"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4" t="s">
        <v>2051</v>
      </c>
      <c r="B73" s="2128" t="str">
        <f>估价对象房地状况!C18</f>
        <v>估价对象周边道路状况、公共交通通达情况、停车便捷程度，综合评价交通便捷度较好</v>
      </c>
      <c r="C73" s="2038"/>
      <c r="D73" s="1060">
        <f t="shared" si="17"/>
        <v>0</v>
      </c>
      <c r="E73" s="742"/>
      <c r="F73" s="1809"/>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2" t="s">
        <v>3270</v>
      </c>
      <c r="B74" s="2128">
        <f>估价对象房地状况!C19</f>
        <v>0</v>
      </c>
      <c r="C74" s="2038"/>
      <c r="D74" s="1060">
        <f t="shared" si="17"/>
        <v>0</v>
      </c>
      <c r="E74" s="742"/>
      <c r="F74" s="1809"/>
      <c r="G74" s="1058"/>
      <c r="H74" s="1061" t="str">
        <f t="shared" si="18"/>
        <v>——</v>
      </c>
      <c r="I74" s="3360">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2065</v>
      </c>
      <c r="B75" s="2128">
        <f>估价对象房地状况!C24</f>
        <v>0</v>
      </c>
      <c r="C75" s="2038"/>
      <c r="D75" s="1060">
        <f t="shared" si="17"/>
        <v>0</v>
      </c>
      <c r="E75" s="742"/>
      <c r="F75" s="1809"/>
      <c r="G75" s="1058"/>
      <c r="H75" s="1061" t="str">
        <f t="shared" si="18"/>
        <v>——</v>
      </c>
      <c r="I75" s="3360">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25.5">
      <c r="A76" s="2124" t="s">
        <v>2057</v>
      </c>
      <c r="B76" s="1321" t="str">
        <f>估价对象房地状况!C21</f>
        <v>估价对象所在区域公共配套设施齐备情况</v>
      </c>
      <c r="C76" s="2038"/>
      <c r="D76" s="1060">
        <f t="shared" si="17"/>
        <v>0</v>
      </c>
      <c r="E76" s="742"/>
      <c r="F76" s="1809"/>
      <c r="G76" s="1058"/>
      <c r="H76" s="1061" t="str">
        <f t="shared" si="18"/>
        <v>——</v>
      </c>
      <c r="I76" s="3360">
        <v>0.08</v>
      </c>
      <c r="J76" s="1059">
        <f t="shared" si="19"/>
        <v>0</v>
      </c>
      <c r="K76" s="1059">
        <f t="shared" si="20"/>
        <v>0</v>
      </c>
      <c r="L76" s="1059">
        <v>0</v>
      </c>
      <c r="M76" s="1059">
        <f t="shared" si="21"/>
        <v>0</v>
      </c>
      <c r="N76" s="1059">
        <f t="shared" si="21"/>
        <v>0</v>
      </c>
      <c r="O76" s="1114"/>
      <c r="P76" s="1114"/>
      <c r="Z76" s="1992"/>
      <c r="AA76" s="2047"/>
      <c r="AG76" s="1116"/>
      <c r="AK76" s="2047"/>
    </row>
    <row r="77" spans="1:37" ht="25.5">
      <c r="A77" s="2124" t="s">
        <v>2058</v>
      </c>
      <c r="B77" s="1321" t="str">
        <f>估价对象房地状况!C22</f>
        <v>估价对象所在区域基础设施水平</v>
      </c>
      <c r="C77" s="2038"/>
      <c r="D77" s="1060">
        <f t="shared" si="17"/>
        <v>0</v>
      </c>
      <c r="E77" s="742"/>
      <c r="F77" s="1809"/>
      <c r="G77" s="1058"/>
      <c r="H77" s="1061" t="str">
        <f t="shared" si="18"/>
        <v>——</v>
      </c>
      <c r="I77" s="3360">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2055</v>
      </c>
      <c r="B78" s="2130" t="s">
        <v>2056</v>
      </c>
      <c r="C78" s="2038"/>
      <c r="D78" s="1060">
        <f t="shared" si="17"/>
        <v>0</v>
      </c>
      <c r="E78" s="742"/>
      <c r="F78" s="1809"/>
      <c r="G78" s="1058"/>
      <c r="H78" s="1061" t="str">
        <f t="shared" si="18"/>
        <v>——</v>
      </c>
      <c r="I78" s="3360">
        <v>0.05</v>
      </c>
      <c r="J78" s="1059">
        <f t="shared" si="19"/>
        <v>0</v>
      </c>
      <c r="K78" s="1059">
        <f t="shared" si="20"/>
        <v>0</v>
      </c>
      <c r="L78" s="1059">
        <v>0</v>
      </c>
      <c r="M78" s="1059">
        <f t="shared" si="21"/>
        <v>0</v>
      </c>
      <c r="N78" s="1059">
        <f t="shared" si="21"/>
        <v>0</v>
      </c>
      <c r="O78" s="1991"/>
      <c r="P78" s="1991"/>
      <c r="Z78" s="1992"/>
      <c r="AA78" s="2047"/>
      <c r="AG78" s="1116"/>
      <c r="AK78" s="2047"/>
    </row>
    <row r="79" spans="1:37" ht="25.5">
      <c r="A79" s="2124" t="s">
        <v>2059</v>
      </c>
      <c r="B79" s="2127" t="str">
        <f>估价对象房地状况!C20</f>
        <v>区域自然环境：；人文环境；综合评价环境状况一般</v>
      </c>
      <c r="C79" s="2038"/>
      <c r="D79" s="1060">
        <f t="shared" si="17"/>
        <v>0</v>
      </c>
      <c r="E79" s="742"/>
      <c r="F79" s="1809"/>
      <c r="G79" s="1058"/>
      <c r="H79" s="1061" t="str">
        <f t="shared" si="18"/>
        <v>——</v>
      </c>
      <c r="I79" s="3360">
        <v>0.12</v>
      </c>
      <c r="J79" s="1059">
        <f t="shared" si="19"/>
        <v>0</v>
      </c>
      <c r="K79" s="1059">
        <f t="shared" si="20"/>
        <v>0</v>
      </c>
      <c r="L79" s="1059">
        <v>0</v>
      </c>
      <c r="M79" s="1059">
        <f t="shared" si="21"/>
        <v>0</v>
      </c>
      <c r="N79" s="1059">
        <f t="shared" si="21"/>
        <v>0</v>
      </c>
      <c r="Z79" s="1992"/>
      <c r="AA79" s="2047"/>
      <c r="AG79" s="1116"/>
      <c r="AK79" s="2047"/>
    </row>
    <row r="80" spans="1:37" ht="24.75" thickBot="1">
      <c r="A80" s="2132" t="s">
        <v>2066</v>
      </c>
      <c r="B80" s="2136"/>
      <c r="C80" s="2038"/>
      <c r="D80" s="1060">
        <f t="shared" si="17"/>
        <v>0</v>
      </c>
      <c r="E80" s="743"/>
      <c r="F80" s="1809"/>
      <c r="G80" s="1058"/>
      <c r="H80" s="1061" t="str">
        <f t="shared" si="18"/>
        <v>——</v>
      </c>
      <c r="I80" s="3361">
        <v>0.05</v>
      </c>
      <c r="J80" s="1059">
        <f t="shared" si="19"/>
        <v>0</v>
      </c>
      <c r="K80" s="1059">
        <f t="shared" si="20"/>
        <v>0</v>
      </c>
      <c r="L80" s="1059">
        <v>0</v>
      </c>
      <c r="M80" s="1059">
        <f t="shared" si="21"/>
        <v>0</v>
      </c>
      <c r="N80" s="1059">
        <f t="shared" si="21"/>
        <v>0</v>
      </c>
      <c r="Z80" s="1992"/>
      <c r="AA80" s="2047"/>
      <c r="AG80" s="1116"/>
      <c r="AK80" s="2047"/>
    </row>
    <row r="81" spans="1:37" ht="15">
      <c r="A81" s="2120" t="s">
        <v>2067</v>
      </c>
      <c r="B81" s="2121">
        <f>1+E83</f>
        <v>1</v>
      </c>
      <c r="C81" s="736"/>
      <c r="D81" s="736"/>
      <c r="E81" s="737"/>
      <c r="F81" s="2123"/>
      <c r="G81" s="3"/>
      <c r="H81" s="3"/>
      <c r="I81" s="3"/>
      <c r="J81" s="4"/>
      <c r="K81" s="4"/>
      <c r="L81" s="4"/>
      <c r="M81" s="4"/>
      <c r="N81" s="4"/>
      <c r="Z81" s="1992"/>
      <c r="AA81" s="2047"/>
      <c r="AG81" s="1116"/>
      <c r="AK81" s="2047"/>
    </row>
    <row r="82" spans="1:37" ht="24.75">
      <c r="A82" s="2124" t="s">
        <v>2042</v>
      </c>
      <c r="B82" s="1346"/>
      <c r="C82" s="1346" t="s">
        <v>2044</v>
      </c>
      <c r="D82" s="1346" t="s">
        <v>2045</v>
      </c>
      <c r="E82" s="738" t="s">
        <v>2046</v>
      </c>
      <c r="F82" s="2125" t="s">
        <v>2061</v>
      </c>
      <c r="G82" s="1346" t="s">
        <v>310</v>
      </c>
      <c r="H82" s="2126" t="s">
        <v>2048</v>
      </c>
      <c r="I82" s="1346" t="s">
        <v>2049</v>
      </c>
      <c r="J82" s="552" t="s">
        <v>1720</v>
      </c>
      <c r="K82" s="552" t="s">
        <v>1721</v>
      </c>
      <c r="L82" s="552" t="s">
        <v>1722</v>
      </c>
      <c r="M82" s="552" t="s">
        <v>1723</v>
      </c>
      <c r="N82" s="552" t="s">
        <v>1724</v>
      </c>
      <c r="Z82" s="1992"/>
      <c r="AA82" s="2047"/>
      <c r="AG82" s="1116"/>
      <c r="AK82" s="2047"/>
    </row>
    <row r="83" spans="1:37" ht="38.25">
      <c r="A83" s="2124" t="s">
        <v>2068</v>
      </c>
      <c r="B83" s="2128" t="str">
        <f>估价对象房地状况!G15</f>
        <v>估价对象位于XX开发区，园区建设成熟度XX，产业集聚程度XX</v>
      </c>
      <c r="C83" s="2038"/>
      <c r="D83" s="1060">
        <f t="shared" ref="D83:D90" si="22">SUMIF($J$82:$N$82,C83,J83:N83)</f>
        <v>0</v>
      </c>
      <c r="E83" s="739">
        <f>ROUND(SUM(D83:D90),4)</f>
        <v>0</v>
      </c>
      <c r="F83" s="1809" t="str">
        <f>IF(E2="工业",SUMIF(L1:L12,G2,N1:N12),"——")</f>
        <v>——</v>
      </c>
      <c r="G83" s="1058"/>
      <c r="H83" s="1061" t="str">
        <f t="shared" ref="H83:H90" si="23">IFERROR(ROUNDDOWN($F$83*I83/2,4),"——")</f>
        <v>——</v>
      </c>
      <c r="I83" s="3360">
        <v>0.26</v>
      </c>
      <c r="J83" s="1059">
        <f t="shared" ref="J83:J90" si="24">K83+$G83</f>
        <v>0</v>
      </c>
      <c r="K83" s="1059">
        <f t="shared" ref="K83:K90" si="25">$L83+$G83</f>
        <v>0</v>
      </c>
      <c r="L83" s="1059">
        <v>0</v>
      </c>
      <c r="M83" s="1059">
        <f t="shared" ref="M83:N90" si="26">L83-$G83</f>
        <v>0</v>
      </c>
      <c r="N83" s="1059">
        <f t="shared" si="26"/>
        <v>0</v>
      </c>
      <c r="Z83" s="1992"/>
      <c r="AA83" s="2047"/>
      <c r="AG83" s="1116"/>
      <c r="AK83" s="2047"/>
    </row>
    <row r="84" spans="1:37" ht="38.25">
      <c r="A84" s="2124" t="s">
        <v>2051</v>
      </c>
      <c r="B84" s="2128" t="str">
        <f>估价对象房地状况!G16</f>
        <v>估价对象周边道路状况、公共交通通达情况、停车便捷程度，综合评价交通便捷度较好</v>
      </c>
      <c r="C84" s="2038"/>
      <c r="D84" s="1060">
        <f t="shared" si="22"/>
        <v>0</v>
      </c>
      <c r="E84" s="742"/>
      <c r="F84" s="1809"/>
      <c r="G84" s="1058"/>
      <c r="H84" s="1061" t="str">
        <f t="shared" si="23"/>
        <v>——</v>
      </c>
      <c r="I84" s="3360">
        <v>0.3</v>
      </c>
      <c r="J84" s="1059">
        <f t="shared" si="24"/>
        <v>0</v>
      </c>
      <c r="K84" s="1059">
        <f t="shared" si="25"/>
        <v>0</v>
      </c>
      <c r="L84" s="1059">
        <v>0</v>
      </c>
      <c r="M84" s="1059">
        <f t="shared" si="26"/>
        <v>0</v>
      </c>
      <c r="N84" s="1059">
        <f t="shared" si="26"/>
        <v>0</v>
      </c>
      <c r="Z84" s="1992"/>
      <c r="AA84" s="2047"/>
      <c r="AG84" s="1116"/>
      <c r="AK84" s="2047"/>
    </row>
    <row r="85" spans="1:37" ht="36">
      <c r="A85" s="3362" t="s">
        <v>3271</v>
      </c>
      <c r="B85" s="2128">
        <f>估价对象房地状况!G17</f>
        <v>0</v>
      </c>
      <c r="C85" s="2038"/>
      <c r="D85" s="1060">
        <f t="shared" si="22"/>
        <v>0</v>
      </c>
      <c r="E85" s="742"/>
      <c r="F85" s="1809"/>
      <c r="G85" s="1058"/>
      <c r="H85" s="1061" t="str">
        <f t="shared" si="23"/>
        <v>——</v>
      </c>
      <c r="I85" s="3360">
        <v>0.1</v>
      </c>
      <c r="J85" s="1059">
        <f t="shared" si="24"/>
        <v>0</v>
      </c>
      <c r="K85" s="1059">
        <f t="shared" si="25"/>
        <v>0</v>
      </c>
      <c r="L85" s="1059">
        <v>0</v>
      </c>
      <c r="M85" s="1059">
        <f t="shared" si="26"/>
        <v>0</v>
      </c>
      <c r="N85" s="1059">
        <f t="shared" si="26"/>
        <v>0</v>
      </c>
      <c r="Z85" s="1992"/>
      <c r="AA85" s="2047"/>
      <c r="AG85" s="1116"/>
      <c r="AK85" s="2047"/>
    </row>
    <row r="86" spans="1:37" ht="14.25">
      <c r="A86" s="2124" t="s">
        <v>2065</v>
      </c>
      <c r="B86" s="2128">
        <f>估价对象房地状况!G22</f>
        <v>0</v>
      </c>
      <c r="C86" s="2038"/>
      <c r="D86" s="1060">
        <f t="shared" si="22"/>
        <v>0</v>
      </c>
      <c r="E86" s="742"/>
      <c r="F86" s="1809"/>
      <c r="G86" s="1058"/>
      <c r="H86" s="1061" t="str">
        <f t="shared" si="23"/>
        <v>——</v>
      </c>
      <c r="I86" s="3360">
        <v>0.05</v>
      </c>
      <c r="J86" s="1059">
        <f t="shared" si="24"/>
        <v>0</v>
      </c>
      <c r="K86" s="1059">
        <f t="shared" si="25"/>
        <v>0</v>
      </c>
      <c r="L86" s="1059">
        <v>0</v>
      </c>
      <c r="M86" s="1059">
        <f t="shared" si="26"/>
        <v>0</v>
      </c>
      <c r="N86" s="1059">
        <f t="shared" si="26"/>
        <v>0</v>
      </c>
      <c r="Z86" s="1992"/>
      <c r="AA86" s="2047"/>
      <c r="AG86" s="1116"/>
      <c r="AK86" s="2047"/>
    </row>
    <row r="87" spans="1:37" ht="25.5">
      <c r="A87" s="2124" t="s">
        <v>2057</v>
      </c>
      <c r="B87" s="1321" t="str">
        <f>估价对象房地状况!G19</f>
        <v>估价对象所在区域公共配套设施齐备情况</v>
      </c>
      <c r="C87" s="2038"/>
      <c r="D87" s="1060">
        <f t="shared" si="22"/>
        <v>0</v>
      </c>
      <c r="E87" s="742"/>
      <c r="F87" s="1809"/>
      <c r="G87" s="1058"/>
      <c r="H87" s="1061" t="str">
        <f t="shared" si="23"/>
        <v>——</v>
      </c>
      <c r="I87" s="3360">
        <v>0.06</v>
      </c>
      <c r="J87" s="1059">
        <f t="shared" si="24"/>
        <v>0</v>
      </c>
      <c r="K87" s="1059">
        <f t="shared" si="25"/>
        <v>0</v>
      </c>
      <c r="L87" s="1059">
        <v>0</v>
      </c>
      <c r="M87" s="1059">
        <f t="shared" si="26"/>
        <v>0</v>
      </c>
      <c r="N87" s="1059">
        <f t="shared" si="26"/>
        <v>0</v>
      </c>
    </row>
    <row r="88" spans="1:37" ht="25.5">
      <c r="A88" s="2124" t="s">
        <v>2058</v>
      </c>
      <c r="B88" s="1321" t="str">
        <f>估价对象房地状况!G20</f>
        <v>估价对象所在区域基础设施水平</v>
      </c>
      <c r="C88" s="2038"/>
      <c r="D88" s="1060">
        <f t="shared" si="22"/>
        <v>0</v>
      </c>
      <c r="E88" s="742"/>
      <c r="F88" s="1809"/>
      <c r="G88" s="1058"/>
      <c r="H88" s="1061" t="str">
        <f t="shared" si="23"/>
        <v>——</v>
      </c>
      <c r="I88" s="3360">
        <v>0.12</v>
      </c>
      <c r="J88" s="1059">
        <f t="shared" si="24"/>
        <v>0</v>
      </c>
      <c r="K88" s="1059">
        <f t="shared" si="25"/>
        <v>0</v>
      </c>
      <c r="L88" s="1059">
        <v>0</v>
      </c>
      <c r="M88" s="1059">
        <f t="shared" si="26"/>
        <v>0</v>
      </c>
      <c r="N88" s="1059">
        <f t="shared" si="26"/>
        <v>0</v>
      </c>
    </row>
    <row r="89" spans="1:37" ht="24">
      <c r="A89" s="2124" t="s">
        <v>2055</v>
      </c>
      <c r="B89" s="2130" t="s">
        <v>2069</v>
      </c>
      <c r="C89" s="2038"/>
      <c r="D89" s="1060">
        <f t="shared" si="22"/>
        <v>0</v>
      </c>
      <c r="E89" s="742"/>
      <c r="F89" s="1809"/>
      <c r="G89" s="1058"/>
      <c r="H89" s="1061" t="str">
        <f t="shared" si="23"/>
        <v>——</v>
      </c>
      <c r="I89" s="3360">
        <v>0.06</v>
      </c>
      <c r="J89" s="1059">
        <f t="shared" si="24"/>
        <v>0</v>
      </c>
      <c r="K89" s="1059">
        <f t="shared" si="25"/>
        <v>0</v>
      </c>
      <c r="L89" s="1059">
        <v>0</v>
      </c>
      <c r="M89" s="1059">
        <f t="shared" si="26"/>
        <v>0</v>
      </c>
      <c r="N89" s="1059">
        <f t="shared" si="26"/>
        <v>0</v>
      </c>
    </row>
    <row r="90" spans="1:37" ht="39" thickBot="1">
      <c r="A90" s="2132" t="s">
        <v>2070</v>
      </c>
      <c r="B90" s="2137" t="str">
        <f>估价对象房地状况!G18</f>
        <v>该园区内是否有污染型企业，绿化情况，卫生条件，整体环境状况判断</v>
      </c>
      <c r="C90" s="2038"/>
      <c r="D90" s="1060">
        <f t="shared" si="22"/>
        <v>0</v>
      </c>
      <c r="E90" s="743"/>
      <c r="F90" s="1809"/>
      <c r="G90" s="1058"/>
      <c r="H90" s="1061" t="str">
        <f t="shared" si="23"/>
        <v>——</v>
      </c>
      <c r="I90" s="3361">
        <v>0.05</v>
      </c>
      <c r="J90" s="1059">
        <f t="shared" si="24"/>
        <v>0</v>
      </c>
      <c r="K90" s="1059">
        <f t="shared" si="25"/>
        <v>0</v>
      </c>
      <c r="L90" s="1059">
        <v>0</v>
      </c>
      <c r="M90" s="1059">
        <f t="shared" si="26"/>
        <v>0</v>
      </c>
      <c r="N90" s="1059">
        <f t="shared" si="26"/>
        <v>0</v>
      </c>
    </row>
    <row r="91" spans="1:37" ht="15">
      <c r="A91" s="3370" t="s">
        <v>2614</v>
      </c>
      <c r="B91" s="3371">
        <f>1+E93</f>
        <v>1</v>
      </c>
      <c r="C91" s="3364"/>
      <c r="D91" s="3365"/>
      <c r="E91" s="1809"/>
      <c r="F91" s="1809"/>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1"/>
      <c r="C93" s="2038"/>
      <c r="D93" s="3359">
        <f>SUMIF($J$92:$N$92,C93,J93:N93)</f>
        <v>0</v>
      </c>
      <c r="E93" s="3375">
        <f>ROUND(SUM(D93:D101),4)</f>
        <v>0</v>
      </c>
      <c r="F93" s="1809"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3274</v>
      </c>
      <c r="B94" s="3363" t="str">
        <f>估价对象房地状况!C18</f>
        <v>估价对象周边道路状况、公共交通通达情况、停车便捷程度，综合评价交通便捷度较好</v>
      </c>
      <c r="C94" s="2038"/>
      <c r="D94" s="3359">
        <f t="shared" ref="D94:D101" si="30">SUMIF($J$60:$N$60,C94,J94:N94)</f>
        <v>0</v>
      </c>
      <c r="E94" s="3376"/>
      <c r="F94" s="1809"/>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3270</v>
      </c>
      <c r="B95" s="3363">
        <f>估价对象房地状况!C19</f>
        <v>0</v>
      </c>
      <c r="C95" s="2038"/>
      <c r="D95" s="3359">
        <f t="shared" si="30"/>
        <v>0</v>
      </c>
      <c r="E95" s="3376"/>
      <c r="F95" s="1809"/>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3275</v>
      </c>
      <c r="B96" s="3378" t="s">
        <v>3286</v>
      </c>
      <c r="C96" s="2038"/>
      <c r="D96" s="3359">
        <f t="shared" si="30"/>
        <v>0</v>
      </c>
      <c r="E96" s="3376"/>
      <c r="F96" s="1809"/>
      <c r="G96" s="3366"/>
      <c r="H96" s="3414" t="str">
        <f t="shared" si="31"/>
        <v>——</v>
      </c>
      <c r="I96" s="3360">
        <v>0.05</v>
      </c>
      <c r="J96" s="3338">
        <f t="shared" si="27"/>
        <v>0</v>
      </c>
      <c r="K96" s="3338">
        <f t="shared" si="28"/>
        <v>0</v>
      </c>
      <c r="L96" s="3338">
        <v>0</v>
      </c>
      <c r="M96" s="3338">
        <f t="shared" si="29"/>
        <v>0</v>
      </c>
      <c r="N96" s="3338">
        <f t="shared" si="29"/>
        <v>0</v>
      </c>
    </row>
    <row r="97" spans="1:14" ht="24">
      <c r="A97" s="3372" t="s">
        <v>3276</v>
      </c>
      <c r="B97" s="3363">
        <f>估价对象房地状况!C24</f>
        <v>0</v>
      </c>
      <c r="C97" s="2038"/>
      <c r="D97" s="3359">
        <f t="shared" si="30"/>
        <v>0</v>
      </c>
      <c r="E97" s="3376"/>
      <c r="F97" s="1809"/>
      <c r="G97" s="3366"/>
      <c r="H97" s="3414" t="str">
        <f t="shared" si="31"/>
        <v>——</v>
      </c>
      <c r="I97" s="3360">
        <v>0.05</v>
      </c>
      <c r="J97" s="3338">
        <f t="shared" si="27"/>
        <v>0</v>
      </c>
      <c r="K97" s="3338">
        <f t="shared" si="28"/>
        <v>0</v>
      </c>
      <c r="L97" s="3338">
        <v>0</v>
      </c>
      <c r="M97" s="3338">
        <f t="shared" si="29"/>
        <v>0</v>
      </c>
      <c r="N97" s="3338">
        <f t="shared" si="29"/>
        <v>0</v>
      </c>
    </row>
    <row r="98" spans="1:14" ht="24">
      <c r="A98" s="3372" t="s">
        <v>3277</v>
      </c>
      <c r="B98" s="3379" t="s">
        <v>3287</v>
      </c>
      <c r="C98" s="2038"/>
      <c r="D98" s="3359">
        <f t="shared" si="30"/>
        <v>0</v>
      </c>
      <c r="E98" s="3376"/>
      <c r="F98" s="1809"/>
      <c r="G98" s="3366"/>
      <c r="H98" s="3414" t="str">
        <f t="shared" si="31"/>
        <v>——</v>
      </c>
      <c r="I98" s="3360">
        <v>0.06</v>
      </c>
      <c r="J98" s="3338">
        <f t="shared" si="27"/>
        <v>0</v>
      </c>
      <c r="K98" s="3338">
        <f t="shared" si="28"/>
        <v>0</v>
      </c>
      <c r="L98" s="3338">
        <v>0</v>
      </c>
      <c r="M98" s="3338">
        <f t="shared" si="29"/>
        <v>0</v>
      </c>
      <c r="N98" s="3338">
        <f t="shared" si="29"/>
        <v>0</v>
      </c>
    </row>
    <row r="99" spans="1:14" ht="25.5">
      <c r="A99" s="3372" t="s">
        <v>3278</v>
      </c>
      <c r="B99" s="3363" t="str">
        <f>估价对象房地状况!C21</f>
        <v>估价对象所在区域公共配套设施齐备情况</v>
      </c>
      <c r="C99" s="2038"/>
      <c r="D99" s="3359">
        <f t="shared" si="30"/>
        <v>0</v>
      </c>
      <c r="E99" s="3376"/>
      <c r="F99" s="1809"/>
      <c r="G99" s="3366"/>
      <c r="H99" s="3414" t="str">
        <f t="shared" si="31"/>
        <v>——</v>
      </c>
      <c r="I99" s="3360">
        <v>0.06</v>
      </c>
      <c r="J99" s="3338">
        <f t="shared" si="27"/>
        <v>0</v>
      </c>
      <c r="K99" s="3338">
        <f t="shared" si="28"/>
        <v>0</v>
      </c>
      <c r="L99" s="3338">
        <v>0</v>
      </c>
      <c r="M99" s="3338">
        <f t="shared" si="29"/>
        <v>0</v>
      </c>
      <c r="N99" s="3338">
        <f t="shared" si="29"/>
        <v>0</v>
      </c>
    </row>
    <row r="100" spans="1:14" ht="25.5">
      <c r="A100" s="3372" t="s">
        <v>3279</v>
      </c>
      <c r="B100" s="3363" t="str">
        <f>估价对象房地状况!C22</f>
        <v>估价对象所在区域基础设施水平</v>
      </c>
      <c r="C100" s="2038"/>
      <c r="D100" s="3359">
        <f t="shared" si="30"/>
        <v>0</v>
      </c>
      <c r="E100" s="3376"/>
      <c r="F100" s="1809"/>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3280</v>
      </c>
      <c r="B101" s="3380" t="str">
        <f>估价对象房地状况!C20</f>
        <v>区域自然环境：；人文环境；综合评价环境状况一般</v>
      </c>
      <c r="C101" s="2038"/>
      <c r="D101" s="3359">
        <f t="shared" si="30"/>
        <v>0</v>
      </c>
      <c r="E101" s="3377"/>
      <c r="F101" s="1809"/>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01" t="s">
        <v>3295</v>
      </c>
      <c r="B103" s="3801"/>
      <c r="C103" s="3801"/>
      <c r="D103" s="3801"/>
      <c r="E103" s="3801"/>
      <c r="F103" s="3801"/>
      <c r="G103" s="3801"/>
      <c r="H103" s="3801"/>
      <c r="I103" s="3801"/>
      <c r="J103" s="3801"/>
      <c r="K103" s="3383"/>
      <c r="L103" s="3383"/>
      <c r="M103" s="3383"/>
      <c r="N103" s="3383"/>
    </row>
    <row r="104" spans="1:14">
      <c r="A104" s="3802" t="s">
        <v>3296</v>
      </c>
      <c r="B104" s="3802" t="s">
        <v>3297</v>
      </c>
      <c r="C104" s="3384" t="s">
        <v>3298</v>
      </c>
      <c r="D104" s="3385"/>
      <c r="E104" s="3385"/>
      <c r="F104" s="3385"/>
      <c r="G104" s="3385"/>
      <c r="H104" s="3385"/>
      <c r="I104" s="3385"/>
      <c r="J104" s="3386"/>
      <c r="K104" s="3387"/>
      <c r="L104" s="3387"/>
      <c r="M104" s="3387"/>
      <c r="N104" s="3387"/>
    </row>
    <row r="105" spans="1:14">
      <c r="A105" s="3802"/>
      <c r="B105" s="3802"/>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803"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04"/>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04"/>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04"/>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04"/>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04"/>
      <c r="B111" s="3388" t="s">
        <v>3269</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805"/>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806" t="s">
        <v>3312</v>
      </c>
      <c r="B113" s="3806"/>
      <c r="C113" s="3806"/>
      <c r="D113" s="3806"/>
      <c r="E113" s="3806"/>
      <c r="F113" s="3806"/>
      <c r="G113" s="3806"/>
      <c r="H113" s="3806"/>
      <c r="I113" s="3806"/>
      <c r="J113" s="3806"/>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1.99</v>
      </c>
      <c r="C116" s="3393" t="s">
        <v>3314</v>
      </c>
      <c r="D116" s="3394">
        <f>SUMPRODUCT((A118:A122=F116)*(B117:M117=H116)*B118:M122)</f>
        <v>0</v>
      </c>
      <c r="E116" s="1994" t="s">
        <v>3315</v>
      </c>
      <c r="F116" s="3395" t="str">
        <f>E2</f>
        <v>办公</v>
      </c>
      <c r="G116" s="1994" t="s">
        <v>3316</v>
      </c>
      <c r="H116" s="3395">
        <f>G2</f>
        <v>0</v>
      </c>
      <c r="I116" s="1994"/>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0.97489999999999999</v>
      </c>
      <c r="C118" s="3381">
        <f>B118</f>
        <v>0.97489999999999999</v>
      </c>
      <c r="D118" s="3381">
        <f>ROUND(0.949-0.014*B116,4)</f>
        <v>0.92110000000000003</v>
      </c>
      <c r="E118" s="3381">
        <f>D118</f>
        <v>0.92110000000000003</v>
      </c>
      <c r="F118" s="3381">
        <f>E118</f>
        <v>0.92110000000000003</v>
      </c>
      <c r="G118" s="3381">
        <f>F118</f>
        <v>0.92110000000000003</v>
      </c>
      <c r="H118" s="3381">
        <f>G118</f>
        <v>0.92110000000000003</v>
      </c>
      <c r="I118" s="3381">
        <f>ROUND(0.8486-0.018*B116,4)</f>
        <v>0.81279999999999997</v>
      </c>
      <c r="J118" s="3381">
        <f t="shared" ref="J118:M122" si="35">I118</f>
        <v>0.81279999999999997</v>
      </c>
      <c r="K118" s="3381">
        <f t="shared" si="35"/>
        <v>0.81279999999999997</v>
      </c>
      <c r="L118" s="3381">
        <f t="shared" si="35"/>
        <v>0.81279999999999997</v>
      </c>
      <c r="M118" s="3404">
        <f t="shared" si="35"/>
        <v>0.81279999999999997</v>
      </c>
      <c r="N118" s="3391"/>
    </row>
    <row r="119" spans="1:14">
      <c r="A119" s="3403" t="s">
        <v>3330</v>
      </c>
      <c r="B119" s="3381">
        <f>ROUND(0.993-0.0112*B116,4)</f>
        <v>0.97070000000000001</v>
      </c>
      <c r="C119" s="3381">
        <f>B119</f>
        <v>0.97070000000000001</v>
      </c>
      <c r="D119" s="3381">
        <f>ROUND(0.9415-0.0142*B116,4)</f>
        <v>0.91320000000000001</v>
      </c>
      <c r="E119" s="3381">
        <f t="shared" ref="E119:H120" si="36">D119</f>
        <v>0.91320000000000001</v>
      </c>
      <c r="F119" s="3381">
        <f t="shared" si="36"/>
        <v>0.91320000000000001</v>
      </c>
      <c r="G119" s="3381">
        <f t="shared" si="36"/>
        <v>0.91320000000000001</v>
      </c>
      <c r="H119" s="3381">
        <f t="shared" si="36"/>
        <v>0.91320000000000001</v>
      </c>
      <c r="I119" s="3381">
        <f>ROUND(0.838-0.0182*B116,4)</f>
        <v>0.80179999999999996</v>
      </c>
      <c r="J119" s="3381">
        <f t="shared" si="35"/>
        <v>0.80179999999999996</v>
      </c>
      <c r="K119" s="3381">
        <f t="shared" si="35"/>
        <v>0.80179999999999996</v>
      </c>
      <c r="L119" s="3381">
        <f t="shared" si="35"/>
        <v>0.80179999999999996</v>
      </c>
      <c r="M119" s="3404">
        <f t="shared" si="35"/>
        <v>0.80179999999999996</v>
      </c>
      <c r="N119" s="3391"/>
    </row>
    <row r="120" spans="1:14">
      <c r="A120" s="3403" t="s">
        <v>3331</v>
      </c>
      <c r="B120" s="3381">
        <f>ROUND(0.9448-0.0115*B116,4)</f>
        <v>0.92190000000000005</v>
      </c>
      <c r="C120" s="3381">
        <f>B120</f>
        <v>0.92190000000000005</v>
      </c>
      <c r="D120" s="3381">
        <f>ROUND(0.937-0.0145*B116,4)</f>
        <v>0.90810000000000002</v>
      </c>
      <c r="E120" s="3381">
        <f t="shared" si="36"/>
        <v>0.90810000000000002</v>
      </c>
      <c r="F120" s="3381">
        <f t="shared" si="36"/>
        <v>0.90810000000000002</v>
      </c>
      <c r="G120" s="3381">
        <f t="shared" si="36"/>
        <v>0.90810000000000002</v>
      </c>
      <c r="H120" s="3381">
        <f t="shared" si="36"/>
        <v>0.90810000000000002</v>
      </c>
      <c r="I120" s="3381">
        <f>ROUND(0.7965-0.0185*B116,4)</f>
        <v>0.75970000000000004</v>
      </c>
      <c r="J120" s="3381">
        <f t="shared" si="35"/>
        <v>0.75970000000000004</v>
      </c>
      <c r="K120" s="3381">
        <f t="shared" si="35"/>
        <v>0.75970000000000004</v>
      </c>
      <c r="L120" s="3381">
        <f t="shared" si="35"/>
        <v>0.75970000000000004</v>
      </c>
      <c r="M120" s="3404">
        <f t="shared" si="35"/>
        <v>0.75970000000000004</v>
      </c>
      <c r="N120" s="3391"/>
    </row>
    <row r="121" spans="1:14" ht="13.5" thickBot="1">
      <c r="A121" s="3405" t="s">
        <v>3332</v>
      </c>
      <c r="B121" s="3406">
        <f>ROUND(0.7836-0.012*B116,4)</f>
        <v>0.75970000000000004</v>
      </c>
      <c r="C121" s="3406">
        <f>B121</f>
        <v>0.75970000000000004</v>
      </c>
      <c r="D121" s="3406">
        <f>ROUND(0.753-0.015*B116,4)</f>
        <v>0.72319999999999995</v>
      </c>
      <c r="E121" s="3406">
        <f>D121</f>
        <v>0.72319999999999995</v>
      </c>
      <c r="F121" s="3406">
        <f>E121</f>
        <v>0.72319999999999995</v>
      </c>
      <c r="G121" s="3406">
        <f>ROUND(0.6612-0.018*B116,4)</f>
        <v>0.62539999999999996</v>
      </c>
      <c r="H121" s="3406">
        <f>G121</f>
        <v>0.62539999999999996</v>
      </c>
      <c r="I121" s="3406">
        <f>ROUND(0.5905-0.019*B116,4)</f>
        <v>0.55269999999999997</v>
      </c>
      <c r="J121" s="3406">
        <f t="shared" si="35"/>
        <v>0.55269999999999997</v>
      </c>
      <c r="K121" s="3406">
        <f t="shared" si="35"/>
        <v>0.55269999999999997</v>
      </c>
      <c r="L121" s="3406">
        <f t="shared" si="35"/>
        <v>0.55269999999999997</v>
      </c>
      <c r="M121" s="3407">
        <f t="shared" si="35"/>
        <v>0.55269999999999997</v>
      </c>
      <c r="N121" s="3391"/>
    </row>
    <row r="122" spans="1:14">
      <c r="A122" s="3408" t="s">
        <v>2614</v>
      </c>
      <c r="B122" s="3381">
        <f>ROUND(0.9404-0.0106*B116,4)</f>
        <v>0.91930000000000001</v>
      </c>
      <c r="C122" s="3381">
        <f>B122</f>
        <v>0.91930000000000001</v>
      </c>
      <c r="D122" s="3381">
        <f>ROUND(0.8955-0.0135*B116,4)</f>
        <v>0.86860000000000004</v>
      </c>
      <c r="E122" s="3381">
        <f t="shared" ref="E122:H122" si="37">D122</f>
        <v>0.86860000000000004</v>
      </c>
      <c r="F122" s="3381">
        <f t="shared" si="37"/>
        <v>0.86860000000000004</v>
      </c>
      <c r="G122" s="3381">
        <f t="shared" si="37"/>
        <v>0.86860000000000004</v>
      </c>
      <c r="H122" s="3381">
        <f t="shared" si="37"/>
        <v>0.86860000000000004</v>
      </c>
      <c r="I122" s="3381">
        <f>ROUND(0.7632-0.0166*B116,4)</f>
        <v>0.73019999999999996</v>
      </c>
      <c r="J122" s="3381">
        <f t="shared" si="35"/>
        <v>0.73019999999999996</v>
      </c>
      <c r="K122" s="3381">
        <f t="shared" si="35"/>
        <v>0.73019999999999996</v>
      </c>
      <c r="L122" s="3381">
        <f t="shared" si="35"/>
        <v>0.73019999999999996</v>
      </c>
      <c r="M122" s="3404">
        <f t="shared" si="35"/>
        <v>0.73019999999999996</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27" t="s">
        <v>2609</v>
      </c>
      <c r="B20" s="3820" t="s">
        <v>2630</v>
      </c>
      <c r="C20" s="3096" t="s">
        <v>2441</v>
      </c>
      <c r="D20" s="3097"/>
      <c r="E20" s="3098">
        <v>1</v>
      </c>
      <c r="F20" s="3099" t="s">
        <v>2442</v>
      </c>
      <c r="G20" s="3099"/>
    </row>
    <row r="21" spans="1:13" ht="19.5" customHeight="1">
      <c r="A21" s="3828"/>
      <c r="B21" s="3821"/>
      <c r="C21" s="3100" t="s">
        <v>2443</v>
      </c>
      <c r="D21" s="3101"/>
      <c r="E21" s="3102">
        <v>1</v>
      </c>
      <c r="F21" s="3099" t="s">
        <v>2444</v>
      </c>
      <c r="G21" s="3099"/>
    </row>
    <row r="22" spans="1:13" ht="19.5" customHeight="1">
      <c r="A22" s="3828"/>
      <c r="B22" s="3821"/>
      <c r="C22" s="3100" t="s">
        <v>2445</v>
      </c>
      <c r="D22" s="3101"/>
      <c r="E22" s="3102">
        <v>0.9</v>
      </c>
      <c r="F22" s="3099" t="s">
        <v>2446</v>
      </c>
      <c r="G22" s="3099"/>
    </row>
    <row r="23" spans="1:13" ht="19.5" customHeight="1">
      <c r="A23" s="3828"/>
      <c r="B23" s="3821"/>
      <c r="C23" s="3100" t="s">
        <v>2447</v>
      </c>
      <c r="D23" s="3101"/>
      <c r="E23" s="3102">
        <v>0.9</v>
      </c>
      <c r="F23" s="3099" t="s">
        <v>2448</v>
      </c>
      <c r="G23" s="3099"/>
    </row>
    <row r="24" spans="1:13" ht="19.5" customHeight="1">
      <c r="A24" s="3828"/>
      <c r="B24" s="3821"/>
      <c r="C24" s="3100" t="s">
        <v>2449</v>
      </c>
      <c r="D24" s="3101"/>
      <c r="E24" s="3102">
        <v>0.8</v>
      </c>
      <c r="F24" s="3099" t="s">
        <v>2450</v>
      </c>
      <c r="G24" s="3099"/>
    </row>
    <row r="25" spans="1:13" ht="19.5" customHeight="1" thickBot="1">
      <c r="A25" s="3829"/>
      <c r="B25" s="3822"/>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23" t="s">
        <v>2633</v>
      </c>
      <c r="B27" s="3820" t="s">
        <v>2614</v>
      </c>
      <c r="C27" s="3096" t="s">
        <v>2454</v>
      </c>
      <c r="D27" s="3097"/>
      <c r="E27" s="3098">
        <v>1</v>
      </c>
      <c r="F27" s="3099" t="s">
        <v>2455</v>
      </c>
      <c r="G27" s="3099"/>
    </row>
    <row r="28" spans="1:13" ht="19.5" customHeight="1">
      <c r="A28" s="3824"/>
      <c r="B28" s="3821"/>
      <c r="C28" s="3100" t="s">
        <v>2456</v>
      </c>
      <c r="D28" s="3101"/>
      <c r="E28" s="3102">
        <v>1</v>
      </c>
      <c r="F28" s="3099" t="s">
        <v>2457</v>
      </c>
      <c r="G28" s="3099"/>
    </row>
    <row r="29" spans="1:13" ht="19.5" customHeight="1">
      <c r="A29" s="3824"/>
      <c r="B29" s="3821"/>
      <c r="C29" s="3100" t="s">
        <v>2458</v>
      </c>
      <c r="D29" s="3101"/>
      <c r="E29" s="3102">
        <v>0.8</v>
      </c>
      <c r="F29" s="3099" t="s">
        <v>2459</v>
      </c>
      <c r="G29" s="3099"/>
    </row>
    <row r="30" spans="1:13" ht="19.5" customHeight="1">
      <c r="A30" s="3824"/>
      <c r="B30" s="3821"/>
      <c r="C30" s="3100" t="s">
        <v>2460</v>
      </c>
      <c r="D30" s="3101"/>
      <c r="E30" s="3102">
        <v>0.8</v>
      </c>
      <c r="F30" s="3099" t="s">
        <v>2461</v>
      </c>
      <c r="G30" s="3099"/>
    </row>
    <row r="31" spans="1:13" ht="19.5" customHeight="1">
      <c r="A31" s="3824"/>
      <c r="B31" s="3821"/>
      <c r="C31" s="3100" t="s">
        <v>2462</v>
      </c>
      <c r="D31" s="3101"/>
      <c r="E31" s="3102">
        <v>0.8</v>
      </c>
      <c r="F31" s="3099" t="s">
        <v>2463</v>
      </c>
      <c r="G31" s="3099"/>
    </row>
    <row r="32" spans="1:13" ht="19.5" customHeight="1">
      <c r="A32" s="3824"/>
      <c r="B32" s="3821"/>
      <c r="C32" s="3100" t="s">
        <v>2464</v>
      </c>
      <c r="D32" s="3101"/>
      <c r="E32" s="3102">
        <v>0.7</v>
      </c>
      <c r="F32" s="3099" t="s">
        <v>2465</v>
      </c>
      <c r="G32" s="3099"/>
    </row>
    <row r="33" spans="1:7" ht="19.5" customHeight="1">
      <c r="A33" s="3824"/>
      <c r="B33" s="3821"/>
      <c r="C33" s="3100" t="s">
        <v>2466</v>
      </c>
      <c r="D33" s="3101"/>
      <c r="E33" s="3102">
        <v>0.8</v>
      </c>
      <c r="F33" s="3099" t="s">
        <v>2467</v>
      </c>
      <c r="G33" s="3099"/>
    </row>
    <row r="34" spans="1:7" ht="19.5" customHeight="1">
      <c r="A34" s="3824"/>
      <c r="B34" s="3821"/>
      <c r="C34" s="3100" t="s">
        <v>2468</v>
      </c>
      <c r="D34" s="3101"/>
      <c r="E34" s="3102">
        <v>0.6</v>
      </c>
      <c r="F34" s="3099" t="s">
        <v>2469</v>
      </c>
      <c r="G34" s="3099"/>
    </row>
    <row r="35" spans="1:7" ht="19.5" customHeight="1">
      <c r="A35" s="3824"/>
      <c r="B35" s="3821"/>
      <c r="C35" s="3100" t="s">
        <v>2470</v>
      </c>
      <c r="D35" s="3101"/>
      <c r="E35" s="3102">
        <v>0.2</v>
      </c>
      <c r="F35" s="3099" t="s">
        <v>2471</v>
      </c>
      <c r="G35" s="3099"/>
    </row>
    <row r="36" spans="1:7" ht="19.5" customHeight="1">
      <c r="A36" s="3824"/>
      <c r="B36" s="3821"/>
      <c r="C36" s="3100" t="s">
        <v>2472</v>
      </c>
      <c r="D36" s="3101"/>
      <c r="E36" s="3102">
        <v>0.2</v>
      </c>
      <c r="F36" s="3099" t="s">
        <v>2473</v>
      </c>
      <c r="G36" s="3099"/>
    </row>
    <row r="37" spans="1:7" ht="19.5" customHeight="1">
      <c r="A37" s="3824"/>
      <c r="B37" s="3826" t="s">
        <v>2634</v>
      </c>
      <c r="C37" s="3100" t="s">
        <v>2474</v>
      </c>
      <c r="D37" s="3101"/>
      <c r="E37" s="3102">
        <v>0.6</v>
      </c>
      <c r="F37" s="3099" t="s">
        <v>2475</v>
      </c>
      <c r="G37" s="3099"/>
    </row>
    <row r="38" spans="1:7" ht="19.5" customHeight="1">
      <c r="A38" s="3824"/>
      <c r="B38" s="3821"/>
      <c r="C38" s="3100" t="s">
        <v>2476</v>
      </c>
      <c r="D38" s="3101"/>
      <c r="E38" s="3102">
        <v>0.6</v>
      </c>
      <c r="F38" s="3099" t="s">
        <v>2477</v>
      </c>
      <c r="G38" s="3099"/>
    </row>
    <row r="39" spans="1:7" ht="19.5" customHeight="1" thickBot="1">
      <c r="A39" s="3825"/>
      <c r="B39" s="3822"/>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27" t="s">
        <v>2612</v>
      </c>
      <c r="B41" s="3820" t="s">
        <v>2636</v>
      </c>
      <c r="C41" s="3096" t="s">
        <v>2481</v>
      </c>
      <c r="D41" s="3097"/>
      <c r="E41" s="3098">
        <v>1</v>
      </c>
      <c r="F41" s="3099" t="s">
        <v>2482</v>
      </c>
      <c r="G41" s="3099"/>
    </row>
    <row r="42" spans="1:7" ht="19.5" customHeight="1">
      <c r="A42" s="3828"/>
      <c r="B42" s="3821"/>
      <c r="C42" s="3100" t="s">
        <v>2483</v>
      </c>
      <c r="D42" s="3101"/>
      <c r="E42" s="3102">
        <v>1</v>
      </c>
      <c r="F42" s="3099" t="s">
        <v>2484</v>
      </c>
      <c r="G42" s="3099"/>
    </row>
    <row r="43" spans="1:7" ht="19.5" customHeight="1">
      <c r="A43" s="3828"/>
      <c r="B43" s="3830"/>
      <c r="C43" s="3100" t="s">
        <v>2485</v>
      </c>
      <c r="D43" s="3101"/>
      <c r="E43" s="3102">
        <v>1.5</v>
      </c>
      <c r="F43" s="3099" t="s">
        <v>2486</v>
      </c>
      <c r="G43" s="3099"/>
    </row>
    <row r="44" spans="1:7" ht="19.5" customHeight="1">
      <c r="A44" s="3828"/>
      <c r="B44" s="3111" t="s">
        <v>2637</v>
      </c>
      <c r="C44" s="3100" t="s">
        <v>2638</v>
      </c>
      <c r="D44" s="3101"/>
      <c r="E44" s="3102">
        <v>2</v>
      </c>
      <c r="F44" s="3099" t="s">
        <v>2487</v>
      </c>
      <c r="G44" s="3099"/>
    </row>
    <row r="45" spans="1:7" ht="19.5" customHeight="1">
      <c r="A45" s="3828"/>
      <c r="B45" s="3826" t="s">
        <v>2639</v>
      </c>
      <c r="C45" s="3100" t="s">
        <v>2488</v>
      </c>
      <c r="D45" s="3101"/>
      <c r="E45" s="3102">
        <v>1</v>
      </c>
      <c r="F45" s="3099" t="s">
        <v>2489</v>
      </c>
      <c r="G45" s="3099"/>
    </row>
    <row r="46" spans="1:7" ht="19.5" customHeight="1">
      <c r="A46" s="3828"/>
      <c r="B46" s="3821"/>
      <c r="C46" s="3100" t="s">
        <v>2490</v>
      </c>
      <c r="D46" s="3101"/>
      <c r="E46" s="3102">
        <v>1</v>
      </c>
      <c r="F46" s="3099" t="s">
        <v>2491</v>
      </c>
      <c r="G46" s="3099"/>
    </row>
    <row r="47" spans="1:7" ht="19.5" customHeight="1">
      <c r="A47" s="3828"/>
      <c r="B47" s="3821"/>
      <c r="C47" s="3100" t="s">
        <v>2492</v>
      </c>
      <c r="D47" s="3101"/>
      <c r="E47" s="3102">
        <v>1</v>
      </c>
      <c r="F47" s="3099" t="s">
        <v>2493</v>
      </c>
      <c r="G47" s="3099"/>
    </row>
    <row r="48" spans="1:7" ht="19.5" customHeight="1">
      <c r="A48" s="3828"/>
      <c r="B48" s="3821"/>
      <c r="C48" s="3100" t="s">
        <v>2494</v>
      </c>
      <c r="D48" s="3101"/>
      <c r="E48" s="3102">
        <v>1</v>
      </c>
      <c r="F48" s="3099" t="s">
        <v>2495</v>
      </c>
      <c r="G48" s="3099"/>
    </row>
    <row r="49" spans="1:7" ht="19.5" customHeight="1">
      <c r="A49" s="3828"/>
      <c r="B49" s="3821"/>
      <c r="C49" s="3100" t="s">
        <v>2496</v>
      </c>
      <c r="D49" s="3101"/>
      <c r="E49" s="3102">
        <v>1</v>
      </c>
      <c r="F49" s="3099" t="s">
        <v>2497</v>
      </c>
      <c r="G49" s="3099"/>
    </row>
    <row r="50" spans="1:7" ht="19.5" customHeight="1">
      <c r="A50" s="3828"/>
      <c r="B50" s="3821"/>
      <c r="C50" s="3100" t="s">
        <v>2498</v>
      </c>
      <c r="D50" s="3101"/>
      <c r="E50" s="3102">
        <v>1</v>
      </c>
      <c r="F50" s="3099" t="s">
        <v>2499</v>
      </c>
      <c r="G50" s="3099"/>
    </row>
    <row r="51" spans="1:7" ht="19.5" customHeight="1" thickBot="1">
      <c r="A51" s="3829"/>
      <c r="B51" s="3822"/>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26" t="s">
        <v>2653</v>
      </c>
      <c r="C73" s="3085" t="s">
        <v>2654</v>
      </c>
      <c r="D73" s="3085" t="s">
        <v>2655</v>
      </c>
      <c r="E73" s="3111">
        <v>0.2</v>
      </c>
      <c r="F73" s="3111">
        <v>25</v>
      </c>
    </row>
    <row r="74" spans="1:7" ht="24">
      <c r="A74" s="3111">
        <v>2</v>
      </c>
      <c r="B74" s="3821"/>
      <c r="C74" s="3085" t="s">
        <v>2656</v>
      </c>
      <c r="D74" s="3085" t="s">
        <v>2657</v>
      </c>
      <c r="E74" s="3111">
        <v>0.2</v>
      </c>
      <c r="F74" s="3111">
        <v>25</v>
      </c>
    </row>
    <row r="75" spans="1:7" ht="24">
      <c r="A75" s="3111">
        <v>3</v>
      </c>
      <c r="B75" s="3821"/>
      <c r="C75" s="3085" t="s">
        <v>2658</v>
      </c>
      <c r="D75" s="3085" t="s">
        <v>2659</v>
      </c>
      <c r="E75" s="3111">
        <v>0.2</v>
      </c>
      <c r="F75" s="3111">
        <v>25</v>
      </c>
    </row>
    <row r="76" spans="1:7" ht="13.5">
      <c r="A76" s="3111">
        <v>4</v>
      </c>
      <c r="B76" s="3821"/>
      <c r="C76" s="3085" t="s">
        <v>2660</v>
      </c>
      <c r="D76" s="3085" t="s">
        <v>2661</v>
      </c>
      <c r="E76" s="3111">
        <v>0.15</v>
      </c>
      <c r="F76" s="3111">
        <v>20</v>
      </c>
    </row>
    <row r="77" spans="1:7" ht="24">
      <c r="A77" s="3111">
        <v>5</v>
      </c>
      <c r="B77" s="3821"/>
      <c r="C77" s="3085" t="s">
        <v>2662</v>
      </c>
      <c r="D77" s="3085" t="s">
        <v>2663</v>
      </c>
      <c r="E77" s="3111">
        <v>0.15</v>
      </c>
      <c r="F77" s="3111">
        <v>20</v>
      </c>
    </row>
    <row r="78" spans="1:7" ht="24">
      <c r="A78" s="3111">
        <v>6</v>
      </c>
      <c r="B78" s="3821"/>
      <c r="C78" s="3085" t="s">
        <v>2664</v>
      </c>
      <c r="D78" s="3085" t="s">
        <v>2665</v>
      </c>
      <c r="E78" s="3111">
        <v>0.15</v>
      </c>
      <c r="F78" s="3111">
        <v>20</v>
      </c>
    </row>
    <row r="79" spans="1:7" ht="24">
      <c r="A79" s="3111">
        <v>7</v>
      </c>
      <c r="B79" s="3821"/>
      <c r="C79" s="3085" t="s">
        <v>2666</v>
      </c>
      <c r="D79" s="3085" t="s">
        <v>2667</v>
      </c>
      <c r="E79" s="3111">
        <v>0.15</v>
      </c>
      <c r="F79" s="3111">
        <v>20</v>
      </c>
    </row>
    <row r="80" spans="1:7" ht="24">
      <c r="A80" s="3111">
        <v>8</v>
      </c>
      <c r="B80" s="3821"/>
      <c r="C80" s="3085" t="s">
        <v>2668</v>
      </c>
      <c r="D80" s="3085" t="s">
        <v>2669</v>
      </c>
      <c r="E80" s="3111">
        <v>0.1</v>
      </c>
      <c r="F80" s="3111">
        <v>15</v>
      </c>
    </row>
    <row r="81" spans="1:6" ht="24">
      <c r="A81" s="3111">
        <v>9</v>
      </c>
      <c r="B81" s="3821"/>
      <c r="C81" s="3085" t="s">
        <v>2670</v>
      </c>
      <c r="D81" s="3085" t="s">
        <v>2671</v>
      </c>
      <c r="E81" s="3111">
        <v>0.1</v>
      </c>
      <c r="F81" s="3111">
        <v>15</v>
      </c>
    </row>
    <row r="82" spans="1:6" ht="24">
      <c r="A82" s="3111">
        <v>10</v>
      </c>
      <c r="B82" s="3821"/>
      <c r="C82" s="3085" t="s">
        <v>2672</v>
      </c>
      <c r="D82" s="3085" t="s">
        <v>2673</v>
      </c>
      <c r="E82" s="3111">
        <v>0.1</v>
      </c>
      <c r="F82" s="3111">
        <v>15</v>
      </c>
    </row>
    <row r="83" spans="1:6" ht="24">
      <c r="A83" s="3111">
        <v>11</v>
      </c>
      <c r="B83" s="3821"/>
      <c r="C83" s="3085" t="s">
        <v>2674</v>
      </c>
      <c r="D83" s="3085" t="s">
        <v>2675</v>
      </c>
      <c r="E83" s="3111">
        <v>0.1</v>
      </c>
      <c r="F83" s="3111">
        <v>15</v>
      </c>
    </row>
    <row r="84" spans="1:6" ht="24">
      <c r="A84" s="3111">
        <v>12</v>
      </c>
      <c r="B84" s="3821"/>
      <c r="C84" s="3085" t="s">
        <v>2676</v>
      </c>
      <c r="D84" s="3085" t="s">
        <v>2677</v>
      </c>
      <c r="E84" s="3111">
        <v>0.1</v>
      </c>
      <c r="F84" s="3111">
        <v>15</v>
      </c>
    </row>
    <row r="85" spans="1:6" ht="13.5">
      <c r="A85" s="3111">
        <v>13</v>
      </c>
      <c r="B85" s="3821"/>
      <c r="C85" s="3085" t="s">
        <v>2678</v>
      </c>
      <c r="D85" s="3085" t="s">
        <v>2679</v>
      </c>
      <c r="E85" s="3111">
        <v>0.1</v>
      </c>
      <c r="F85" s="3111">
        <v>15</v>
      </c>
    </row>
    <row r="86" spans="1:6" ht="13.5">
      <c r="A86" s="3111">
        <v>14</v>
      </c>
      <c r="B86" s="3821"/>
      <c r="C86" s="3085" t="s">
        <v>2680</v>
      </c>
      <c r="D86" s="3085" t="s">
        <v>2681</v>
      </c>
      <c r="E86" s="3111">
        <v>0.1</v>
      </c>
      <c r="F86" s="3111">
        <v>15</v>
      </c>
    </row>
    <row r="87" spans="1:6" ht="13.5">
      <c r="A87" s="3111">
        <v>15</v>
      </c>
      <c r="B87" s="3821"/>
      <c r="C87" s="3085" t="s">
        <v>2682</v>
      </c>
      <c r="D87" s="3085" t="s">
        <v>2683</v>
      </c>
      <c r="E87" s="3111">
        <v>0.1</v>
      </c>
      <c r="F87" s="3111">
        <v>15</v>
      </c>
    </row>
    <row r="88" spans="1:6" ht="24">
      <c r="A88" s="3111">
        <v>16</v>
      </c>
      <c r="B88" s="3821"/>
      <c r="C88" s="3085" t="s">
        <v>2684</v>
      </c>
      <c r="D88" s="3085" t="s">
        <v>2685</v>
      </c>
      <c r="E88" s="3111">
        <v>0.1</v>
      </c>
      <c r="F88" s="3111">
        <v>15</v>
      </c>
    </row>
    <row r="89" spans="1:6" ht="24">
      <c r="A89" s="3111">
        <v>17</v>
      </c>
      <c r="B89" s="3830"/>
      <c r="C89" s="3085" t="s">
        <v>2686</v>
      </c>
      <c r="D89" s="3085" t="s">
        <v>2687</v>
      </c>
      <c r="E89" s="3111">
        <v>0.1</v>
      </c>
      <c r="F89" s="3111">
        <v>15</v>
      </c>
    </row>
    <row r="90" spans="1:6" ht="13.5">
      <c r="A90" s="3111">
        <v>18</v>
      </c>
      <c r="B90" s="3826" t="s">
        <v>2688</v>
      </c>
      <c r="C90" s="3085" t="s">
        <v>2689</v>
      </c>
      <c r="D90" s="3085" t="s">
        <v>2690</v>
      </c>
      <c r="E90" s="3111">
        <v>0.2</v>
      </c>
      <c r="F90" s="3111">
        <v>25</v>
      </c>
    </row>
    <row r="91" spans="1:6" ht="24">
      <c r="A91" s="3111">
        <v>19</v>
      </c>
      <c r="B91" s="3821"/>
      <c r="C91" s="3085" t="s">
        <v>2691</v>
      </c>
      <c r="D91" s="3085" t="s">
        <v>2692</v>
      </c>
      <c r="E91" s="3111">
        <v>0.2</v>
      </c>
      <c r="F91" s="3111">
        <v>25</v>
      </c>
    </row>
    <row r="92" spans="1:6" ht="13.5">
      <c r="A92" s="3111">
        <v>20</v>
      </c>
      <c r="B92" s="3821"/>
      <c r="C92" s="3085" t="s">
        <v>2693</v>
      </c>
      <c r="D92" s="3085" t="s">
        <v>2694</v>
      </c>
      <c r="E92" s="3111">
        <v>0.15</v>
      </c>
      <c r="F92" s="3111">
        <v>20</v>
      </c>
    </row>
    <row r="93" spans="1:6" ht="13.5">
      <c r="A93" s="3111">
        <v>21</v>
      </c>
      <c r="B93" s="3821"/>
      <c r="C93" s="3085" t="s">
        <v>2695</v>
      </c>
      <c r="D93" s="3085" t="s">
        <v>2696</v>
      </c>
      <c r="E93" s="3111">
        <v>0.15</v>
      </c>
      <c r="F93" s="3111">
        <v>20</v>
      </c>
    </row>
    <row r="94" spans="1:6" ht="13.5">
      <c r="A94" s="3111">
        <v>22</v>
      </c>
      <c r="B94" s="3821"/>
      <c r="C94" s="3085" t="s">
        <v>2697</v>
      </c>
      <c r="D94" s="3085" t="s">
        <v>2698</v>
      </c>
      <c r="E94" s="3111">
        <v>0.15</v>
      </c>
      <c r="F94" s="3111">
        <v>20</v>
      </c>
    </row>
    <row r="95" spans="1:6" ht="36">
      <c r="A95" s="3111">
        <v>23</v>
      </c>
      <c r="B95" s="3821"/>
      <c r="C95" s="3085" t="s">
        <v>2699</v>
      </c>
      <c r="D95" s="3085" t="s">
        <v>2700</v>
      </c>
      <c r="E95" s="3111">
        <v>0.15</v>
      </c>
      <c r="F95" s="3111">
        <v>20</v>
      </c>
    </row>
    <row r="96" spans="1:6" ht="13.5">
      <c r="A96" s="3111">
        <v>24</v>
      </c>
      <c r="B96" s="3821"/>
      <c r="C96" s="3085" t="s">
        <v>2701</v>
      </c>
      <c r="D96" s="3085" t="s">
        <v>2702</v>
      </c>
      <c r="E96" s="3111">
        <v>0.1</v>
      </c>
      <c r="F96" s="3111">
        <v>15</v>
      </c>
    </row>
    <row r="97" spans="1:6" ht="13.5">
      <c r="A97" s="3111">
        <v>25</v>
      </c>
      <c r="B97" s="3821"/>
      <c r="C97" s="3085" t="s">
        <v>2703</v>
      </c>
      <c r="D97" s="3085" t="s">
        <v>2704</v>
      </c>
      <c r="E97" s="3111">
        <v>0.1</v>
      </c>
      <c r="F97" s="3111">
        <v>15</v>
      </c>
    </row>
    <row r="98" spans="1:6" ht="24">
      <c r="A98" s="3111">
        <v>26</v>
      </c>
      <c r="B98" s="3821"/>
      <c r="C98" s="3085" t="s">
        <v>2705</v>
      </c>
      <c r="D98" s="3085" t="s">
        <v>2706</v>
      </c>
      <c r="E98" s="3111">
        <v>0.1</v>
      </c>
      <c r="F98" s="3111">
        <v>15</v>
      </c>
    </row>
    <row r="99" spans="1:6" ht="24">
      <c r="A99" s="3111">
        <v>27</v>
      </c>
      <c r="B99" s="3821"/>
      <c r="C99" s="3085" t="s">
        <v>2707</v>
      </c>
      <c r="D99" s="3085" t="s">
        <v>2708</v>
      </c>
      <c r="E99" s="3111">
        <v>0.1</v>
      </c>
      <c r="F99" s="3111">
        <v>15</v>
      </c>
    </row>
    <row r="100" spans="1:6" ht="13.5">
      <c r="A100" s="3111">
        <v>28</v>
      </c>
      <c r="B100" s="3821"/>
      <c r="C100" s="3085" t="s">
        <v>2709</v>
      </c>
      <c r="D100" s="3085" t="s">
        <v>2710</v>
      </c>
      <c r="E100" s="3111">
        <v>0.1</v>
      </c>
      <c r="F100" s="3111">
        <v>15</v>
      </c>
    </row>
    <row r="101" spans="1:6" ht="13.5">
      <c r="A101" s="3111">
        <v>29</v>
      </c>
      <c r="B101" s="3821"/>
      <c r="C101" s="3085" t="s">
        <v>2711</v>
      </c>
      <c r="D101" s="3085" t="s">
        <v>2712</v>
      </c>
      <c r="E101" s="3111">
        <v>0.1</v>
      </c>
      <c r="F101" s="3111">
        <v>15</v>
      </c>
    </row>
    <row r="102" spans="1:6" ht="13.5">
      <c r="A102" s="3111">
        <v>30</v>
      </c>
      <c r="B102" s="3821"/>
      <c r="C102" s="3085" t="s">
        <v>2713</v>
      </c>
      <c r="D102" s="3085" t="s">
        <v>2714</v>
      </c>
      <c r="E102" s="3111">
        <v>0.1</v>
      </c>
      <c r="F102" s="3111">
        <v>15</v>
      </c>
    </row>
    <row r="103" spans="1:6" ht="24">
      <c r="A103" s="3111">
        <v>31</v>
      </c>
      <c r="B103" s="3821"/>
      <c r="C103" s="3085" t="s">
        <v>2715</v>
      </c>
      <c r="D103" s="3085" t="s">
        <v>2716</v>
      </c>
      <c r="E103" s="3111">
        <v>0.1</v>
      </c>
      <c r="F103" s="3111">
        <v>15</v>
      </c>
    </row>
    <row r="104" spans="1:6" ht="24">
      <c r="A104" s="3111">
        <v>32</v>
      </c>
      <c r="B104" s="3821"/>
      <c r="C104" s="3085" t="s">
        <v>2717</v>
      </c>
      <c r="D104" s="3085" t="s">
        <v>2718</v>
      </c>
      <c r="E104" s="3111">
        <v>0.1</v>
      </c>
      <c r="F104" s="3111">
        <v>15</v>
      </c>
    </row>
    <row r="105" spans="1:6" ht="24">
      <c r="A105" s="3111">
        <v>33</v>
      </c>
      <c r="B105" s="3821"/>
      <c r="C105" s="3085" t="s">
        <v>2719</v>
      </c>
      <c r="D105" s="3085" t="s">
        <v>2720</v>
      </c>
      <c r="E105" s="3111">
        <v>0.1</v>
      </c>
      <c r="F105" s="3111">
        <v>15</v>
      </c>
    </row>
    <row r="106" spans="1:6" ht="24">
      <c r="A106" s="3111">
        <v>34</v>
      </c>
      <c r="B106" s="3830"/>
      <c r="C106" s="3085" t="s">
        <v>2721</v>
      </c>
      <c r="D106" s="3085" t="s">
        <v>2722</v>
      </c>
      <c r="E106" s="3111">
        <v>0.1</v>
      </c>
      <c r="F106" s="3111">
        <v>15</v>
      </c>
    </row>
    <row r="107" spans="1:6" ht="24">
      <c r="A107" s="3111">
        <v>35</v>
      </c>
      <c r="B107" s="3826" t="s">
        <v>2723</v>
      </c>
      <c r="C107" s="3111" t="s">
        <v>2724</v>
      </c>
      <c r="D107" s="3085" t="s">
        <v>2725</v>
      </c>
      <c r="E107" s="3111">
        <v>0.15</v>
      </c>
      <c r="F107" s="3111">
        <v>20</v>
      </c>
    </row>
    <row r="108" spans="1:6" ht="13.5">
      <c r="A108" s="3111">
        <v>36</v>
      </c>
      <c r="B108" s="3821"/>
      <c r="C108" s="3111" t="s">
        <v>2726</v>
      </c>
      <c r="D108" s="3085" t="s">
        <v>2727</v>
      </c>
      <c r="E108" s="3111">
        <v>0.15</v>
      </c>
      <c r="F108" s="3111">
        <v>20</v>
      </c>
    </row>
    <row r="109" spans="1:6" ht="13.5">
      <c r="A109" s="3111">
        <v>37</v>
      </c>
      <c r="B109" s="3821"/>
      <c r="C109" s="3111" t="s">
        <v>2728</v>
      </c>
      <c r="D109" s="3085" t="s">
        <v>2729</v>
      </c>
      <c r="E109" s="3111">
        <v>0.15</v>
      </c>
      <c r="F109" s="3111">
        <v>20</v>
      </c>
    </row>
    <row r="110" spans="1:6" ht="13.5">
      <c r="A110" s="3111">
        <v>38</v>
      </c>
      <c r="B110" s="3821"/>
      <c r="C110" s="3111" t="s">
        <v>2730</v>
      </c>
      <c r="D110" s="3085" t="s">
        <v>2731</v>
      </c>
      <c r="E110" s="3111">
        <v>0.1</v>
      </c>
      <c r="F110" s="3111">
        <v>15</v>
      </c>
    </row>
    <row r="111" spans="1:6" ht="24">
      <c r="A111" s="3111">
        <v>39</v>
      </c>
      <c r="B111" s="3821"/>
      <c r="C111" s="3111" t="s">
        <v>2732</v>
      </c>
      <c r="D111" s="3085" t="s">
        <v>2733</v>
      </c>
      <c r="E111" s="3111">
        <v>0.1</v>
      </c>
      <c r="F111" s="3111">
        <v>15</v>
      </c>
    </row>
    <row r="112" spans="1:6" ht="24">
      <c r="A112" s="3111">
        <v>40</v>
      </c>
      <c r="B112" s="3830"/>
      <c r="C112" s="3111" t="s">
        <v>2734</v>
      </c>
      <c r="D112" s="3085" t="s">
        <v>2735</v>
      </c>
      <c r="E112" s="3111">
        <v>0.1</v>
      </c>
      <c r="F112" s="3111">
        <v>15</v>
      </c>
    </row>
    <row r="113" spans="1:6" ht="13.5">
      <c r="A113" s="3111">
        <v>41</v>
      </c>
      <c r="B113" s="3831" t="s">
        <v>2736</v>
      </c>
      <c r="C113" s="3111" t="s">
        <v>2737</v>
      </c>
      <c r="D113" s="3085" t="s">
        <v>2738</v>
      </c>
      <c r="E113" s="3111">
        <v>0.1</v>
      </c>
      <c r="F113" s="3111">
        <v>15</v>
      </c>
    </row>
    <row r="114" spans="1:6" ht="13.5">
      <c r="A114" s="3111">
        <v>42</v>
      </c>
      <c r="B114" s="3831"/>
      <c r="C114" s="3111" t="s">
        <v>2739</v>
      </c>
      <c r="D114" s="3085" t="s">
        <v>2740</v>
      </c>
      <c r="E114" s="3111">
        <v>0.1</v>
      </c>
      <c r="F114" s="3111">
        <v>15</v>
      </c>
    </row>
    <row r="115" spans="1:6" ht="24">
      <c r="A115" s="3111">
        <v>43</v>
      </c>
      <c r="B115" s="3831"/>
      <c r="C115" s="3111" t="s">
        <v>2741</v>
      </c>
      <c r="D115" s="3085" t="s">
        <v>2742</v>
      </c>
      <c r="E115" s="3111">
        <v>0.1</v>
      </c>
      <c r="F115" s="3111">
        <v>15</v>
      </c>
    </row>
    <row r="116" spans="1:6" ht="13.5">
      <c r="A116" s="3111">
        <v>44</v>
      </c>
      <c r="B116" s="3826" t="s">
        <v>2743</v>
      </c>
      <c r="C116" s="3111" t="s">
        <v>2744</v>
      </c>
      <c r="D116" s="3085" t="s">
        <v>2745</v>
      </c>
      <c r="E116" s="3111">
        <v>0.1</v>
      </c>
      <c r="F116" s="3111">
        <v>15</v>
      </c>
    </row>
    <row r="117" spans="1:6" ht="24">
      <c r="A117" s="3111">
        <v>45</v>
      </c>
      <c r="B117" s="3830"/>
      <c r="C117" s="3085" t="s">
        <v>2746</v>
      </c>
      <c r="D117" s="3085" t="s">
        <v>2747</v>
      </c>
      <c r="E117" s="3111">
        <v>0.1</v>
      </c>
      <c r="F117" s="3111">
        <v>15</v>
      </c>
    </row>
    <row r="118" spans="1:6" ht="24">
      <c r="A118" s="3111">
        <v>46</v>
      </c>
      <c r="B118" s="3826" t="s">
        <v>2748</v>
      </c>
      <c r="C118" s="3111" t="s">
        <v>2749</v>
      </c>
      <c r="D118" s="3085" t="s">
        <v>2750</v>
      </c>
      <c r="E118" s="3111">
        <v>0.1</v>
      </c>
      <c r="F118" s="3111">
        <v>15</v>
      </c>
    </row>
    <row r="119" spans="1:6" ht="24">
      <c r="A119" s="3111">
        <v>47</v>
      </c>
      <c r="B119" s="3830"/>
      <c r="C119" s="3111" t="s">
        <v>2751</v>
      </c>
      <c r="D119" s="3085" t="s">
        <v>2752</v>
      </c>
      <c r="E119" s="3111">
        <v>0.1</v>
      </c>
      <c r="F119" s="3111">
        <v>15</v>
      </c>
    </row>
    <row r="120" spans="1:6" ht="13.5">
      <c r="A120" s="3111">
        <v>48</v>
      </c>
      <c r="B120" s="3826" t="s">
        <v>2753</v>
      </c>
      <c r="C120" s="3111" t="s">
        <v>2754</v>
      </c>
      <c r="D120" s="3085" t="s">
        <v>2755</v>
      </c>
      <c r="E120" s="3111">
        <v>0.1</v>
      </c>
      <c r="F120" s="3111">
        <v>15</v>
      </c>
    </row>
    <row r="121" spans="1:6" ht="13.5">
      <c r="A121" s="3111">
        <v>49</v>
      </c>
      <c r="B121" s="3830"/>
      <c r="C121" s="3111" t="s">
        <v>2756</v>
      </c>
      <c r="D121" s="3085" t="s">
        <v>2757</v>
      </c>
      <c r="E121" s="3111">
        <v>0.1</v>
      </c>
      <c r="F121" s="3111">
        <v>15</v>
      </c>
    </row>
    <row r="122" spans="1:6" ht="24">
      <c r="A122" s="3111">
        <v>50</v>
      </c>
      <c r="B122" s="3831" t="s">
        <v>2758</v>
      </c>
      <c r="C122" s="3111" t="s">
        <v>2759</v>
      </c>
      <c r="D122" s="3085" t="s">
        <v>2760</v>
      </c>
      <c r="E122" s="3111">
        <v>0.1</v>
      </c>
      <c r="F122" s="3111">
        <v>15</v>
      </c>
    </row>
    <row r="123" spans="1:6" ht="24">
      <c r="A123" s="3111">
        <v>51</v>
      </c>
      <c r="B123" s="3831"/>
      <c r="C123" s="3111" t="s">
        <v>2761</v>
      </c>
      <c r="D123" s="3085" t="s">
        <v>2762</v>
      </c>
      <c r="E123" s="3111">
        <v>0.1</v>
      </c>
      <c r="F123" s="3111">
        <v>15</v>
      </c>
    </row>
    <row r="124" spans="1:6" ht="24">
      <c r="A124" s="3111">
        <v>52</v>
      </c>
      <c r="B124" s="3831" t="s">
        <v>2763</v>
      </c>
      <c r="C124" s="3111" t="s">
        <v>2764</v>
      </c>
      <c r="D124" s="3085" t="s">
        <v>2765</v>
      </c>
      <c r="E124" s="3111">
        <v>0.1</v>
      </c>
      <c r="F124" s="3111">
        <v>15</v>
      </c>
    </row>
    <row r="125" spans="1:6" ht="24">
      <c r="A125" s="3111">
        <v>53</v>
      </c>
      <c r="B125" s="3831"/>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31" t="s">
        <v>2771</v>
      </c>
      <c r="C127" s="3111" t="s">
        <v>2772</v>
      </c>
      <c r="D127" s="3085" t="s">
        <v>2773</v>
      </c>
      <c r="E127" s="3111">
        <v>0.1</v>
      </c>
      <c r="F127" s="3111">
        <v>15</v>
      </c>
    </row>
    <row r="128" spans="1:6" ht="13.5">
      <c r="A128" s="3111">
        <v>56</v>
      </c>
      <c r="B128" s="3831"/>
      <c r="C128" s="3111" t="s">
        <v>2774</v>
      </c>
      <c r="D128" s="3085" t="s">
        <v>2775</v>
      </c>
      <c r="E128" s="3111">
        <v>0.1</v>
      </c>
      <c r="F128" s="3111">
        <v>15</v>
      </c>
    </row>
    <row r="129" spans="1:6" ht="24">
      <c r="A129" s="3111">
        <v>57</v>
      </c>
      <c r="B129" s="3831"/>
      <c r="C129" s="3111" t="s">
        <v>2776</v>
      </c>
      <c r="D129" s="3085" t="s">
        <v>2777</v>
      </c>
      <c r="E129" s="3111">
        <v>0.1</v>
      </c>
      <c r="F129" s="3111">
        <v>15</v>
      </c>
    </row>
    <row r="130" spans="1:6" ht="24">
      <c r="A130" s="3111">
        <v>58</v>
      </c>
      <c r="B130" s="3831" t="s">
        <v>2778</v>
      </c>
      <c r="C130" s="3111" t="s">
        <v>2779</v>
      </c>
      <c r="D130" s="3085" t="s">
        <v>2780</v>
      </c>
      <c r="E130" s="3111">
        <v>0.1</v>
      </c>
      <c r="F130" s="3111">
        <v>15</v>
      </c>
    </row>
    <row r="131" spans="1:6" ht="13.5">
      <c r="A131" s="3111">
        <v>59</v>
      </c>
      <c r="B131" s="3831"/>
      <c r="C131" s="3111" t="s">
        <v>2781</v>
      </c>
      <c r="D131" s="3085" t="s">
        <v>2782</v>
      </c>
      <c r="E131" s="3111">
        <v>0.1</v>
      </c>
      <c r="F131" s="3111">
        <v>15</v>
      </c>
    </row>
    <row r="132" spans="1:6" ht="13.5">
      <c r="A132" s="3111">
        <v>60</v>
      </c>
      <c r="B132" s="3826" t="s">
        <v>2783</v>
      </c>
      <c r="C132" s="3111" t="s">
        <v>2784</v>
      </c>
      <c r="D132" s="3085" t="s">
        <v>2785</v>
      </c>
      <c r="E132" s="3111">
        <v>0.1</v>
      </c>
      <c r="F132" s="3111">
        <v>15</v>
      </c>
    </row>
    <row r="133" spans="1:6" ht="13.5">
      <c r="A133" s="3111">
        <v>61</v>
      </c>
      <c r="B133" s="3830"/>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31" t="s">
        <v>2791</v>
      </c>
      <c r="C135" s="3111" t="s">
        <v>2792</v>
      </c>
      <c r="D135" s="3085" t="s">
        <v>2793</v>
      </c>
      <c r="E135" s="3111">
        <v>0.1</v>
      </c>
      <c r="F135" s="3111">
        <v>15</v>
      </c>
    </row>
    <row r="136" spans="1:6" ht="13.5">
      <c r="A136" s="3111">
        <v>64</v>
      </c>
      <c r="B136" s="3831"/>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5"/>
  </cols>
  <sheetData>
    <row r="1" spans="1:20" ht="15" thickBot="1">
      <c r="A1" s="3120" t="s">
        <v>2800</v>
      </c>
      <c r="B1" s="3120"/>
      <c r="C1" s="3120"/>
      <c r="D1" s="3120"/>
      <c r="E1" s="3120"/>
      <c r="F1" s="3120"/>
      <c r="G1" s="3120"/>
      <c r="H1" s="3120"/>
      <c r="I1" s="3120"/>
      <c r="J1" s="3120"/>
      <c r="K1" s="3120"/>
      <c r="L1" s="3120"/>
      <c r="M1" s="3120"/>
      <c r="N1" s="744"/>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6"/>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6"/>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6"/>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5">
        <f>SUMPRODUCT((A95:A184=ROUNDDOWN(基准地价修正!G3,1))*(B94:M94=基准地价修正!G2)*(B95:M184))</f>
        <v>0</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4"/>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4"/>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5">
        <f>SUMPRODUCT((A371:A460=ROUNDDOWN(基准地价修正!G3,1))*(B370:M370=基准地价修正!G2)*(B371:M460))</f>
        <v>0</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130278</v>
      </c>
      <c r="C2" s="2" t="s">
        <v>106</v>
      </c>
      <c r="D2" s="199"/>
      <c r="E2" s="199"/>
      <c r="F2" s="199"/>
      <c r="G2" s="199"/>
    </row>
    <row r="3" spans="1:7" s="200" customFormat="1" ht="18" customHeight="1" thickBot="1">
      <c r="A3" s="203" t="s">
        <v>58</v>
      </c>
      <c r="B3" s="204">
        <f ca="1">ROUND(B2*10000/'数据-汇总表'!E3,0)</f>
        <v>9641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0</v>
      </c>
      <c r="F9" s="221"/>
      <c r="G9" s="226"/>
    </row>
    <row r="10" spans="1:7" s="214" customFormat="1" ht="13.5" customHeight="1">
      <c r="A10" s="774" t="s">
        <v>356</v>
      </c>
      <c r="B10" s="224" t="s">
        <v>67</v>
      </c>
      <c r="C10" s="225">
        <f>ROUND(D10*E10/10000,0)</f>
        <v>2703</v>
      </c>
      <c r="D10" s="840">
        <f>'数据-汇总表'!E6</f>
        <v>135125.56999999998</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2703</v>
      </c>
      <c r="D19" s="844">
        <f>'数据-汇总表'!E3</f>
        <v>135125.56999999998</v>
      </c>
      <c r="E19" s="211">
        <f>'数据-取费表'!B31</f>
        <v>200</v>
      </c>
      <c r="F19" s="231"/>
      <c r="G19" s="1" t="s">
        <v>436</v>
      </c>
    </row>
    <row r="20" spans="1:7" s="214" customFormat="1" ht="13.5" customHeight="1">
      <c r="A20" s="772" t="s">
        <v>419</v>
      </c>
      <c r="B20" s="210" t="s">
        <v>77</v>
      </c>
      <c r="C20" s="232">
        <f>ROUND((C5+C19)*F20,0)</f>
        <v>466</v>
      </c>
      <c r="D20" s="232"/>
      <c r="E20" s="232"/>
      <c r="F20" s="233">
        <f>'数据-取费表'!B37</f>
        <v>0.02</v>
      </c>
      <c r="G20" s="1062" t="s">
        <v>430</v>
      </c>
    </row>
    <row r="21" spans="1:7" s="214" customFormat="1" ht="13.5" customHeight="1">
      <c r="A21" s="772" t="s">
        <v>421</v>
      </c>
      <c r="B21" s="210" t="s">
        <v>78</v>
      </c>
      <c r="C21" s="235">
        <f>F21</f>
        <v>0.02</v>
      </c>
      <c r="D21" s="236" t="s">
        <v>99</v>
      </c>
      <c r="E21" s="232"/>
      <c r="F21" s="233">
        <f>'数据-取费表'!B38</f>
        <v>0.02</v>
      </c>
      <c r="G21" s="234" t="s">
        <v>79</v>
      </c>
    </row>
    <row r="22" spans="1:7" s="214" customFormat="1" ht="13.5" customHeight="1">
      <c r="A22" s="772" t="s">
        <v>341</v>
      </c>
      <c r="B22" s="210" t="s">
        <v>80</v>
      </c>
      <c r="C22" s="1099">
        <f ca="1">ROUND(SUM(C23:C25),0)</f>
        <v>1653</v>
      </c>
      <c r="D22" s="235">
        <f ca="1">C26</f>
        <v>6.9999999999999999E-4</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1447</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190</v>
      </c>
      <c r="D24" s="238"/>
      <c r="E24" s="238"/>
      <c r="F24" s="239"/>
      <c r="G24" s="240" t="s">
        <v>82</v>
      </c>
    </row>
    <row r="25" spans="1:7" s="214" customFormat="1" ht="24">
      <c r="A25" s="775" t="s">
        <v>348</v>
      </c>
      <c r="B25" s="215" t="s">
        <v>420</v>
      </c>
      <c r="C25" s="1100">
        <f ca="1">ROUND(IF('数据-取费表'!B22&lt;=1,C20*F22*'数据-取费表'!B23/2,C20*(POWER((1+F22),'数据-取费表'!B23/2)-1)),0)</f>
        <v>16</v>
      </c>
      <c r="D25" s="238"/>
      <c r="E25" s="241"/>
      <c r="F25" s="239"/>
      <c r="G25" s="242" t="s">
        <v>83</v>
      </c>
    </row>
    <row r="26" spans="1:7" s="214" customFormat="1">
      <c r="A26" s="775" t="s">
        <v>350</v>
      </c>
      <c r="B26" s="215" t="s">
        <v>422</v>
      </c>
      <c r="C26" s="238">
        <f ca="1">ROUND(IF('数据-取费表'!B22&lt;=1,F21*F22*'数据-取费表'!B23/2,F21*(POWER((1+F22),'数据-取费表'!B23/2)-1)),4)</f>
        <v>6.9999999999999999E-4</v>
      </c>
      <c r="D26" s="238"/>
      <c r="E26" s="241"/>
      <c r="F26" s="239"/>
      <c r="G26" s="243"/>
    </row>
    <row r="27" spans="1:7" s="214" customFormat="1" ht="24.75">
      <c r="A27" s="772" t="s">
        <v>342</v>
      </c>
      <c r="B27" s="244" t="s">
        <v>85</v>
      </c>
      <c r="C27" s="245">
        <f>C28</f>
        <v>1902</v>
      </c>
      <c r="D27" s="235">
        <f>C29</f>
        <v>1.6000000000000001E-3</v>
      </c>
      <c r="E27" s="236" t="s">
        <v>99</v>
      </c>
      <c r="F27" s="246">
        <f>'数据-取费表'!Q16</f>
        <v>0.08</v>
      </c>
      <c r="G27" s="247" t="s">
        <v>431</v>
      </c>
    </row>
    <row r="28" spans="1:7" s="214" customFormat="1" ht="13.5" customHeight="1">
      <c r="A28" s="775" t="s">
        <v>349</v>
      </c>
      <c r="B28" s="248" t="s">
        <v>424</v>
      </c>
      <c r="C28" s="249">
        <f>ROUND((C5+C19+C20)*F27*'数据-取费表'!B21/'数据-取费表'!B20,0)</f>
        <v>1902</v>
      </c>
      <c r="D28" s="235"/>
      <c r="E28" s="236"/>
      <c r="F28" s="246"/>
      <c r="G28" s="247"/>
    </row>
    <row r="29" spans="1:7" s="214" customFormat="1" ht="13.5" customHeight="1">
      <c r="A29" s="775" t="s">
        <v>347</v>
      </c>
      <c r="B29" s="248" t="s">
        <v>425</v>
      </c>
      <c r="C29" s="238">
        <f>ROUND(C21*F27*'数据-取费表'!B21/'数据-取费表'!B20,4)</f>
        <v>1.6000000000000001E-3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29540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83671</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75671</v>
      </c>
      <c r="D34" s="217"/>
      <c r="E34" s="220"/>
      <c r="F34" s="257">
        <f>IF('数据-取费表'!B24=0,1,'数据-取费表'!N16)</f>
        <v>1</v>
      </c>
      <c r="G34" s="219" t="s">
        <v>89</v>
      </c>
    </row>
    <row r="35" spans="1:7" ht="13.5" customHeight="1">
      <c r="A35" s="775" t="s">
        <v>351</v>
      </c>
      <c r="B35" s="215" t="s">
        <v>33</v>
      </c>
      <c r="C35" s="220">
        <f>ROUND(C34*F35,0)</f>
        <v>3784</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2703</v>
      </c>
      <c r="D37" s="217">
        <f>'数据-汇总表'!E3</f>
        <v>135125.56999999998</v>
      </c>
      <c r="E37" s="249">
        <f>'数据-取费表'!B35</f>
        <v>200</v>
      </c>
      <c r="F37" s="259"/>
      <c r="G37" s="261" t="s">
        <v>92</v>
      </c>
    </row>
    <row r="38" spans="1:7" ht="13.5" customHeight="1">
      <c r="A38" s="775" t="s">
        <v>354</v>
      </c>
      <c r="B38" s="215" t="s">
        <v>36</v>
      </c>
      <c r="C38" s="220">
        <f>ROUND(C34*F38,0)</f>
        <v>1513</v>
      </c>
      <c r="D38" s="220"/>
      <c r="E38" s="220"/>
      <c r="F38" s="259">
        <f>'数据-取费表'!B36</f>
        <v>0.02</v>
      </c>
      <c r="G38" s="219" t="s">
        <v>90</v>
      </c>
    </row>
    <row r="39" spans="1:7" s="214" customFormat="1" ht="13.5" customHeight="1">
      <c r="A39" s="772" t="s">
        <v>338</v>
      </c>
      <c r="B39" s="210" t="s">
        <v>77</v>
      </c>
      <c r="C39" s="232">
        <f>ROUND(C33*F20,0)</f>
        <v>1673</v>
      </c>
      <c r="D39" s="232"/>
      <c r="E39" s="232"/>
      <c r="F39" s="233"/>
      <c r="G39" s="1062" t="s">
        <v>433</v>
      </c>
    </row>
    <row r="40" spans="1:7" s="214" customFormat="1" ht="13.5" customHeight="1">
      <c r="A40" s="772" t="s">
        <v>339</v>
      </c>
      <c r="B40" s="210" t="s">
        <v>78</v>
      </c>
      <c r="C40" s="262">
        <f>F21</f>
        <v>0.02</v>
      </c>
      <c r="D40" s="236" t="s">
        <v>102</v>
      </c>
      <c r="E40" s="232"/>
      <c r="F40" s="233"/>
      <c r="G40" s="234" t="s">
        <v>93</v>
      </c>
    </row>
    <row r="41" spans="1:7" s="214" customFormat="1" ht="13.5" customHeight="1">
      <c r="A41" s="772" t="s">
        <v>340</v>
      </c>
      <c r="B41" s="210" t="s">
        <v>80</v>
      </c>
      <c r="C41" s="232">
        <f ca="1">ROUND(SUM(C42:C43),0)</f>
        <v>2945</v>
      </c>
      <c r="D41" s="235">
        <f ca="1">C44</f>
        <v>6.9999999999999999E-4</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2887</v>
      </c>
      <c r="D42" s="238"/>
      <c r="E42" s="238"/>
      <c r="F42" s="239"/>
      <c r="G42" s="3696" t="s">
        <v>94</v>
      </c>
    </row>
    <row r="43" spans="1:7" ht="13.5" customHeight="1">
      <c r="A43" s="775" t="s">
        <v>347</v>
      </c>
      <c r="B43" s="215" t="s">
        <v>426</v>
      </c>
      <c r="C43" s="238">
        <f ca="1">ROUND(IF('数据-取费表'!B22&lt;=1,C39*F22*'数据-取费表'!B21/2,C39*(POWER((1+F22),'数据-取费表'!B21/2)-1)),0)</f>
        <v>58</v>
      </c>
      <c r="D43" s="238"/>
      <c r="E43" s="238"/>
      <c r="F43" s="239"/>
      <c r="G43" s="3697"/>
    </row>
    <row r="44" spans="1:7" ht="13.5" customHeight="1">
      <c r="A44" s="775" t="s">
        <v>348</v>
      </c>
      <c r="B44" s="215" t="s">
        <v>428</v>
      </c>
      <c r="C44" s="238">
        <f ca="1">ROUND(IF('数据-取费表'!B22&lt;=1,C40*F22*'数据-取费表'!B21/2,C40*(POWER((1+F22),'数据-取费表'!B21/2)-1)),4)</f>
        <v>6.9999999999999999E-4</v>
      </c>
      <c r="D44" s="238"/>
      <c r="E44" s="238"/>
      <c r="F44" s="239"/>
      <c r="G44" s="3698"/>
    </row>
    <row r="45" spans="1:7" s="214" customFormat="1" ht="13.5" customHeight="1">
      <c r="A45" s="772" t="s">
        <v>341</v>
      </c>
      <c r="B45" s="244" t="s">
        <v>85</v>
      </c>
      <c r="C45" s="245">
        <f>C46</f>
        <v>6828</v>
      </c>
      <c r="D45" s="235">
        <f>C47</f>
        <v>1.6000000000000001E-3</v>
      </c>
      <c r="E45" s="236" t="s">
        <v>102</v>
      </c>
      <c r="F45" s="246"/>
      <c r="G45" s="247" t="s">
        <v>434</v>
      </c>
    </row>
    <row r="46" spans="1:7" s="214" customFormat="1" ht="13.5" customHeight="1">
      <c r="A46" s="775" t="s">
        <v>349</v>
      </c>
      <c r="B46" s="248" t="s">
        <v>427</v>
      </c>
      <c r="C46" s="249">
        <f>ROUND((C33+C39)*F27,0)</f>
        <v>6828</v>
      </c>
      <c r="D46" s="263"/>
      <c r="E46" s="236"/>
      <c r="F46" s="246"/>
      <c r="G46" s="247"/>
    </row>
    <row r="47" spans="1:7" s="214" customFormat="1" ht="13.5" customHeight="1">
      <c r="A47" s="775" t="s">
        <v>347</v>
      </c>
      <c r="B47" s="248" t="s">
        <v>429</v>
      </c>
      <c r="C47" s="238">
        <f>ROUND(C40*F27,4)</f>
        <v>1.6000000000000001E-3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102794</v>
      </c>
      <c r="D49" s="232"/>
      <c r="E49" s="232"/>
      <c r="F49" s="264"/>
      <c r="G49" s="234" t="s">
        <v>435</v>
      </c>
    </row>
    <row r="50" spans="1:7" s="258" customFormat="1" ht="24">
      <c r="A50" s="772" t="s">
        <v>344</v>
      </c>
      <c r="B50" s="210" t="s">
        <v>97</v>
      </c>
      <c r="C50" s="232"/>
      <c r="D50" s="232"/>
      <c r="E50" s="232"/>
      <c r="F50" s="264">
        <f>IF('数据-取费表'!B24=0,'数据-取费表'!N16,1)</f>
        <v>0.98</v>
      </c>
      <c r="G50" s="247" t="s">
        <v>98</v>
      </c>
    </row>
    <row r="51" spans="1:7" ht="16.5" customHeight="1">
      <c r="A51" s="772" t="s">
        <v>345</v>
      </c>
      <c r="B51" s="210" t="s">
        <v>105</v>
      </c>
      <c r="C51" s="232">
        <f ca="1">ROUND(C49*F50,0)</f>
        <v>100738</v>
      </c>
      <c r="D51" s="232"/>
      <c r="E51" s="232"/>
      <c r="F51" s="264"/>
      <c r="G51" s="234" t="s">
        <v>37</v>
      </c>
    </row>
    <row r="52" spans="1:7" s="208" customFormat="1" ht="16.5" thickBot="1">
      <c r="A52" s="265" t="s">
        <v>38</v>
      </c>
      <c r="B52" s="266"/>
      <c r="C52" s="267">
        <f ca="1">C31+C51</f>
        <v>130278</v>
      </c>
      <c r="D52" s="266"/>
      <c r="E52" s="266"/>
      <c r="F52" s="266"/>
      <c r="G52" s="268"/>
    </row>
    <row r="55" spans="1:7" ht="15">
      <c r="B55" s="270" t="s">
        <v>39</v>
      </c>
      <c r="C55" s="271"/>
    </row>
    <row r="56" spans="1:7">
      <c r="B56" s="273" t="s">
        <v>40</v>
      </c>
      <c r="C56" s="274">
        <f ca="1">ROUND(C51/C52,3)</f>
        <v>0.77300000000000002</v>
      </c>
    </row>
    <row r="57" spans="1:7">
      <c r="B57" s="273" t="s">
        <v>41</v>
      </c>
      <c r="C57" s="275">
        <f ca="1">1-C56</f>
        <v>0.22699999999999998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F1" workbookViewId="0">
      <selection activeCell="G4" sqref="G4"/>
    </sheetView>
  </sheetViews>
  <sheetFormatPr defaultRowHeight="13.5"/>
  <cols>
    <col min="1" max="1" width="30.75" customWidth="1"/>
    <col min="5" max="7" width="9.125" bestFit="1" customWidth="1"/>
    <col min="11" max="11" width="10.5" bestFit="1" customWidth="1"/>
    <col min="12" max="12" width="13.375" customWidth="1"/>
    <col min="14" max="14" width="48.25" customWidth="1"/>
    <col min="15" max="16" width="9.125" bestFit="1" customWidth="1"/>
    <col min="18" max="20" width="9.125" bestFit="1" customWidth="1"/>
    <col min="23" max="23" width="9.125" bestFit="1" customWidth="1"/>
  </cols>
  <sheetData>
    <row r="1" spans="1:23" ht="14.25">
      <c r="A1" s="3500" t="s">
        <v>3438</v>
      </c>
      <c r="B1" s="3500" t="s">
        <v>3439</v>
      </c>
      <c r="C1" s="3500" t="s">
        <v>3440</v>
      </c>
      <c r="D1" s="3500" t="s">
        <v>3441</v>
      </c>
      <c r="E1" s="3500" t="s">
        <v>3442</v>
      </c>
      <c r="F1" s="3500" t="s">
        <v>3443</v>
      </c>
      <c r="G1" s="3500" t="s">
        <v>3444</v>
      </c>
      <c r="H1" s="3500" t="s">
        <v>3445</v>
      </c>
      <c r="I1" s="3500" t="s">
        <v>3446</v>
      </c>
      <c r="J1" s="3500" t="s">
        <v>3447</v>
      </c>
      <c r="K1" s="3500" t="s">
        <v>3448</v>
      </c>
      <c r="L1" s="3500" t="s">
        <v>3449</v>
      </c>
      <c r="M1" s="3500" t="s">
        <v>3450</v>
      </c>
      <c r="N1" s="3500" t="s">
        <v>3451</v>
      </c>
      <c r="O1" s="3500" t="s">
        <v>3452</v>
      </c>
      <c r="P1" s="3500" t="s">
        <v>3453</v>
      </c>
      <c r="Q1" s="3500" t="s">
        <v>3454</v>
      </c>
      <c r="R1" s="3500" t="s">
        <v>3455</v>
      </c>
      <c r="S1" s="3500" t="s">
        <v>3456</v>
      </c>
      <c r="T1" s="3500" t="s">
        <v>3457</v>
      </c>
      <c r="U1" s="3500"/>
    </row>
    <row r="2" spans="1:23" s="3507" customFormat="1" ht="14.25">
      <c r="A2" s="3505" t="s">
        <v>3458</v>
      </c>
      <c r="B2" s="3505" t="s">
        <v>3380</v>
      </c>
      <c r="C2" s="3505" t="s">
        <v>3459</v>
      </c>
      <c r="D2" s="3505" t="s">
        <v>3460</v>
      </c>
      <c r="E2" s="3505">
        <v>94169.78</v>
      </c>
      <c r="F2" s="3505">
        <v>141254.67000000001</v>
      </c>
      <c r="G2" s="3505">
        <v>1.5</v>
      </c>
      <c r="H2" s="3505" t="s">
        <v>3461</v>
      </c>
      <c r="I2" s="3505" t="s">
        <v>3462</v>
      </c>
      <c r="J2" s="3505" t="s">
        <v>3463</v>
      </c>
      <c r="K2" s="3506">
        <v>45098.0004976852</v>
      </c>
      <c r="L2" s="3506">
        <v>45098.0004976852</v>
      </c>
      <c r="M2" s="3505" t="s">
        <v>3464</v>
      </c>
      <c r="N2" s="3505" t="s">
        <v>3465</v>
      </c>
      <c r="O2" s="3505">
        <v>15396.76</v>
      </c>
      <c r="P2" s="3505">
        <v>3080</v>
      </c>
      <c r="Q2" s="3505" t="s">
        <v>3466</v>
      </c>
      <c r="R2" s="3505">
        <v>15396.76</v>
      </c>
      <c r="S2" s="3505">
        <v>1090</v>
      </c>
      <c r="T2" s="3505">
        <v>0</v>
      </c>
      <c r="U2" s="3505"/>
    </row>
    <row r="3" spans="1:23" s="3507" customFormat="1" ht="14.25">
      <c r="A3" s="3505" t="s">
        <v>3467</v>
      </c>
      <c r="B3" s="3505" t="s">
        <v>3380</v>
      </c>
      <c r="C3" s="3505" t="s">
        <v>3468</v>
      </c>
      <c r="D3" s="3505" t="s">
        <v>3460</v>
      </c>
      <c r="E3" s="3505">
        <v>84245.85</v>
      </c>
      <c r="F3" s="3505">
        <v>84245.85</v>
      </c>
      <c r="G3" s="3505" t="s">
        <v>3469</v>
      </c>
      <c r="H3" s="3505" t="s">
        <v>3461</v>
      </c>
      <c r="I3" s="3505" t="s">
        <v>3470</v>
      </c>
      <c r="J3" s="3505" t="s">
        <v>3463</v>
      </c>
      <c r="K3" s="3506">
        <v>44931.0004976852</v>
      </c>
      <c r="L3" s="3506">
        <v>44931.0004976852</v>
      </c>
      <c r="M3" s="3505" t="s">
        <v>3464</v>
      </c>
      <c r="N3" s="3505" t="s">
        <v>3471</v>
      </c>
      <c r="O3" s="3505">
        <v>23049.66</v>
      </c>
      <c r="P3" s="3505">
        <v>4610</v>
      </c>
      <c r="Q3" s="3505" t="s">
        <v>3472</v>
      </c>
      <c r="R3" s="3505">
        <v>23049.66</v>
      </c>
      <c r="S3" s="3505">
        <v>2736</v>
      </c>
      <c r="T3" s="3505">
        <v>0</v>
      </c>
      <c r="U3" s="3505"/>
    </row>
    <row r="4" spans="1:23" s="3510" customFormat="1" ht="14.25">
      <c r="A4" s="3508" t="s">
        <v>3473</v>
      </c>
      <c r="B4" s="3508" t="s">
        <v>3380</v>
      </c>
      <c r="C4" s="3508" t="s">
        <v>3474</v>
      </c>
      <c r="D4" s="3508" t="s">
        <v>3460</v>
      </c>
      <c r="E4" s="3508">
        <v>40217.370000000003</v>
      </c>
      <c r="F4" s="3508">
        <v>60326.05</v>
      </c>
      <c r="G4" s="3508" t="s">
        <v>3475</v>
      </c>
      <c r="H4" s="3508" t="s">
        <v>3461</v>
      </c>
      <c r="I4" s="3508" t="s">
        <v>3476</v>
      </c>
      <c r="J4" s="3508" t="s">
        <v>3463</v>
      </c>
      <c r="K4" s="3509">
        <v>44832.0004976852</v>
      </c>
      <c r="L4" s="3509">
        <v>44832.0004976852</v>
      </c>
      <c r="M4" s="3508" t="s">
        <v>3464</v>
      </c>
      <c r="N4" s="3508" t="s">
        <v>3477</v>
      </c>
      <c r="O4" s="3508">
        <v>4964.83</v>
      </c>
      <c r="P4" s="3508">
        <v>1000</v>
      </c>
      <c r="Q4" s="3508" t="s">
        <v>3478</v>
      </c>
      <c r="R4" s="3508">
        <v>4964.83</v>
      </c>
      <c r="S4" s="3508">
        <v>823</v>
      </c>
      <c r="T4" s="3508">
        <v>0</v>
      </c>
      <c r="U4" s="3508" t="s">
        <v>3479</v>
      </c>
      <c r="W4" s="3510">
        <f>ROUND(S4*常用公式!$F$11/常用公式!$F$12,0)</f>
        <v>1250</v>
      </c>
    </row>
    <row r="5" spans="1:23" s="3510" customFormat="1" ht="14.25">
      <c r="A5" s="3508" t="s">
        <v>3480</v>
      </c>
      <c r="B5" s="3508" t="s">
        <v>3380</v>
      </c>
      <c r="C5" s="3508" t="s">
        <v>3481</v>
      </c>
      <c r="D5" s="3508" t="s">
        <v>3460</v>
      </c>
      <c r="E5" s="3508">
        <v>26650.41</v>
      </c>
      <c r="F5" s="3508">
        <v>39975.61</v>
      </c>
      <c r="G5" s="3508" t="s">
        <v>3475</v>
      </c>
      <c r="H5" s="3508" t="s">
        <v>3461</v>
      </c>
      <c r="I5" s="3508" t="s">
        <v>3476</v>
      </c>
      <c r="J5" s="3508" t="s">
        <v>3463</v>
      </c>
      <c r="K5" s="3509">
        <v>44760.0004976852</v>
      </c>
      <c r="L5" s="3509">
        <v>44760.0004976852</v>
      </c>
      <c r="M5" s="3508" t="s">
        <v>3464</v>
      </c>
      <c r="N5" s="3508" t="s">
        <v>3482</v>
      </c>
      <c r="O5" s="3508">
        <v>3258.01</v>
      </c>
      <c r="P5" s="3508">
        <v>650</v>
      </c>
      <c r="Q5" s="3508" t="s">
        <v>3483</v>
      </c>
      <c r="R5" s="3508">
        <v>3258.01</v>
      </c>
      <c r="S5" s="3508">
        <v>815</v>
      </c>
      <c r="T5" s="3508">
        <v>0</v>
      </c>
      <c r="U5" s="3508" t="s">
        <v>3484</v>
      </c>
      <c r="W5" s="3510">
        <f>ROUND(S5*常用公式!$F$11/常用公式!$F$12,0)</f>
        <v>1238</v>
      </c>
    </row>
    <row r="6" spans="1:23" s="3507" customFormat="1" ht="14.25">
      <c r="A6" s="3505" t="s">
        <v>3485</v>
      </c>
      <c r="B6" s="3505" t="s">
        <v>3380</v>
      </c>
      <c r="C6" s="3505" t="s">
        <v>3486</v>
      </c>
      <c r="D6" s="3505" t="s">
        <v>3460</v>
      </c>
      <c r="E6" s="3505">
        <v>77481.740000000005</v>
      </c>
      <c r="F6" s="3505">
        <v>100726.26</v>
      </c>
      <c r="G6" s="3505" t="s">
        <v>3487</v>
      </c>
      <c r="H6" s="3505" t="s">
        <v>3461</v>
      </c>
      <c r="I6" s="3505" t="s">
        <v>3476</v>
      </c>
      <c r="J6" s="3505" t="s">
        <v>3463</v>
      </c>
      <c r="K6" s="3506">
        <v>44760.0004976852</v>
      </c>
      <c r="L6" s="3506">
        <v>44760.0004976852</v>
      </c>
      <c r="M6" s="3505" t="s">
        <v>3464</v>
      </c>
      <c r="N6" s="3505" t="s">
        <v>3488</v>
      </c>
      <c r="O6" s="3505">
        <v>8098.39</v>
      </c>
      <c r="P6" s="3505">
        <v>1600</v>
      </c>
      <c r="Q6" s="3505" t="s">
        <v>3483</v>
      </c>
      <c r="R6" s="3505">
        <v>8098.39</v>
      </c>
      <c r="S6" s="3505">
        <v>804</v>
      </c>
      <c r="T6" s="3505">
        <v>0</v>
      </c>
      <c r="U6" s="3505" t="s">
        <v>3489</v>
      </c>
      <c r="W6" s="3507">
        <f>ROUND(S6*常用公式!$F$11/常用公式!$F$12,0)</f>
        <v>1221</v>
      </c>
    </row>
    <row r="7" spans="1:23" s="3510" customFormat="1" ht="14.25">
      <c r="A7" s="3508" t="s">
        <v>3490</v>
      </c>
      <c r="B7" s="3508" t="s">
        <v>3380</v>
      </c>
      <c r="C7" s="3508" t="s">
        <v>3491</v>
      </c>
      <c r="D7" s="3508" t="s">
        <v>3460</v>
      </c>
      <c r="E7" s="3508">
        <v>65024.44</v>
      </c>
      <c r="F7" s="3508">
        <v>97536.66</v>
      </c>
      <c r="G7" s="3508" t="s">
        <v>3475</v>
      </c>
      <c r="H7" s="3508" t="s">
        <v>3461</v>
      </c>
      <c r="I7" s="3508" t="s">
        <v>3476</v>
      </c>
      <c r="J7" s="3508" t="s">
        <v>3463</v>
      </c>
      <c r="K7" s="3509">
        <v>44761.0004976852</v>
      </c>
      <c r="L7" s="3509">
        <v>44761.0004976852</v>
      </c>
      <c r="M7" s="3508" t="s">
        <v>3464</v>
      </c>
      <c r="N7" s="3508" t="s">
        <v>3492</v>
      </c>
      <c r="O7" s="3508">
        <v>8017.51</v>
      </c>
      <c r="P7" s="3508">
        <v>1600</v>
      </c>
      <c r="Q7" s="3508" t="s">
        <v>3483</v>
      </c>
      <c r="R7" s="3508">
        <v>8017.51</v>
      </c>
      <c r="S7" s="3508">
        <v>822</v>
      </c>
      <c r="T7" s="3508">
        <v>0</v>
      </c>
      <c r="U7" s="3508" t="s">
        <v>3484</v>
      </c>
      <c r="W7" s="3510">
        <f>ROUND(S7*常用公式!$F$11/常用公式!$F$12,0)</f>
        <v>1249</v>
      </c>
    </row>
    <row r="8" spans="1:23" s="3507" customFormat="1" ht="14.25">
      <c r="A8" s="3505" t="s">
        <v>3493</v>
      </c>
      <c r="B8" s="3505" t="s">
        <v>3380</v>
      </c>
      <c r="C8" s="3505" t="s">
        <v>3494</v>
      </c>
      <c r="D8" s="3505" t="s">
        <v>3460</v>
      </c>
      <c r="E8" s="3505">
        <v>48135.07</v>
      </c>
      <c r="F8" s="3505">
        <v>48135.07</v>
      </c>
      <c r="G8" s="3505" t="s">
        <v>3469</v>
      </c>
      <c r="H8" s="3505" t="s">
        <v>3461</v>
      </c>
      <c r="I8" s="3505" t="s">
        <v>3495</v>
      </c>
      <c r="J8" s="3505" t="s">
        <v>3463</v>
      </c>
      <c r="K8" s="3506">
        <v>44714.0004976852</v>
      </c>
      <c r="L8" s="3506">
        <v>44714.0004976852</v>
      </c>
      <c r="M8" s="3505" t="s">
        <v>3464</v>
      </c>
      <c r="N8" s="3505" t="s">
        <v>3496</v>
      </c>
      <c r="O8" s="3505">
        <v>12487.17</v>
      </c>
      <c r="P8" s="3505">
        <v>2500</v>
      </c>
      <c r="Q8" s="3505" t="s">
        <v>3497</v>
      </c>
      <c r="R8" s="3505">
        <v>12487.17</v>
      </c>
      <c r="S8" s="3505">
        <v>2594</v>
      </c>
      <c r="T8" s="3505">
        <v>0</v>
      </c>
      <c r="U8" s="3505"/>
    </row>
    <row r="9" spans="1:23" s="3507" customFormat="1" ht="14.25">
      <c r="A9" s="3505" t="s">
        <v>3498</v>
      </c>
      <c r="B9" s="3505" t="s">
        <v>3380</v>
      </c>
      <c r="C9" s="3505" t="s">
        <v>3499</v>
      </c>
      <c r="D9" s="3505" t="s">
        <v>3460</v>
      </c>
      <c r="E9" s="3505">
        <v>13991.5</v>
      </c>
      <c r="F9" s="3505">
        <v>22386</v>
      </c>
      <c r="G9" s="3505" t="s">
        <v>3500</v>
      </c>
      <c r="H9" s="3505" t="s">
        <v>3461</v>
      </c>
      <c r="I9" s="3505" t="s">
        <v>3476</v>
      </c>
      <c r="J9" s="3505" t="s">
        <v>3463</v>
      </c>
      <c r="K9" s="3506">
        <v>44446.0004976852</v>
      </c>
      <c r="L9" s="3506">
        <v>44446.0004976852</v>
      </c>
      <c r="M9" s="3505" t="s">
        <v>3464</v>
      </c>
      <c r="N9" s="3505" t="s">
        <v>3501</v>
      </c>
      <c r="O9" s="3505">
        <v>1811.03</v>
      </c>
      <c r="P9" s="3505">
        <v>360</v>
      </c>
      <c r="Q9" s="3505" t="s">
        <v>633</v>
      </c>
      <c r="R9" s="3505">
        <v>1811.03</v>
      </c>
      <c r="S9" s="3505">
        <v>809</v>
      </c>
      <c r="T9" s="3505">
        <v>0</v>
      </c>
      <c r="U9" s="3505"/>
    </row>
    <row r="10" spans="1:23" s="3507" customFormat="1" ht="14.25">
      <c r="A10" s="3505" t="s">
        <v>3502</v>
      </c>
      <c r="B10" s="3505" t="s">
        <v>3380</v>
      </c>
      <c r="C10" s="3505" t="s">
        <v>3503</v>
      </c>
      <c r="D10" s="3505" t="s">
        <v>3460</v>
      </c>
      <c r="E10" s="3505">
        <v>16627.21</v>
      </c>
      <c r="F10" s="3505">
        <v>29928.97</v>
      </c>
      <c r="G10" s="3505" t="s">
        <v>3504</v>
      </c>
      <c r="H10" s="3505" t="s">
        <v>3461</v>
      </c>
      <c r="I10" s="3505" t="s">
        <v>3476</v>
      </c>
      <c r="J10" s="3505" t="s">
        <v>3463</v>
      </c>
      <c r="K10" s="3506">
        <v>44446.0004976852</v>
      </c>
      <c r="L10" s="3506">
        <v>44446.0004976852</v>
      </c>
      <c r="M10" s="3505" t="s">
        <v>3464</v>
      </c>
      <c r="N10" s="3505" t="s">
        <v>3505</v>
      </c>
      <c r="O10" s="3505">
        <v>5111.87</v>
      </c>
      <c r="P10" s="3505">
        <v>1020</v>
      </c>
      <c r="Q10" s="3505" t="s">
        <v>633</v>
      </c>
      <c r="R10" s="3505">
        <v>5111.87</v>
      </c>
      <c r="S10" s="3505">
        <v>1708</v>
      </c>
      <c r="T10" s="3505">
        <v>0</v>
      </c>
      <c r="U10" s="3505"/>
    </row>
    <row r="11" spans="1:23" s="3507" customFormat="1" ht="14.25">
      <c r="A11" s="3505" t="s">
        <v>3506</v>
      </c>
      <c r="B11" s="3505" t="s">
        <v>3380</v>
      </c>
      <c r="C11" s="3505" t="s">
        <v>3507</v>
      </c>
      <c r="D11" s="3505" t="s">
        <v>3460</v>
      </c>
      <c r="E11" s="3505">
        <v>100000</v>
      </c>
      <c r="F11" s="3505">
        <v>200000</v>
      </c>
      <c r="G11" s="3505" t="s">
        <v>3508</v>
      </c>
      <c r="H11" s="3505" t="s">
        <v>3461</v>
      </c>
      <c r="I11" s="3505" t="s">
        <v>3509</v>
      </c>
      <c r="J11" s="3505" t="s">
        <v>3463</v>
      </c>
      <c r="K11" s="3506">
        <v>44307.0004976852</v>
      </c>
      <c r="L11" s="3506">
        <v>44307.0004976852</v>
      </c>
      <c r="M11" s="3505" t="s">
        <v>3464</v>
      </c>
      <c r="N11" s="3505" t="s">
        <v>3510</v>
      </c>
      <c r="O11" s="3505">
        <v>13020</v>
      </c>
      <c r="P11" s="3505">
        <v>2600</v>
      </c>
      <c r="Q11" s="3505" t="s">
        <v>633</v>
      </c>
      <c r="R11" s="3505">
        <v>13020</v>
      </c>
      <c r="S11" s="3505">
        <v>651</v>
      </c>
      <c r="T11" s="3505">
        <v>0</v>
      </c>
      <c r="U11" s="3505"/>
    </row>
    <row r="12" spans="1:23" s="3507" customFormat="1" ht="14.25">
      <c r="A12" s="3505" t="s">
        <v>3511</v>
      </c>
      <c r="B12" s="3505" t="s">
        <v>3380</v>
      </c>
      <c r="C12" s="3505" t="s">
        <v>3512</v>
      </c>
      <c r="D12" s="3505" t="s">
        <v>3460</v>
      </c>
      <c r="E12" s="3505">
        <v>19340</v>
      </c>
      <c r="F12" s="3505">
        <v>34812</v>
      </c>
      <c r="G12" s="3505" t="s">
        <v>3513</v>
      </c>
      <c r="H12" s="3505" t="s">
        <v>3461</v>
      </c>
      <c r="I12" s="3505" t="s">
        <v>3514</v>
      </c>
      <c r="J12" s="3505" t="s">
        <v>3463</v>
      </c>
      <c r="K12" s="3506">
        <v>43873.0004976852</v>
      </c>
      <c r="L12" s="3506">
        <v>43873.0004976852</v>
      </c>
      <c r="M12" s="3505" t="s">
        <v>3464</v>
      </c>
      <c r="N12" s="3505" t="s">
        <v>3515</v>
      </c>
      <c r="O12" s="3505">
        <v>5764.87</v>
      </c>
      <c r="P12" s="3505">
        <v>1800</v>
      </c>
      <c r="Q12" s="3505" t="s">
        <v>633</v>
      </c>
      <c r="R12" s="3505">
        <v>5764.87</v>
      </c>
      <c r="S12" s="3505">
        <v>1656</v>
      </c>
      <c r="T12" s="3505">
        <v>0</v>
      </c>
      <c r="U12" s="3505"/>
    </row>
    <row r="13" spans="1:23" s="3507" customFormat="1" ht="14.25">
      <c r="A13" s="3505" t="s">
        <v>3516</v>
      </c>
      <c r="B13" s="3505" t="s">
        <v>3380</v>
      </c>
      <c r="C13" s="3505" t="s">
        <v>3517</v>
      </c>
      <c r="D13" s="3505" t="s">
        <v>3460</v>
      </c>
      <c r="E13" s="3505">
        <v>16697.47</v>
      </c>
      <c r="F13" s="3505">
        <v>30055</v>
      </c>
      <c r="G13" s="3505">
        <v>1.8</v>
      </c>
      <c r="H13" s="3505" t="s">
        <v>3461</v>
      </c>
      <c r="I13" s="3505" t="s">
        <v>3518</v>
      </c>
      <c r="J13" s="3505" t="s">
        <v>3463</v>
      </c>
      <c r="K13" s="3506">
        <v>43662.0004976852</v>
      </c>
      <c r="L13" s="3506">
        <v>43662.0004976852</v>
      </c>
      <c r="M13" s="3505" t="s">
        <v>3464</v>
      </c>
      <c r="N13" s="3505" t="s">
        <v>3519</v>
      </c>
      <c r="O13" s="3505">
        <v>4977.1099999999997</v>
      </c>
      <c r="P13" s="3505">
        <v>1500</v>
      </c>
      <c r="Q13" s="3505" t="s">
        <v>633</v>
      </c>
      <c r="R13" s="3505">
        <v>4977.1099999999997</v>
      </c>
      <c r="S13" s="3505">
        <v>1656</v>
      </c>
      <c r="T13" s="3505">
        <v>0</v>
      </c>
      <c r="U13" s="3505"/>
    </row>
    <row r="14" spans="1:23" s="3507" customFormat="1" ht="14.25">
      <c r="A14" s="3505" t="s">
        <v>3520</v>
      </c>
      <c r="B14" s="3505" t="s">
        <v>3380</v>
      </c>
      <c r="C14" s="3505" t="s">
        <v>3521</v>
      </c>
      <c r="D14" s="3505" t="s">
        <v>3460</v>
      </c>
      <c r="E14" s="3505">
        <v>46618.33</v>
      </c>
      <c r="F14" s="3505">
        <v>93237</v>
      </c>
      <c r="G14" s="3505">
        <v>2</v>
      </c>
      <c r="H14" s="3505" t="s">
        <v>3461</v>
      </c>
      <c r="I14" s="3505" t="s">
        <v>3518</v>
      </c>
      <c r="J14" s="3505" t="s">
        <v>3463</v>
      </c>
      <c r="K14" s="3506">
        <v>43577.0004976852</v>
      </c>
      <c r="L14" s="3506">
        <v>43577.0004976852</v>
      </c>
      <c r="M14" s="3505" t="s">
        <v>3464</v>
      </c>
      <c r="N14" s="3505" t="s">
        <v>3522</v>
      </c>
      <c r="O14" s="3505">
        <v>16204.59</v>
      </c>
      <c r="P14" s="3505">
        <v>4850</v>
      </c>
      <c r="Q14" s="3505" t="s">
        <v>633</v>
      </c>
      <c r="R14" s="3505">
        <v>16204.59</v>
      </c>
      <c r="S14" s="3505">
        <v>1738</v>
      </c>
      <c r="T14" s="3505">
        <v>0</v>
      </c>
      <c r="U14" s="3505"/>
    </row>
    <row r="15" spans="1:23" s="3507" customFormat="1" ht="14.25">
      <c r="A15" s="3505" t="s">
        <v>3523</v>
      </c>
      <c r="B15" s="3505" t="s">
        <v>3380</v>
      </c>
      <c r="C15" s="3505" t="s">
        <v>3524</v>
      </c>
      <c r="D15" s="3505" t="s">
        <v>3460</v>
      </c>
      <c r="E15" s="3505">
        <v>8700</v>
      </c>
      <c r="F15" s="3505">
        <v>15660</v>
      </c>
      <c r="G15" s="3505">
        <v>1.8</v>
      </c>
      <c r="H15" s="3505" t="s">
        <v>3461</v>
      </c>
      <c r="I15" s="3505" t="s">
        <v>3518</v>
      </c>
      <c r="J15" s="3505" t="s">
        <v>3463</v>
      </c>
      <c r="K15" s="3506">
        <v>43577.0004976852</v>
      </c>
      <c r="L15" s="3506">
        <v>43577.0004976852</v>
      </c>
      <c r="M15" s="3505" t="s">
        <v>3464</v>
      </c>
      <c r="N15" s="3505" t="s">
        <v>3525</v>
      </c>
      <c r="O15" s="3505">
        <v>2593.3000000000002</v>
      </c>
      <c r="P15" s="3505">
        <v>780</v>
      </c>
      <c r="Q15" s="3505" t="s">
        <v>633</v>
      </c>
      <c r="R15" s="3505">
        <v>2593.3000000000002</v>
      </c>
      <c r="S15" s="3505">
        <v>1656</v>
      </c>
      <c r="T15" s="3505">
        <v>0</v>
      </c>
      <c r="U15" s="3505"/>
    </row>
    <row r="16" spans="1:23" ht="14.25">
      <c r="A16" s="3500" t="s">
        <v>3526</v>
      </c>
      <c r="B16" s="3500" t="s">
        <v>3380</v>
      </c>
      <c r="C16" s="3500" t="s">
        <v>3527</v>
      </c>
      <c r="D16" s="3500" t="s">
        <v>3460</v>
      </c>
      <c r="E16" s="3500">
        <v>4280.58</v>
      </c>
      <c r="F16" s="3500">
        <v>3424</v>
      </c>
      <c r="G16" s="3500">
        <v>0.8</v>
      </c>
      <c r="H16" s="3500" t="s">
        <v>3461</v>
      </c>
      <c r="I16" s="3500" t="s">
        <v>3528</v>
      </c>
      <c r="J16" s="3500" t="s">
        <v>3463</v>
      </c>
      <c r="K16" s="3501">
        <v>43094.0004976852</v>
      </c>
      <c r="L16" s="3501">
        <v>43094.0004976852</v>
      </c>
      <c r="M16" s="3500" t="s">
        <v>3464</v>
      </c>
      <c r="N16" s="3500" t="s">
        <v>3529</v>
      </c>
      <c r="O16" s="3500">
        <v>642.09</v>
      </c>
      <c r="P16" s="3500">
        <v>200</v>
      </c>
      <c r="Q16" s="3500" t="s">
        <v>633</v>
      </c>
      <c r="R16" s="3500">
        <v>642.09</v>
      </c>
      <c r="S16" s="3500">
        <v>1875</v>
      </c>
      <c r="T16" s="3500">
        <v>0</v>
      </c>
      <c r="U16" s="3500"/>
    </row>
  </sheetData>
  <phoneticPr fontId="134" type="noConversion"/>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34" t="s">
        <v>2841</v>
      </c>
      <c r="B1" s="3834"/>
      <c r="C1" s="3834"/>
      <c r="D1" s="3834"/>
      <c r="E1" s="3834"/>
      <c r="F1" s="3834"/>
      <c r="G1" s="3835"/>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32"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33"/>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36" t="s">
        <v>3183</v>
      </c>
      <c r="B1" s="3836"/>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37" t="s">
        <v>3234</v>
      </c>
      <c r="B1" s="3837"/>
      <c r="C1" s="3837"/>
      <c r="D1" s="3837"/>
      <c r="E1" s="3837"/>
      <c r="F1" s="3838"/>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45392</v>
      </c>
      <c r="B1" s="3203" t="s">
        <v>3372</v>
      </c>
      <c r="C1" s="3204"/>
      <c r="D1" s="3204"/>
      <c r="E1" s="3204"/>
      <c r="F1" s="3204"/>
      <c r="G1" s="3204"/>
      <c r="H1" s="3204"/>
      <c r="I1" s="3204"/>
      <c r="J1" s="3158"/>
      <c r="K1" s="3204" t="s">
        <v>454</v>
      </c>
      <c r="L1" s="3204"/>
      <c r="M1" s="3204"/>
      <c r="N1" s="3204"/>
      <c r="O1" s="3204"/>
      <c r="P1" s="3204"/>
      <c r="Q1" s="3158"/>
      <c r="R1" s="3839" t="s">
        <v>456</v>
      </c>
      <c r="S1" s="3840"/>
      <c r="T1" s="3840"/>
      <c r="U1" s="3840"/>
      <c r="V1" s="3840"/>
      <c r="W1" s="3840"/>
      <c r="X1" s="3158"/>
      <c r="Y1" s="3839" t="s">
        <v>457</v>
      </c>
      <c r="Z1" s="3840"/>
      <c r="AA1" s="3840"/>
      <c r="AB1" s="3840"/>
      <c r="AC1" s="3840"/>
      <c r="AD1" s="3840"/>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199"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199"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199"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39" t="s">
        <v>2829</v>
      </c>
      <c r="S23" s="3840"/>
      <c r="T23" s="3840"/>
      <c r="U23" s="3840"/>
      <c r="V23" s="3840"/>
      <c r="W23" s="3840"/>
      <c r="X23" s="3158"/>
      <c r="Y23" s="3839" t="s">
        <v>2830</v>
      </c>
      <c r="Z23" s="3840"/>
      <c r="AA23" s="3840"/>
      <c r="AB23" s="3840"/>
      <c r="AC23" s="3840"/>
      <c r="AD23" s="3840"/>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199"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199"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199"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建筑物价值</v>
      </c>
      <c r="G2" s="3525"/>
      <c r="H2" s="3525" t="str">
        <f>IF(项目基本情况!B9="房地产市场价值","房地产市场价值","房地产价值")</f>
        <v>房地产价值</v>
      </c>
      <c r="I2" s="3525"/>
    </row>
    <row r="3" spans="1:9" ht="15">
      <c r="A3" s="3526"/>
      <c r="B3" s="3526"/>
      <c r="C3" s="3526"/>
      <c r="D3" s="849" t="s">
        <v>925</v>
      </c>
      <c r="E3" s="849" t="s">
        <v>931</v>
      </c>
      <c r="F3" s="849" t="s">
        <v>925</v>
      </c>
      <c r="G3" s="849" t="s">
        <v>926</v>
      </c>
      <c r="H3" s="849" t="s">
        <v>925</v>
      </c>
      <c r="I3" s="849" t="s">
        <v>926</v>
      </c>
    </row>
    <row r="4" spans="1:9" ht="30">
      <c r="A4" s="1500" t="str">
        <f>项目基本情况!S2</f>
        <v>北京市朝阳区朝外大街乙12号房地产</v>
      </c>
      <c r="B4" s="849">
        <f>项目基本情况!C17</f>
        <v>135125.56999999998</v>
      </c>
      <c r="C4" s="849">
        <f>项目基本情况!C18</f>
        <v>58598.03</v>
      </c>
      <c r="D4" s="849">
        <f ca="1">结果表!D118</f>
        <v>25756</v>
      </c>
      <c r="E4" s="849">
        <f ca="1">结果表!E118</f>
        <v>1906</v>
      </c>
      <c r="F4" s="849">
        <f ca="1">结果表!F118</f>
        <v>118941</v>
      </c>
      <c r="G4" s="849">
        <f ca="1">结果表!G118</f>
        <v>8802</v>
      </c>
      <c r="H4" s="849">
        <f ca="1">结果表!H118</f>
        <v>144697</v>
      </c>
      <c r="I4" s="849">
        <f ca="1">结果表!I118</f>
        <v>10708</v>
      </c>
    </row>
    <row r="5" spans="1:9" ht="30" customHeight="1">
      <c r="A5" s="3526" t="s">
        <v>927</v>
      </c>
      <c r="B5" s="3526"/>
      <c r="C5" s="3526"/>
      <c r="D5" s="3526" t="str">
        <f ca="1">结果表!D119</f>
        <v>贰亿伍仟柒佰伍拾陆万元整</v>
      </c>
      <c r="E5" s="3526"/>
      <c r="F5" s="3526" t="str">
        <f ca="1">结果表!F119</f>
        <v>壹拾壹亿捌仟玖佰肆拾壹万元整</v>
      </c>
      <c r="G5" s="3526"/>
      <c r="H5" s="3526" t="str">
        <f ca="1">结果表!H119</f>
        <v>壹拾肆亿肆仟陆佰玖拾柒万元整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75">
      <c r="A8" s="3527" t="str">
        <f>结果表!A122</f>
        <v>房地产抵押价值</v>
      </c>
      <c r="B8" s="3527"/>
      <c r="C8" s="3527"/>
      <c r="D8" s="3527">
        <f ca="1">结果表!D122</f>
        <v>144697</v>
      </c>
      <c r="E8" s="3527"/>
      <c r="F8" s="3527"/>
      <c r="G8" s="3527"/>
      <c r="H8" s="3527"/>
      <c r="I8" s="3527"/>
    </row>
    <row r="9" spans="1:9" ht="15">
      <c r="A9" s="3526" t="s">
        <v>927</v>
      </c>
      <c r="B9" s="3526"/>
      <c r="C9" s="3526"/>
      <c r="D9" s="3526" t="str">
        <f ca="1">结果表!D123</f>
        <v>壹拾肆亿肆仟陆佰玖拾柒万元整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75">
      <c r="A12" s="3527" t="str">
        <f>结果表!A126</f>
        <v>抵押净值</v>
      </c>
      <c r="B12" s="3527"/>
      <c r="C12" s="3527"/>
      <c r="D12" s="3527">
        <f ca="1">结果表!D126</f>
        <v>125824</v>
      </c>
      <c r="E12" s="3527"/>
      <c r="F12" s="3527"/>
      <c r="G12" s="3527"/>
      <c r="H12" s="3527"/>
      <c r="I12" s="3527"/>
    </row>
    <row r="13" spans="1:9" ht="15.75" thickBot="1">
      <c r="A13" s="3531" t="s">
        <v>927</v>
      </c>
      <c r="B13" s="3531"/>
      <c r="C13" s="3531"/>
      <c r="D13" s="3531" t="str">
        <f ca="1">结果表!D127</f>
        <v>壹拾贰亿伍仟捌佰贰拾肆万元整</v>
      </c>
      <c r="E13" s="3531"/>
      <c r="F13" s="3531"/>
      <c r="G13" s="3531"/>
      <c r="H13" s="3531"/>
      <c r="I13" s="3531"/>
    </row>
    <row r="14" spans="1:9" ht="15" thickTop="1">
      <c r="A14" s="3532" t="s">
        <v>932</v>
      </c>
      <c r="B14" s="3532"/>
      <c r="C14" s="3532"/>
      <c r="D14" s="3532"/>
      <c r="E14" s="3532"/>
      <c r="F14" s="3532"/>
      <c r="G14" s="3532"/>
      <c r="H14" s="3532"/>
      <c r="I14" s="3532"/>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46" t="s">
        <v>452</v>
      </c>
      <c r="C1" s="3846"/>
      <c r="D1" s="3846"/>
      <c r="E1" s="3846"/>
      <c r="F1" s="3846"/>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2112</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3363</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9">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3360</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9">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2113</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3361</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9">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3362</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9">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8">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3">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2">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6">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2310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5">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2">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2128</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2126</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2125</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2124</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2122</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2121</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2123</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4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2119</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4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2118</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4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2111</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5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2109</v>
      </c>
      <c r="B25" s="2214">
        <v>439</v>
      </c>
      <c r="C25" s="2214">
        <v>327</v>
      </c>
      <c r="D25" s="2214">
        <f>C25</f>
        <v>327</v>
      </c>
      <c r="E25" s="2214">
        <v>627</v>
      </c>
      <c r="F25" s="2215">
        <v>283</v>
      </c>
      <c r="G25" s="384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2110</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4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4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5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4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4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4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4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4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4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4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4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4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4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4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4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4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4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4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5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4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4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4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4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4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4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4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4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4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4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4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4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4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4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4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4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4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4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4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4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4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4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4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4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4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4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4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4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4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4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4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4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4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4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4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4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4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4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4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4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4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4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4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4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45392</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4">
        <v>45159</v>
      </c>
      <c r="D13" s="2815">
        <v>3.45</v>
      </c>
      <c r="E13" s="2815">
        <f>D13</f>
        <v>3.45</v>
      </c>
      <c r="F13" s="2815">
        <f>D13</f>
        <v>3.45</v>
      </c>
      <c r="G13" s="2815">
        <f>D13</f>
        <v>3.45</v>
      </c>
      <c r="H13" s="2815">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9"/>
      <c r="C14" s="2811">
        <v>45097</v>
      </c>
      <c r="D14" s="2810">
        <v>3.55</v>
      </c>
      <c r="E14" s="2810">
        <f>D14</f>
        <v>3.55</v>
      </c>
      <c r="F14" s="2810">
        <f>D14</f>
        <v>3.55</v>
      </c>
      <c r="G14" s="2810">
        <f>D14</f>
        <v>3.55</v>
      </c>
      <c r="H14" s="2810">
        <v>4.2</v>
      </c>
      <c r="I14" s="2815"/>
      <c r="J14" s="2815"/>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9"/>
      <c r="C15" s="2811">
        <v>44795</v>
      </c>
      <c r="D15" s="2810">
        <v>3.65</v>
      </c>
      <c r="E15" s="2810">
        <v>3.65</v>
      </c>
      <c r="F15" s="2810">
        <v>3.65</v>
      </c>
      <c r="G15" s="2810">
        <v>3.65</v>
      </c>
      <c r="H15" s="2810">
        <v>4.3</v>
      </c>
      <c r="I15" s="2815"/>
      <c r="J15" s="2815"/>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09"/>
      <c r="C16" s="2811">
        <v>44701</v>
      </c>
      <c r="D16" s="2810">
        <v>3.7</v>
      </c>
      <c r="E16" s="2810">
        <f>D16</f>
        <v>3.7</v>
      </c>
      <c r="F16" s="2810">
        <f>D16</f>
        <v>3.7</v>
      </c>
      <c r="G16" s="2810">
        <f>D16</f>
        <v>3.7</v>
      </c>
      <c r="H16" s="2810">
        <v>4.45</v>
      </c>
      <c r="I16" s="2815"/>
      <c r="J16" s="2815"/>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09"/>
      <c r="C17" s="2811">
        <v>44581</v>
      </c>
      <c r="D17" s="2810">
        <v>3.7</v>
      </c>
      <c r="E17" s="2810">
        <f>D17</f>
        <v>3.7</v>
      </c>
      <c r="F17" s="2810">
        <f>D17</f>
        <v>3.7</v>
      </c>
      <c r="G17" s="2810">
        <f>D17</f>
        <v>3.7</v>
      </c>
      <c r="H17" s="2810">
        <v>4.5999999999999996</v>
      </c>
      <c r="I17" s="2815"/>
      <c r="J17" s="281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9"/>
      <c r="B19" s="2810"/>
      <c r="C19" s="2811">
        <v>43941</v>
      </c>
      <c r="D19" s="2810">
        <v>3.85</v>
      </c>
      <c r="E19" s="2810">
        <v>3.85</v>
      </c>
      <c r="F19" s="2810">
        <v>3.85</v>
      </c>
      <c r="G19" s="2810">
        <v>3.85</v>
      </c>
      <c r="H19" s="2810">
        <v>4.6500000000000004</v>
      </c>
      <c r="I19" s="2810"/>
      <c r="J19" s="2810"/>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0"/>
      <c r="C20" s="2811">
        <v>43881</v>
      </c>
      <c r="D20" s="2810">
        <v>4.05</v>
      </c>
      <c r="E20" s="2810">
        <v>4.05</v>
      </c>
      <c r="F20" s="2810">
        <v>4.05</v>
      </c>
      <c r="G20" s="2810">
        <v>4.05</v>
      </c>
      <c r="H20" s="2810">
        <v>4.75</v>
      </c>
      <c r="I20" s="2810"/>
      <c r="J20" s="2810"/>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0"/>
      <c r="C21" s="2811">
        <v>43789</v>
      </c>
      <c r="D21" s="2810">
        <v>4.1500000000000004</v>
      </c>
      <c r="E21" s="2810">
        <v>4.1500000000000004</v>
      </c>
      <c r="F21" s="2810">
        <v>4.1500000000000004</v>
      </c>
      <c r="G21" s="2810">
        <v>4.1500000000000004</v>
      </c>
      <c r="H21" s="2810">
        <v>4.8</v>
      </c>
      <c r="I21" s="2810"/>
      <c r="J21" s="2810"/>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0"/>
      <c r="C22" s="2811">
        <v>43728</v>
      </c>
      <c r="D22" s="2810">
        <v>4.2</v>
      </c>
      <c r="E22" s="2810">
        <v>4.2</v>
      </c>
      <c r="F22" s="2810">
        <v>4.2</v>
      </c>
      <c r="G22" s="2810">
        <v>4.2</v>
      </c>
      <c r="H22" s="2810">
        <v>4.8499999999999996</v>
      </c>
      <c r="I22" s="2810"/>
      <c r="J22" s="2810"/>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6"/>
      <c r="B23" s="2809" t="s">
        <v>2311</v>
      </c>
      <c r="C23" s="2812">
        <v>43697</v>
      </c>
      <c r="D23" s="2813">
        <v>4.25</v>
      </c>
      <c r="E23" s="2813">
        <v>4.25</v>
      </c>
      <c r="F23" s="2813">
        <v>4.25</v>
      </c>
      <c r="G23" s="2813">
        <v>4.25</v>
      </c>
      <c r="H23" s="2813">
        <v>4.8499999999999996</v>
      </c>
      <c r="I23" s="2813"/>
      <c r="J23" s="2813"/>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7"/>
      <c r="C24" s="2818">
        <v>42301</v>
      </c>
      <c r="D24" s="2819">
        <v>4.3499999999999996</v>
      </c>
      <c r="E24" s="2819">
        <v>4.3499999999999996</v>
      </c>
      <c r="F24" s="2819">
        <v>4.75</v>
      </c>
      <c r="G24" s="2819">
        <v>4.75</v>
      </c>
      <c r="H24" s="2819">
        <v>4.9000000000000004</v>
      </c>
      <c r="I24" s="2819"/>
      <c r="J24" s="2819"/>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33" t="s">
        <v>949</v>
      </c>
      <c r="B1" s="3533"/>
      <c r="C1" s="3533"/>
      <c r="D1" s="3533"/>
    </row>
    <row r="2" spans="1:4" ht="18">
      <c r="A2" s="3534" t="s">
        <v>933</v>
      </c>
      <c r="B2" s="3534"/>
      <c r="C2" s="3534"/>
      <c r="D2" s="3534"/>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34" t="s">
        <v>939</v>
      </c>
      <c r="B6" s="3534"/>
      <c r="C6" s="3534"/>
      <c r="D6" s="3534"/>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535"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47" t="s">
        <v>956</v>
      </c>
      <c r="B15" s="3542" t="s">
        <v>109</v>
      </c>
      <c r="C15" s="3543"/>
    </row>
    <row r="16" spans="1:7" ht="13.5">
      <c r="A16" s="3548"/>
      <c r="B16" s="3542" t="s">
        <v>42</v>
      </c>
      <c r="C16" s="3543"/>
    </row>
    <row r="17" spans="1:3" ht="13.5">
      <c r="A17" s="3548"/>
      <c r="B17" s="3545" t="s">
        <v>957</v>
      </c>
      <c r="C17" s="1527" t="s">
        <v>956</v>
      </c>
    </row>
    <row r="18" spans="1:3" ht="13.5">
      <c r="A18" s="3548"/>
      <c r="B18" s="3545"/>
      <c r="C18" s="1527" t="s">
        <v>958</v>
      </c>
    </row>
    <row r="19" spans="1:3" ht="13.5">
      <c r="A19" s="3548"/>
      <c r="B19" s="3545"/>
      <c r="C19" s="1527" t="s">
        <v>959</v>
      </c>
    </row>
    <row r="20" spans="1:3" ht="13.5">
      <c r="A20" s="3549"/>
      <c r="B20" s="3544" t="s">
        <v>960</v>
      </c>
      <c r="C20" s="3543"/>
    </row>
    <row r="21" spans="1:3" ht="13.5">
      <c r="A21" s="1528" t="s">
        <v>961</v>
      </c>
      <c r="B21" s="1529"/>
      <c r="C21" s="1530"/>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27" t="s">
        <v>967</v>
      </c>
    </row>
    <row r="26" spans="1:3" ht="13.5">
      <c r="A26" s="3546"/>
      <c r="B26" s="3545"/>
      <c r="C26" s="1527" t="s">
        <v>968</v>
      </c>
    </row>
    <row r="27" spans="1:3" ht="13.5">
      <c r="A27" s="3546"/>
      <c r="B27" s="3545"/>
      <c r="C27" s="1527" t="s">
        <v>969</v>
      </c>
    </row>
    <row r="28" spans="1:3" ht="13.5">
      <c r="A28" s="3546"/>
      <c r="B28" s="3545"/>
      <c r="C28" s="1527" t="s">
        <v>970</v>
      </c>
    </row>
    <row r="29" spans="1:3" ht="13.5">
      <c r="A29" s="3546"/>
      <c r="B29" s="3545"/>
      <c r="C29" s="1527" t="s">
        <v>971</v>
      </c>
    </row>
    <row r="30" spans="1:3" ht="13.5">
      <c r="A30" s="3546"/>
      <c r="B30" s="3545"/>
      <c r="C30" s="1527" t="s">
        <v>972</v>
      </c>
    </row>
    <row r="31" spans="1:3" ht="13.5">
      <c r="A31" s="3546"/>
      <c r="B31" s="3545"/>
      <c r="C31" s="1527" t="s">
        <v>973</v>
      </c>
    </row>
    <row r="32" spans="1:3" ht="13.5">
      <c r="A32" s="3546"/>
      <c r="B32" s="3545"/>
      <c r="C32" s="1527" t="s">
        <v>974</v>
      </c>
    </row>
    <row r="33" spans="1:3" ht="13.5">
      <c r="A33" s="3546"/>
      <c r="B33" s="3545"/>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2137</v>
      </c>
      <c r="B2" s="2333">
        <f ca="1">TODAY()</f>
        <v>45397</v>
      </c>
      <c r="C2" s="2334" t="s">
        <v>2138</v>
      </c>
      <c r="D2" s="2334"/>
      <c r="E2" s="2334"/>
      <c r="F2" s="2330"/>
      <c r="G2" s="2330"/>
      <c r="H2" s="2330"/>
    </row>
    <row r="3" spans="1:8" ht="24" customHeight="1">
      <c r="A3" s="2335" t="s">
        <v>2139</v>
      </c>
      <c r="B3" s="2336" t="s">
        <v>2140</v>
      </c>
      <c r="C3" s="2336" t="s">
        <v>2141</v>
      </c>
      <c r="D3" s="2337" t="s">
        <v>2142</v>
      </c>
      <c r="E3" s="2338" t="s">
        <v>2143</v>
      </c>
      <c r="F3" s="1299" t="s">
        <v>2144</v>
      </c>
      <c r="G3" s="2336" t="s">
        <v>2141</v>
      </c>
      <c r="H3" s="2337" t="s">
        <v>2145</v>
      </c>
    </row>
    <row r="4" spans="1:8" ht="24" customHeight="1">
      <c r="A4" s="1299" t="s">
        <v>2146</v>
      </c>
      <c r="B4" s="1299">
        <f ca="1">IF(C4&lt;B2,"已过期",1119970066)</f>
        <v>1119970066</v>
      </c>
      <c r="C4" s="2339">
        <v>45937</v>
      </c>
      <c r="D4" s="2340" t="str">
        <f ca="1">A4&amp;"（注册号："&amp;B4&amp;"）"</f>
        <v>梁津（注册号：1119970066）</v>
      </c>
      <c r="E4" s="2341" t="s">
        <v>2146</v>
      </c>
      <c r="F4" s="1299">
        <f ca="1">IF(G4&lt;B2,"已过期",96010014)</f>
        <v>96010014</v>
      </c>
      <c r="G4" s="2342">
        <v>47118</v>
      </c>
      <c r="H4" s="2343" t="str">
        <f ca="1">E4&amp;"（注册号："&amp;F4&amp;"）"</f>
        <v>梁津（注册号：96010014）</v>
      </c>
    </row>
    <row r="5" spans="1:8" ht="24" customHeight="1">
      <c r="A5" s="1299" t="s">
        <v>2147</v>
      </c>
      <c r="B5" s="1299">
        <f ca="1">IF(C5&lt;B2,"已过期",1119970111)</f>
        <v>1119970111</v>
      </c>
      <c r="C5" s="2339">
        <v>45937</v>
      </c>
      <c r="D5" s="2340" t="str">
        <f t="shared" ref="D5:D15" ca="1" si="0">A5&amp;"（注册号："&amp;B5&amp;"）"</f>
        <v>叶凌（注册号：1119970111）</v>
      </c>
      <c r="E5" s="2341" t="s">
        <v>2147</v>
      </c>
      <c r="F5" s="1299">
        <f ca="1">IF(G5&lt;B2,"已过期",94010078)</f>
        <v>94010078</v>
      </c>
      <c r="G5" s="2342">
        <v>46387</v>
      </c>
      <c r="H5" s="2343" t="str">
        <f t="shared" ref="H5:H16" ca="1" si="1">E5&amp;"（注册号："&amp;F5&amp;"）"</f>
        <v>叶凌（注册号：94010078）</v>
      </c>
    </row>
    <row r="6" spans="1:8" ht="24" customHeight="1">
      <c r="A6" s="1299" t="s">
        <v>2148</v>
      </c>
      <c r="B6" s="1299">
        <f ca="1">IF(C6&lt;B2,"已过期",1120050019)</f>
        <v>1120050019</v>
      </c>
      <c r="C6" s="2339">
        <v>45410</v>
      </c>
      <c r="D6" s="2340" t="str">
        <f t="shared" ca="1" si="0"/>
        <v>王鹏（注册号：1120050019）</v>
      </c>
      <c r="E6" s="2341" t="s">
        <v>2148</v>
      </c>
      <c r="F6" s="1299">
        <f ca="1">IF(G6&lt;B2,"已过期",2002110030)</f>
        <v>2002110030</v>
      </c>
      <c r="G6" s="2342">
        <v>46387</v>
      </c>
      <c r="H6" s="2343" t="str">
        <f t="shared" ca="1" si="1"/>
        <v>王鹏（注册号：2002110030）</v>
      </c>
    </row>
    <row r="7" spans="1:8" ht="24" customHeight="1">
      <c r="A7" s="1299" t="s">
        <v>2149</v>
      </c>
      <c r="B7" s="1299">
        <f ca="1">IF(C7&lt;B2,"已过期",1120000080)</f>
        <v>1120000080</v>
      </c>
      <c r="C7" s="2339">
        <v>45937</v>
      </c>
      <c r="D7" s="2340" t="str">
        <f t="shared" ca="1" si="0"/>
        <v>欧红伟（注册号：1120000080）</v>
      </c>
      <c r="E7" s="2341" t="s">
        <v>2149</v>
      </c>
      <c r="F7" s="1299">
        <f ca="1">IF(G7&lt;B2,"已过期",2000110082)</f>
        <v>2000110082</v>
      </c>
      <c r="G7" s="2342">
        <v>46387</v>
      </c>
      <c r="H7" s="2343" t="str">
        <f t="shared" ca="1" si="1"/>
        <v>欧红伟（注册号：2000110082）</v>
      </c>
    </row>
    <row r="8" spans="1:8" ht="24" customHeight="1">
      <c r="A8" s="1299" t="s">
        <v>2150</v>
      </c>
      <c r="B8" s="1299">
        <f ca="1">IF(C8&lt;B2,"已过期",1419970001)</f>
        <v>1419970001</v>
      </c>
      <c r="C8" s="2339">
        <v>45937</v>
      </c>
      <c r="D8" s="2340" t="str">
        <f t="shared" ca="1" si="0"/>
        <v>吴薇（注册号：1419970001）</v>
      </c>
      <c r="E8" s="2341" t="s">
        <v>2150</v>
      </c>
      <c r="F8" s="1299">
        <f ca="1">IF(G8&lt;B2,"已过期",2002110125)</f>
        <v>2002110125</v>
      </c>
      <c r="G8" s="2342">
        <v>47118</v>
      </c>
      <c r="H8" s="2343" t="str">
        <f t="shared" ca="1" si="1"/>
        <v>吴薇（注册号：2002110125）</v>
      </c>
    </row>
    <row r="9" spans="1:8" ht="24" customHeight="1">
      <c r="A9" s="1299" t="s">
        <v>2151</v>
      </c>
      <c r="B9" s="1299">
        <f ca="1">IF(C9&lt;B2,"已过期",1120060040)</f>
        <v>1120060040</v>
      </c>
      <c r="C9" s="2344">
        <v>45592</v>
      </c>
      <c r="D9" s="2340" t="str">
        <f t="shared" ca="1" si="0"/>
        <v>陈颖（注册号：1120060040）</v>
      </c>
      <c r="E9" s="2341" t="s">
        <v>2151</v>
      </c>
      <c r="F9" s="1299">
        <f ca="1">IF(G9&lt;B2,"已过期",2004110096)</f>
        <v>2004110096</v>
      </c>
      <c r="G9" s="2342">
        <v>47118</v>
      </c>
      <c r="H9" s="2343" t="str">
        <f t="shared" ca="1" si="1"/>
        <v>陈颖（注册号：2004110096）</v>
      </c>
    </row>
    <row r="10" spans="1:8" ht="24" customHeight="1">
      <c r="A10" s="1299" t="s">
        <v>2152</v>
      </c>
      <c r="B10" s="1299">
        <f ca="1">IF(C10&lt;B2,"已过期",1120100036)</f>
        <v>1120100036</v>
      </c>
      <c r="C10" s="2344">
        <v>45752</v>
      </c>
      <c r="D10" s="2340" t="str">
        <f t="shared" ca="1" si="0"/>
        <v>崔锴（注册号：1120100036）</v>
      </c>
      <c r="E10" s="2341" t="s">
        <v>2152</v>
      </c>
      <c r="F10" s="1299">
        <f ca="1">IF(G10&lt;B2,"已过期",2010110070)</f>
        <v>2010110070</v>
      </c>
      <c r="G10" s="2342">
        <v>47907</v>
      </c>
      <c r="H10" s="2343" t="str">
        <f t="shared" ca="1" si="1"/>
        <v>崔锴（注册号：2010110070）</v>
      </c>
    </row>
    <row r="11" spans="1:8" ht="24" customHeight="1">
      <c r="A11" s="1299" t="s">
        <v>2153</v>
      </c>
      <c r="B11" s="1299">
        <f ca="1">IF(C11&lt;B2,"已过期",1120070131)</f>
        <v>1120070131</v>
      </c>
      <c r="C11" s="2339">
        <v>45937</v>
      </c>
      <c r="D11" s="2340" t="str">
        <f t="shared" ca="1" si="0"/>
        <v>郑燚（注册号：1120070131）</v>
      </c>
      <c r="E11" s="2341" t="s">
        <v>2153</v>
      </c>
      <c r="F11" s="1299">
        <f ca="1">IF(G11&lt;B2,"已过期",2014110011)</f>
        <v>2014110011</v>
      </c>
      <c r="G11" s="2342">
        <v>49302</v>
      </c>
      <c r="H11" s="2343" t="str">
        <f t="shared" ca="1" si="1"/>
        <v>郑燚（注册号：2014110011）</v>
      </c>
    </row>
    <row r="12" spans="1:8" ht="24" customHeight="1">
      <c r="A12" s="1299" t="s">
        <v>2154</v>
      </c>
      <c r="B12" s="1299">
        <f ca="1">IF(C12&lt;B2,"已过期",1120040230)</f>
        <v>1120040230</v>
      </c>
      <c r="C12" s="2344">
        <v>45937</v>
      </c>
      <c r="D12" s="2340" t="str">
        <f t="shared" ca="1" si="0"/>
        <v>苏海（注册号：1120040230）</v>
      </c>
      <c r="E12" s="2341" t="s">
        <v>2154</v>
      </c>
      <c r="F12" s="1299">
        <f ca="1">IF(G12&lt;B2,"已过期",98030020)</f>
        <v>98030020</v>
      </c>
      <c r="G12" s="2342">
        <v>47118</v>
      </c>
      <c r="H12" s="2343" t="str">
        <f t="shared" ca="1" si="1"/>
        <v>苏海（注册号：98030020）</v>
      </c>
    </row>
    <row r="13" spans="1:8" ht="24" customHeight="1">
      <c r="A13" s="1299" t="s">
        <v>2155</v>
      </c>
      <c r="B13" s="1299" t="str">
        <f ca="1">IF(C13&lt;B2,"已过期",1120020033)</f>
        <v>已过期</v>
      </c>
      <c r="C13" s="2339">
        <v>45375</v>
      </c>
      <c r="D13" s="2340" t="str">
        <f t="shared" ca="1" si="0"/>
        <v>刘敬东（注册号：已过期）</v>
      </c>
      <c r="E13" s="2341" t="s">
        <v>2155</v>
      </c>
      <c r="F13" s="1299">
        <f ca="1">IF(G13&lt;B2,"已过期",2000110137)</f>
        <v>2000110137</v>
      </c>
      <c r="G13" s="2342">
        <v>46387</v>
      </c>
      <c r="H13" s="2343" t="str">
        <f t="shared" ca="1" si="1"/>
        <v>刘敬东（注册号：2000110137）</v>
      </c>
    </row>
    <row r="14" spans="1:8" ht="24" customHeight="1">
      <c r="A14" s="1299" t="s">
        <v>2156</v>
      </c>
      <c r="B14" s="1299" t="str">
        <f ca="1">IF(C14&lt;B2,"已过期",1119980106)</f>
        <v>已过期</v>
      </c>
      <c r="C14" s="2344">
        <v>44969</v>
      </c>
      <c r="D14" s="2340" t="str">
        <f t="shared" ca="1" si="0"/>
        <v>刘俊财（注册号：已过期）</v>
      </c>
      <c r="E14" s="2341" t="s">
        <v>2156</v>
      </c>
      <c r="F14" s="1299">
        <f ca="1">IF(G14&lt;B2,"已过期",96010063)</f>
        <v>96010063</v>
      </c>
      <c r="G14" s="2342">
        <v>47483</v>
      </c>
      <c r="H14" s="2343" t="str">
        <f t="shared" ca="1" si="1"/>
        <v>刘俊财（注册号：96010063）</v>
      </c>
    </row>
    <row r="15" spans="1:8" ht="24" customHeight="1">
      <c r="A15" s="1299" t="s">
        <v>2439</v>
      </c>
      <c r="B15" s="1299">
        <v>1120210056</v>
      </c>
      <c r="C15" s="2344">
        <v>45410</v>
      </c>
      <c r="D15" s="2340" t="str">
        <f t="shared" si="0"/>
        <v>宁小鳗（注册号：1120210056）</v>
      </c>
      <c r="E15" s="2341" t="s">
        <v>2157</v>
      </c>
      <c r="F15" s="1299">
        <f ca="1">IF(G15&lt;B2,"已过期",2011110090)</f>
        <v>2011110090</v>
      </c>
      <c r="G15" s="2342">
        <v>48302</v>
      </c>
      <c r="H15" s="2343" t="str">
        <f t="shared" ca="1" si="1"/>
        <v>赵雯（注册号：2011110090）</v>
      </c>
    </row>
    <row r="16" spans="1:8" s="2346" customFormat="1" ht="24" customHeight="1">
      <c r="A16" s="1299"/>
      <c r="B16" s="1299"/>
      <c r="C16" s="1299"/>
      <c r="D16" s="2340" t="str">
        <f>A16&amp;"（注册号："&amp;B16&amp;"）"</f>
        <v>（注册号：）</v>
      </c>
      <c r="E16" s="2341"/>
      <c r="F16" s="1299"/>
      <c r="G16" s="1299"/>
      <c r="H16" s="2345" t="str">
        <f t="shared" si="1"/>
        <v>（注册号：）</v>
      </c>
    </row>
    <row r="17" spans="1:8" ht="24" customHeight="1">
      <c r="A17" s="3550" t="s">
        <v>2158</v>
      </c>
      <c r="B17" s="3550"/>
      <c r="C17" s="3550"/>
      <c r="D17" s="3550"/>
      <c r="E17" s="3550"/>
      <c r="F17" s="3550"/>
      <c r="G17" s="3550"/>
      <c r="H17" s="3550"/>
    </row>
    <row r="18" spans="1:8" ht="24" customHeight="1">
      <c r="A18" s="3551" t="s">
        <v>2159</v>
      </c>
      <c r="B18" s="3551"/>
      <c r="C18" s="3551"/>
      <c r="D18" s="2337"/>
      <c r="E18" s="3552" t="s">
        <v>2160</v>
      </c>
      <c r="F18" s="3551"/>
      <c r="G18" s="3551"/>
    </row>
    <row r="19" spans="1:8" s="2348" customFormat="1" ht="24" customHeight="1">
      <c r="A19" s="2347" t="s">
        <v>2161</v>
      </c>
      <c r="B19" s="2336" t="s">
        <v>2162</v>
      </c>
      <c r="C19" s="2336" t="s">
        <v>2141</v>
      </c>
      <c r="D19" s="2337"/>
      <c r="E19" s="2341" t="s">
        <v>2161</v>
      </c>
      <c r="F19" s="2336" t="s">
        <v>2162</v>
      </c>
      <c r="G19" s="2336" t="s">
        <v>2141</v>
      </c>
    </row>
    <row r="20" spans="1:8" s="2348" customFormat="1" ht="24" customHeight="1">
      <c r="A20" s="2349" t="s">
        <v>2163</v>
      </c>
      <c r="B20" s="2349" t="s">
        <v>2164</v>
      </c>
      <c r="C20" s="2342">
        <v>45898</v>
      </c>
      <c r="D20" s="2350"/>
      <c r="E20" s="2351" t="s">
        <v>2165</v>
      </c>
      <c r="F20" s="2354" t="s">
        <v>2440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收益法-工业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(3)</vt:lpstr>
      <vt:lpstr>基准地价修正 (2)</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'收益法 (元)'!Print_Area</vt:lpstr>
      <vt:lpstr>'收益法（汇总）'!Print_Area</vt:lpstr>
      <vt:lpstr>'收益法-办公'!Print_Area</vt:lpstr>
      <vt:lpstr>'收益法-车库'!Print_Area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2024-04-15T01:27:15Z</dcterms:modified>
</cp:coreProperties>
</file>